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AGRD BOLIVAR\ORDENES DE SERVICIOS 2023\ORDEN AULAS VILLANUEVA\"/>
    </mc:Choice>
  </mc:AlternateContent>
  <xr:revisionPtr revIDLastSave="0" documentId="13_ncr:1_{014C507E-C65C-4770-AE84-CE630F03DD16}" xr6:coauthVersionLast="47" xr6:coauthVersionMax="47" xr10:uidLastSave="{00000000-0000-0000-0000-000000000000}"/>
  <bookViews>
    <workbookView xWindow="-120" yWindow="-120" windowWidth="20730" windowHeight="11160" tabRatio="739" xr2:uid="{00000000-000D-0000-FFFF-FFFF00000000}"/>
  </bookViews>
  <sheets>
    <sheet name="PPTO AULAS VILLANUEVA" sheetId="4" r:id="rId1"/>
    <sheet name="M.O." sheetId="14" r:id="rId2"/>
    <sheet name="Aseo y limpieza" sheetId="44" r:id="rId3"/>
    <sheet name="División aluminio y crilico" sheetId="43" r:id="rId4"/>
    <sheet name="Orinal" sheetId="42" r:id="rId5"/>
    <sheet name="Sanitario sencillo" sheetId="41" r:id="rId6"/>
    <sheet name="Lavamanos " sheetId="40" r:id="rId7"/>
    <sheet name="Ventaneria de alum 0.40x0.40" sheetId="39" r:id="rId8"/>
    <sheet name="Ventaneria de alum 1.5x1.5" sheetId="38" r:id="rId9"/>
    <sheet name="Tub sanit 2&quot;" sheetId="37" r:id="rId10"/>
    <sheet name="Tub sanit 4&quot;" sheetId="36" r:id="rId11"/>
    <sheet name="Reg sanit 82x82" sheetId="35" r:id="rId12"/>
    <sheet name="Punto sanitario 4&quot; " sheetId="33" r:id="rId13"/>
    <sheet name="Punto sanitario 2&quot;" sheetId="32" r:id="rId14"/>
    <sheet name="Punto hidrauico" sheetId="31" r:id="rId15"/>
    <sheet name="Tuberia 1l2&quot; " sheetId="30" r:id="rId16"/>
    <sheet name="Tablero multi brake" sheetId="29" r:id="rId17"/>
    <sheet name="Salida tomacorriente" sheetId="28" r:id="rId18"/>
    <sheet name="Salida luminaria" sheetId="27" r:id="rId19"/>
    <sheet name="Salida luces" sheetId="26" r:id="rId20"/>
    <sheet name="Acom electrica" sheetId="25" r:id="rId21"/>
    <sheet name="Cubierta Teja ondulada" sheetId="24" r:id="rId22"/>
    <sheet name="Estructura Metalica Cubierta" sheetId="23" r:id="rId23"/>
    <sheet name="Pintura Vinilo Nº1" sheetId="22" r:id="rId24"/>
    <sheet name="Placa maciza e=0.15m" sheetId="19" r:id="rId25"/>
    <sheet name="Viga sup 12x20" sheetId="18" r:id="rId26"/>
    <sheet name="Columneta 0.20x0.20" sheetId="17" r:id="rId27"/>
    <sheet name="Muro Block Nº4" sheetId="16" r:id="rId28"/>
    <sheet name="Relleno material seleccionado" sheetId="15" r:id="rId29"/>
    <sheet name="Viga cim. 25x25" sheetId="13" r:id="rId30"/>
    <sheet name="Solado limpieza 2000psi e=5cm" sheetId="12" r:id="rId31"/>
    <sheet name="Excavación manual viga" sheetId="11" r:id="rId32"/>
    <sheet name="Descapote" sheetId="10" r:id="rId33"/>
    <sheet name="Trazado Loc y Rep." sheetId="9" r:id="rId34"/>
  </sheets>
  <externalReferences>
    <externalReference r:id="rId35"/>
    <externalReference r:id="rId36"/>
    <externalReference r:id="rId37"/>
    <externalReference r:id="rId38"/>
  </externalReferences>
  <definedNames>
    <definedName name="_xlnm.Print_Area" localSheetId="26">'Columneta 0.20x0.20'!$A$1:$H$39</definedName>
    <definedName name="_xlnm.Print_Area" localSheetId="24">'Placa maciza e=0.15m'!$A$1:$G$35</definedName>
    <definedName name="_xlnm.Print_Area" localSheetId="0">'PPTO AULAS VILLANUEVA'!$A$1:$F$49</definedName>
    <definedName name="_xlnm.Print_Area" localSheetId="29">'Viga cim. 25x25'!$A$1:$H$41</definedName>
    <definedName name="_xlnm.Print_Area" localSheetId="25">'Viga sup 12x20'!$A$1:$G$38</definedName>
    <definedName name="AYUDANTE">#N/A</definedName>
    <definedName name="CEMENTOBLANCO">#N/A</definedName>
    <definedName name="Concepto" localSheetId="3">'[1] AdoVh'!#REF!</definedName>
    <definedName name="Concepto" localSheetId="22">'[2] AdoVh'!#REF!</definedName>
    <definedName name="Concepto" localSheetId="31">'[1] AdoVh'!#REF!</definedName>
    <definedName name="Concepto" localSheetId="4">'[2] AdoVh'!#REF!</definedName>
    <definedName name="Concepto" localSheetId="24">'[2] AdoVh'!#REF!</definedName>
    <definedName name="Concepto" localSheetId="12">'[2] AdoVh'!#REF!</definedName>
    <definedName name="Concepto" localSheetId="18">'[2] AdoVh'!#REF!</definedName>
    <definedName name="Concepto" localSheetId="30">'[1] AdoVh'!#REF!</definedName>
    <definedName name="Concepto" localSheetId="7">'[1] AdoVh'!#REF!</definedName>
    <definedName name="Concepto" localSheetId="8">'[1] AdoVh'!#REF!</definedName>
    <definedName name="Concepto" localSheetId="29">'[1] AdoVh'!#REF!</definedName>
    <definedName name="Concepto">'[2] AdoVh'!#REF!</definedName>
    <definedName name="CONCRE124">#N/A</definedName>
    <definedName name="CONCRE3000">#N/A</definedName>
    <definedName name="CONCRE4000">#N/A</definedName>
    <definedName name="Estructura" localSheetId="3">'[2] AdoVh'!#REF!</definedName>
    <definedName name="Estructura" localSheetId="4">'[2] AdoVh'!#REF!</definedName>
    <definedName name="Estructura" localSheetId="12">'[2] AdoVh'!#REF!</definedName>
    <definedName name="Estructura" localSheetId="18">'[2] AdoVh'!#REF!</definedName>
    <definedName name="Estructura" localSheetId="7">'[2] AdoVh'!#REF!</definedName>
    <definedName name="Estructura">'[2] AdoVh'!#REF!</definedName>
    <definedName name="IMPIPVC">#N/A</definedName>
    <definedName name="MANOAA">#N/A</definedName>
    <definedName name="MANOBB">#N/A</definedName>
    <definedName name="MANOCC">#N/A</definedName>
    <definedName name="MANODD">#N/A</definedName>
    <definedName name="MANOEE">#N/A</definedName>
    <definedName name="MORTERO14IMP">#N/A</definedName>
    <definedName name="MORTERO14N">#N/A</definedName>
    <definedName name="MORTERO15">#N/A</definedName>
    <definedName name="PEGAPVC">#N/A</definedName>
    <definedName name="VIBRADOR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23" l="1"/>
  <c r="F21" i="10"/>
  <c r="F27" i="10"/>
  <c r="G17" i="13"/>
  <c r="G14" i="13"/>
  <c r="F15" i="18"/>
  <c r="F12" i="19"/>
  <c r="J22" i="13"/>
  <c r="E13" i="13"/>
  <c r="D11" i="18"/>
  <c r="D14" i="18"/>
  <c r="D12" i="18"/>
  <c r="G28" i="44" l="1"/>
  <c r="G27" i="44"/>
  <c r="G29" i="44" s="1"/>
  <c r="G26" i="44"/>
  <c r="F21" i="44"/>
  <c r="G21" i="44" s="1"/>
  <c r="F20" i="44"/>
  <c r="G20" i="44" s="1"/>
  <c r="G16" i="44"/>
  <c r="G15" i="44"/>
  <c r="G10" i="44"/>
  <c r="G9" i="44"/>
  <c r="G11" i="44" s="1"/>
  <c r="G8" i="44"/>
  <c r="G27" i="43"/>
  <c r="G26" i="43"/>
  <c r="G25" i="43"/>
  <c r="G20" i="43"/>
  <c r="G22" i="43" s="1"/>
  <c r="D15" i="43"/>
  <c r="G10" i="43"/>
  <c r="G9" i="43"/>
  <c r="G8" i="43"/>
  <c r="G33" i="42"/>
  <c r="G32" i="42"/>
  <c r="G31" i="42"/>
  <c r="G25" i="42"/>
  <c r="G24" i="42"/>
  <c r="G28" i="42" s="1"/>
  <c r="G20" i="42"/>
  <c r="G14" i="42"/>
  <c r="F13" i="42"/>
  <c r="G13" i="42" s="1"/>
  <c r="G12" i="42"/>
  <c r="G11" i="42"/>
  <c r="G10" i="42"/>
  <c r="G9" i="42"/>
  <c r="G8" i="42"/>
  <c r="F13" i="41"/>
  <c r="G13" i="41" s="1"/>
  <c r="G12" i="41"/>
  <c r="G33" i="41"/>
  <c r="G32" i="41"/>
  <c r="G31" i="41"/>
  <c r="G34" i="41" s="1"/>
  <c r="G25" i="41"/>
  <c r="G24" i="41"/>
  <c r="G28" i="41" s="1"/>
  <c r="G20" i="41"/>
  <c r="G14" i="41"/>
  <c r="G11" i="41"/>
  <c r="G10" i="41"/>
  <c r="G9" i="41"/>
  <c r="G8" i="41"/>
  <c r="G31" i="40"/>
  <c r="G30" i="40"/>
  <c r="G29" i="40"/>
  <c r="G23" i="40"/>
  <c r="G22" i="40"/>
  <c r="G26" i="40" s="1"/>
  <c r="G18" i="40"/>
  <c r="G12" i="40"/>
  <c r="G11" i="40"/>
  <c r="G10" i="40"/>
  <c r="G9" i="40"/>
  <c r="G8" i="40"/>
  <c r="F8" i="39"/>
  <c r="G8" i="39" s="1"/>
  <c r="G27" i="39"/>
  <c r="G26" i="39"/>
  <c r="G25" i="39"/>
  <c r="G20" i="39"/>
  <c r="G22" i="39" s="1"/>
  <c r="D15" i="39"/>
  <c r="G10" i="39"/>
  <c r="G9" i="39"/>
  <c r="D15" i="38"/>
  <c r="G27" i="38"/>
  <c r="G26" i="38"/>
  <c r="G25" i="38"/>
  <c r="G20" i="38"/>
  <c r="G22" i="38" s="1"/>
  <c r="G10" i="38"/>
  <c r="G9" i="38"/>
  <c r="G8" i="38"/>
  <c r="D16" i="37"/>
  <c r="F10" i="37"/>
  <c r="G10" i="37" s="1"/>
  <c r="F9" i="37"/>
  <c r="F8" i="37"/>
  <c r="G8" i="37" s="1"/>
  <c r="G30" i="37"/>
  <c r="G29" i="37"/>
  <c r="G28" i="37"/>
  <c r="G21" i="37"/>
  <c r="G25" i="37" s="1"/>
  <c r="E9" i="37"/>
  <c r="D16" i="36"/>
  <c r="F10" i="36"/>
  <c r="G10" i="36" s="1"/>
  <c r="F9" i="36"/>
  <c r="F8" i="36"/>
  <c r="G8" i="36" s="1"/>
  <c r="G31" i="36"/>
  <c r="G30" i="36"/>
  <c r="G29" i="36"/>
  <c r="G28" i="36"/>
  <c r="G25" i="36"/>
  <c r="G21" i="36"/>
  <c r="E9" i="36"/>
  <c r="D20" i="35"/>
  <c r="F14" i="35"/>
  <c r="G14" i="35" s="1"/>
  <c r="F11" i="35"/>
  <c r="F10" i="35"/>
  <c r="F9" i="35"/>
  <c r="G9" i="35" s="1"/>
  <c r="F8" i="35"/>
  <c r="G34" i="35"/>
  <c r="G33" i="35"/>
  <c r="G32" i="35"/>
  <c r="G26" i="35"/>
  <c r="G25" i="35"/>
  <c r="G29" i="35" s="1"/>
  <c r="G13" i="35"/>
  <c r="G12" i="35"/>
  <c r="G11" i="35"/>
  <c r="G10" i="35"/>
  <c r="G8" i="35"/>
  <c r="G30" i="33"/>
  <c r="G29" i="33"/>
  <c r="G28" i="33"/>
  <c r="G23" i="33"/>
  <c r="G25" i="33" s="1"/>
  <c r="D18" i="33"/>
  <c r="G13" i="33"/>
  <c r="G12" i="33"/>
  <c r="G11" i="33"/>
  <c r="G10" i="33"/>
  <c r="G9" i="33"/>
  <c r="G8" i="33"/>
  <c r="D20" i="32"/>
  <c r="G32" i="32"/>
  <c r="G31" i="32"/>
  <c r="G30" i="32"/>
  <c r="G25" i="32"/>
  <c r="G27" i="32" s="1"/>
  <c r="G15" i="32"/>
  <c r="G14" i="32"/>
  <c r="G13" i="32"/>
  <c r="G12" i="32"/>
  <c r="G11" i="32"/>
  <c r="G10" i="32"/>
  <c r="G9" i="32"/>
  <c r="G8" i="32"/>
  <c r="D20" i="31"/>
  <c r="G34" i="31"/>
  <c r="G33" i="31"/>
  <c r="G32" i="31"/>
  <c r="G35" i="31" s="1"/>
  <c r="G25" i="31"/>
  <c r="G29" i="31" s="1"/>
  <c r="G15" i="31"/>
  <c r="G13" i="31"/>
  <c r="G12" i="31"/>
  <c r="F14" i="31" s="1"/>
  <c r="G11" i="31"/>
  <c r="G10" i="31"/>
  <c r="G9" i="31"/>
  <c r="G8" i="31"/>
  <c r="D16" i="30"/>
  <c r="G27" i="30"/>
  <c r="G26" i="30"/>
  <c r="G28" i="30" s="1"/>
  <c r="G21" i="30"/>
  <c r="G23" i="30" s="1"/>
  <c r="G11" i="30"/>
  <c r="G10" i="30"/>
  <c r="G9" i="30"/>
  <c r="G8" i="30"/>
  <c r="D21" i="29"/>
  <c r="G33" i="29"/>
  <c r="G32" i="29"/>
  <c r="G31" i="29"/>
  <c r="G26" i="29"/>
  <c r="G28" i="29" s="1"/>
  <c r="G14" i="29"/>
  <c r="G13" i="29"/>
  <c r="G12" i="29"/>
  <c r="G11" i="29"/>
  <c r="G10" i="29"/>
  <c r="G9" i="29"/>
  <c r="G8" i="29"/>
  <c r="D20" i="28"/>
  <c r="G34" i="28"/>
  <c r="G33" i="28"/>
  <c r="F32" i="28"/>
  <c r="G32" i="28" s="1"/>
  <c r="G35" i="28" s="1"/>
  <c r="G25" i="28"/>
  <c r="G29" i="28" s="1"/>
  <c r="G14" i="28"/>
  <c r="G13" i="28"/>
  <c r="G12" i="28"/>
  <c r="G11" i="28"/>
  <c r="G10" i="28"/>
  <c r="G9" i="28"/>
  <c r="G8" i="28"/>
  <c r="G16" i="28" s="1"/>
  <c r="D20" i="27"/>
  <c r="G32" i="27"/>
  <c r="G31" i="27"/>
  <c r="G30" i="27"/>
  <c r="G25" i="27"/>
  <c r="G27" i="27" s="1"/>
  <c r="G15" i="27"/>
  <c r="G14" i="27"/>
  <c r="G13" i="27"/>
  <c r="G12" i="27"/>
  <c r="G11" i="27"/>
  <c r="G10" i="27"/>
  <c r="G9" i="27"/>
  <c r="G8" i="27"/>
  <c r="G33" i="26"/>
  <c r="G32" i="26"/>
  <c r="G31" i="26"/>
  <c r="G26" i="26"/>
  <c r="G28" i="26" s="1"/>
  <c r="G16" i="26"/>
  <c r="G15" i="26"/>
  <c r="G14" i="26"/>
  <c r="G13" i="26"/>
  <c r="G12" i="26"/>
  <c r="G11" i="26"/>
  <c r="G10" i="26"/>
  <c r="G9" i="26"/>
  <c r="G8" i="26"/>
  <c r="G31" i="37" l="1"/>
  <c r="G9" i="37"/>
  <c r="G12" i="37" s="1"/>
  <c r="G28" i="39"/>
  <c r="G35" i="35"/>
  <c r="G32" i="40"/>
  <c r="G15" i="42"/>
  <c r="G34" i="42"/>
  <c r="G28" i="43"/>
  <c r="G31" i="33"/>
  <c r="G9" i="36"/>
  <c r="G15" i="41"/>
  <c r="G11" i="43"/>
  <c r="G23" i="44"/>
  <c r="G13" i="40"/>
  <c r="G11" i="39"/>
  <c r="G11" i="38"/>
  <c r="G28" i="38"/>
  <c r="G12" i="36"/>
  <c r="F15" i="35"/>
  <c r="G15" i="35" s="1"/>
  <c r="G16" i="35" s="1"/>
  <c r="G14" i="33"/>
  <c r="G33" i="32"/>
  <c r="G16" i="32"/>
  <c r="G14" i="31"/>
  <c r="G16" i="31" s="1"/>
  <c r="G12" i="30"/>
  <c r="G34" i="29"/>
  <c r="G17" i="29"/>
  <c r="G33" i="27"/>
  <c r="G16" i="27"/>
  <c r="G34" i="26"/>
  <c r="G17" i="26"/>
  <c r="D17" i="24" l="1"/>
  <c r="G29" i="25"/>
  <c r="G28" i="25"/>
  <c r="G27" i="25"/>
  <c r="G22" i="25"/>
  <c r="G24" i="25" s="1"/>
  <c r="D17" i="25"/>
  <c r="F12" i="25"/>
  <c r="G12" i="25" s="1"/>
  <c r="G11" i="25"/>
  <c r="G10" i="25"/>
  <c r="G9" i="25"/>
  <c r="G8" i="25"/>
  <c r="G31" i="24"/>
  <c r="G30" i="24"/>
  <c r="G29" i="24"/>
  <c r="G26" i="24"/>
  <c r="G22" i="24"/>
  <c r="F12" i="24"/>
  <c r="G12" i="24" s="1"/>
  <c r="G11" i="24"/>
  <c r="F10" i="24"/>
  <c r="G10" i="24" s="1"/>
  <c r="F9" i="24"/>
  <c r="G8" i="24"/>
  <c r="F8" i="24"/>
  <c r="G8" i="23"/>
  <c r="D16" i="23"/>
  <c r="G28" i="23"/>
  <c r="G27" i="23"/>
  <c r="G26" i="23"/>
  <c r="G21" i="23"/>
  <c r="G23" i="23" s="1"/>
  <c r="G10" i="23"/>
  <c r="G9" i="23"/>
  <c r="G13" i="25" l="1"/>
  <c r="G30" i="25"/>
  <c r="G32" i="24"/>
  <c r="G9" i="24"/>
  <c r="G13" i="24" s="1"/>
  <c r="G29" i="23"/>
  <c r="F11" i="23"/>
  <c r="G11" i="23" s="1"/>
  <c r="G12" i="23" s="1"/>
  <c r="F8" i="22"/>
  <c r="G29" i="22"/>
  <c r="G28" i="22"/>
  <c r="G27" i="22"/>
  <c r="F21" i="22"/>
  <c r="G21" i="22" s="1"/>
  <c r="G20" i="22"/>
  <c r="G10" i="22"/>
  <c r="G8" i="22"/>
  <c r="G30" i="22" l="1"/>
  <c r="F9" i="22"/>
  <c r="G9" i="22" s="1"/>
  <c r="G11" i="22" s="1"/>
  <c r="G24" i="22"/>
  <c r="E18" i="19"/>
  <c r="D10" i="19"/>
  <c r="F10" i="19" s="1"/>
  <c r="D9" i="19"/>
  <c r="F9" i="19" s="1"/>
  <c r="D8" i="19"/>
  <c r="F31" i="19"/>
  <c r="F30" i="19"/>
  <c r="F29" i="19"/>
  <c r="F24" i="19"/>
  <c r="C18" i="19"/>
  <c r="E8" i="19"/>
  <c r="F13" i="18"/>
  <c r="E12" i="18"/>
  <c r="E21" i="18"/>
  <c r="E11" i="18"/>
  <c r="F34" i="18"/>
  <c r="F33" i="18"/>
  <c r="F32" i="18"/>
  <c r="F35" i="18" s="1"/>
  <c r="F27" i="18"/>
  <c r="D10" i="18"/>
  <c r="F10" i="18" s="1"/>
  <c r="D9" i="18"/>
  <c r="E8" i="18"/>
  <c r="D8" i="18"/>
  <c r="G11" i="17"/>
  <c r="G15" i="17"/>
  <c r="E16" i="17"/>
  <c r="E15" i="17"/>
  <c r="E14" i="17"/>
  <c r="G14" i="17" s="1"/>
  <c r="E12" i="17"/>
  <c r="E11" i="17"/>
  <c r="E10" i="17"/>
  <c r="G10" i="17" s="1"/>
  <c r="E9" i="17"/>
  <c r="G9" i="17" s="1"/>
  <c r="E8" i="17"/>
  <c r="G8" i="17" s="1"/>
  <c r="E7" i="17"/>
  <c r="G16" i="17"/>
  <c r="G13" i="17"/>
  <c r="G12" i="17"/>
  <c r="G7" i="17"/>
  <c r="G31" i="16"/>
  <c r="G30" i="16"/>
  <c r="G29" i="16"/>
  <c r="G32" i="16" s="1"/>
  <c r="G22" i="16"/>
  <c r="G26" i="16" s="1"/>
  <c r="D17" i="16"/>
  <c r="G11" i="16"/>
  <c r="G10" i="16"/>
  <c r="G9" i="16"/>
  <c r="G8" i="16"/>
  <c r="F23" i="15"/>
  <c r="F20" i="15"/>
  <c r="E20" i="15"/>
  <c r="E21" i="15" s="1"/>
  <c r="F14" i="15"/>
  <c r="G14" i="15" s="1"/>
  <c r="G17" i="15" s="1"/>
  <c r="G29" i="15"/>
  <c r="F28" i="15"/>
  <c r="G28" i="15" s="1"/>
  <c r="F27" i="15"/>
  <c r="G27" i="15" s="1"/>
  <c r="G16" i="15"/>
  <c r="G15" i="15"/>
  <c r="G10" i="15"/>
  <c r="G9" i="15"/>
  <c r="G8" i="15"/>
  <c r="G11" i="15" s="1"/>
  <c r="G27" i="13"/>
  <c r="E10" i="13"/>
  <c r="E8" i="13"/>
  <c r="D21" i="13"/>
  <c r="D20" i="12"/>
  <c r="D15" i="9"/>
  <c r="D4" i="14"/>
  <c r="D26" i="14" s="1"/>
  <c r="E26" i="14" s="1"/>
  <c r="E46" i="14"/>
  <c r="F17" i="16" s="1"/>
  <c r="D63" i="14"/>
  <c r="E63" i="14" s="1"/>
  <c r="D50" i="14"/>
  <c r="E50" i="14" s="1"/>
  <c r="D82" i="14"/>
  <c r="E82" i="14" s="1"/>
  <c r="E81" i="14"/>
  <c r="E80" i="14"/>
  <c r="D79" i="14"/>
  <c r="E79" i="14" s="1"/>
  <c r="D78" i="14"/>
  <c r="E78" i="14" s="1"/>
  <c r="D77" i="14"/>
  <c r="E77" i="14" s="1"/>
  <c r="D76" i="14"/>
  <c r="E76" i="14" s="1"/>
  <c r="D75" i="14"/>
  <c r="E75" i="14" s="1"/>
  <c r="D74" i="14"/>
  <c r="E74" i="14" s="1"/>
  <c r="D73" i="14"/>
  <c r="E73" i="14" s="1"/>
  <c r="D72" i="14"/>
  <c r="E72" i="14" s="1"/>
  <c r="D69" i="14"/>
  <c r="E69" i="14" s="1"/>
  <c r="D68" i="14"/>
  <c r="E68" i="14" s="1"/>
  <c r="D67" i="14"/>
  <c r="E67" i="14" s="1"/>
  <c r="D66" i="14"/>
  <c r="E66" i="14" s="1"/>
  <c r="D62" i="14"/>
  <c r="E62" i="14" s="1"/>
  <c r="D61" i="14"/>
  <c r="E61" i="14" s="1"/>
  <c r="D58" i="14"/>
  <c r="E58" i="14" s="1"/>
  <c r="D57" i="14"/>
  <c r="E57" i="14" s="1"/>
  <c r="D56" i="14"/>
  <c r="E56" i="14" s="1"/>
  <c r="D53" i="14"/>
  <c r="E53" i="14" s="1"/>
  <c r="D52" i="14"/>
  <c r="E52" i="14" s="1"/>
  <c r="D51" i="14"/>
  <c r="E51" i="14" s="1"/>
  <c r="D47" i="14"/>
  <c r="E47" i="14" s="1"/>
  <c r="D40" i="14"/>
  <c r="E40" i="14" s="1"/>
  <c r="E39" i="14"/>
  <c r="E38" i="14"/>
  <c r="D37" i="14"/>
  <c r="E37" i="14" s="1"/>
  <c r="D36" i="14"/>
  <c r="E36" i="14" s="1"/>
  <c r="D35" i="14"/>
  <c r="E35" i="14" s="1"/>
  <c r="D34" i="14"/>
  <c r="E34" i="14" s="1"/>
  <c r="D33" i="14"/>
  <c r="E33" i="14" s="1"/>
  <c r="D32" i="14"/>
  <c r="E32" i="14" s="1"/>
  <c r="D31" i="14"/>
  <c r="E31" i="14" s="1"/>
  <c r="D30" i="14"/>
  <c r="E30" i="14" s="1"/>
  <c r="E5" i="14"/>
  <c r="F11" i="19" l="1"/>
  <c r="E13" i="19" s="1"/>
  <c r="F13" i="19" s="1"/>
  <c r="F14" i="19" s="1"/>
  <c r="F23" i="17"/>
  <c r="F14" i="11"/>
  <c r="F14" i="44"/>
  <c r="G14" i="44" s="1"/>
  <c r="G17" i="44" s="1"/>
  <c r="G31" i="44" s="1"/>
  <c r="F16" i="37"/>
  <c r="G16" i="37" s="1"/>
  <c r="F16" i="36"/>
  <c r="G16" i="36" s="1"/>
  <c r="F15" i="38"/>
  <c r="G15" i="38" s="1"/>
  <c r="F20" i="27"/>
  <c r="G20" i="27" s="1"/>
  <c r="F18" i="33"/>
  <c r="G18" i="33" s="1"/>
  <c r="F20" i="28"/>
  <c r="G20" i="28" s="1"/>
  <c r="F19" i="42"/>
  <c r="G19" i="42" s="1"/>
  <c r="F15" i="39"/>
  <c r="G15" i="39" s="1"/>
  <c r="F20" i="32"/>
  <c r="G20" i="32" s="1"/>
  <c r="F19" i="41"/>
  <c r="G19" i="41" s="1"/>
  <c r="F21" i="29"/>
  <c r="G21" i="29" s="1"/>
  <c r="F15" i="43"/>
  <c r="G15" i="43" s="1"/>
  <c r="F20" i="35"/>
  <c r="G20" i="35" s="1"/>
  <c r="F16" i="30"/>
  <c r="G16" i="30" s="1"/>
  <c r="F17" i="40"/>
  <c r="G17" i="40" s="1"/>
  <c r="F20" i="31"/>
  <c r="G20" i="31" s="1"/>
  <c r="F21" i="26"/>
  <c r="G21" i="26" s="1"/>
  <c r="F17" i="25"/>
  <c r="G17" i="25" s="1"/>
  <c r="F17" i="24"/>
  <c r="G17" i="24" s="1"/>
  <c r="F16" i="23"/>
  <c r="G16" i="23" s="1"/>
  <c r="F8" i="19"/>
  <c r="F32" i="19"/>
  <c r="F18" i="19"/>
  <c r="F23" i="19"/>
  <c r="D25" i="19"/>
  <c r="F25" i="19" s="1"/>
  <c r="F8" i="18"/>
  <c r="F12" i="18"/>
  <c r="F14" i="18"/>
  <c r="F11" i="18"/>
  <c r="F9" i="18"/>
  <c r="E16" i="18" s="1"/>
  <c r="C21" i="18"/>
  <c r="D22" i="17"/>
  <c r="D23" i="17" s="1"/>
  <c r="G32" i="17" s="1"/>
  <c r="G34" i="17" s="1"/>
  <c r="F17" i="17"/>
  <c r="G17" i="17" s="1"/>
  <c r="G17" i="16"/>
  <c r="F12" i="16"/>
  <c r="G12" i="16" s="1"/>
  <c r="G13" i="16" s="1"/>
  <c r="G20" i="15"/>
  <c r="G21" i="15"/>
  <c r="E22" i="15"/>
  <c r="E23" i="15" s="1"/>
  <c r="G23" i="15" s="1"/>
  <c r="G30" i="15"/>
  <c r="D8" i="14"/>
  <c r="E8" i="14" s="1"/>
  <c r="D14" i="14"/>
  <c r="E14" i="14" s="1"/>
  <c r="D24" i="14"/>
  <c r="E24" i="14" s="1"/>
  <c r="F14" i="10"/>
  <c r="F15" i="9"/>
  <c r="F21" i="13"/>
  <c r="F20" i="12"/>
  <c r="D27" i="14"/>
  <c r="E27" i="14" s="1"/>
  <c r="D9" i="14"/>
  <c r="E9" i="14" s="1"/>
  <c r="D15" i="14"/>
  <c r="E15" i="14" s="1"/>
  <c r="E4" i="14"/>
  <c r="D10" i="14"/>
  <c r="E10" i="14" s="1"/>
  <c r="D16" i="14"/>
  <c r="E16" i="14" s="1"/>
  <c r="D11" i="14"/>
  <c r="E11" i="14" s="1"/>
  <c r="D20" i="14"/>
  <c r="E20" i="14" s="1"/>
  <c r="D19" i="14"/>
  <c r="E19" i="14" s="1"/>
  <c r="D21" i="14"/>
  <c r="E21" i="14" s="1"/>
  <c r="D25" i="14"/>
  <c r="E25" i="14" s="1"/>
  <c r="F20" i="29" l="1"/>
  <c r="G20" i="29" s="1"/>
  <c r="G23" i="29" s="1"/>
  <c r="G36" i="29" s="1"/>
  <c r="E24" i="4" s="1"/>
  <c r="F14" i="38"/>
  <c r="G14" i="38" s="1"/>
  <c r="G17" i="38" s="1"/>
  <c r="G30" i="38" s="1"/>
  <c r="E32" i="4" s="1"/>
  <c r="F15" i="37"/>
  <c r="G15" i="37" s="1"/>
  <c r="G18" i="37" s="1"/>
  <c r="G33" i="37" s="1"/>
  <c r="E31" i="4" s="1"/>
  <c r="F15" i="30"/>
  <c r="G15" i="30" s="1"/>
  <c r="G18" i="30" s="1"/>
  <c r="G30" i="30" s="1"/>
  <c r="E25" i="4" s="1"/>
  <c r="F15" i="36"/>
  <c r="G15" i="36" s="1"/>
  <c r="G18" i="36" s="1"/>
  <c r="G33" i="36" s="1"/>
  <c r="E30" i="4" s="1"/>
  <c r="F19" i="35"/>
  <c r="G19" i="35" s="1"/>
  <c r="G22" i="35" s="1"/>
  <c r="G37" i="35" s="1"/>
  <c r="F19" i="27"/>
  <c r="G19" i="27" s="1"/>
  <c r="G22" i="27" s="1"/>
  <c r="G35" i="27" s="1"/>
  <c r="E22" i="4" s="1"/>
  <c r="F17" i="33"/>
  <c r="G17" i="33" s="1"/>
  <c r="G20" i="33" s="1"/>
  <c r="G33" i="33" s="1"/>
  <c r="E28" i="4" s="1"/>
  <c r="F19" i="28"/>
  <c r="G19" i="28" s="1"/>
  <c r="G22" i="28" s="1"/>
  <c r="G37" i="28" s="1"/>
  <c r="E23" i="4" s="1"/>
  <c r="F19" i="32"/>
  <c r="G19" i="32" s="1"/>
  <c r="G22" i="32" s="1"/>
  <c r="G35" i="32" s="1"/>
  <c r="E27" i="4" s="1"/>
  <c r="F14" i="43"/>
  <c r="G14" i="43" s="1"/>
  <c r="G17" i="43" s="1"/>
  <c r="G30" i="43" s="1"/>
  <c r="E37" i="4" s="1"/>
  <c r="F18" i="42"/>
  <c r="G18" i="42" s="1"/>
  <c r="G21" i="42" s="1"/>
  <c r="G36" i="42" s="1"/>
  <c r="E36" i="4" s="1"/>
  <c r="F18" i="41"/>
  <c r="G18" i="41" s="1"/>
  <c r="G21" i="41" s="1"/>
  <c r="G36" i="41" s="1"/>
  <c r="E35" i="4" s="1"/>
  <c r="F19" i="31"/>
  <c r="G19" i="31" s="1"/>
  <c r="G22" i="31" s="1"/>
  <c r="G37" i="31" s="1"/>
  <c r="E26" i="4" s="1"/>
  <c r="F16" i="40"/>
  <c r="G16" i="40" s="1"/>
  <c r="G19" i="40" s="1"/>
  <c r="G34" i="40" s="1"/>
  <c r="E34" i="4" s="1"/>
  <c r="F14" i="39"/>
  <c r="G14" i="39" s="1"/>
  <c r="F20" i="26"/>
  <c r="G20" i="26" s="1"/>
  <c r="G23" i="26" s="1"/>
  <c r="G36" i="26" s="1"/>
  <c r="E21" i="4" s="1"/>
  <c r="F16" i="25"/>
  <c r="G16" i="25" s="1"/>
  <c r="G19" i="25" s="1"/>
  <c r="G32" i="25" s="1"/>
  <c r="F16" i="24"/>
  <c r="G16" i="24" s="1"/>
  <c r="G19" i="24" s="1"/>
  <c r="G34" i="24" s="1"/>
  <c r="E19" i="4" s="1"/>
  <c r="F15" i="23"/>
  <c r="G15" i="23" s="1"/>
  <c r="G18" i="23" s="1"/>
  <c r="G31" i="23" s="1"/>
  <c r="F14" i="22"/>
  <c r="G14" i="22" s="1"/>
  <c r="G17" i="22" s="1"/>
  <c r="G32" i="22" s="1"/>
  <c r="E17" i="4" s="1"/>
  <c r="F16" i="16"/>
  <c r="G16" i="16" s="1"/>
  <c r="G19" i="16" s="1"/>
  <c r="E20" i="18"/>
  <c r="F20" i="18" s="1"/>
  <c r="F22" i="17"/>
  <c r="G22" i="17" s="1"/>
  <c r="F21" i="17"/>
  <c r="G21" i="17" s="1"/>
  <c r="E17" i="19"/>
  <c r="F17" i="19" s="1"/>
  <c r="F20" i="19" s="1"/>
  <c r="G34" i="16"/>
  <c r="E13" i="4" s="1"/>
  <c r="G17" i="39"/>
  <c r="G30" i="39" s="1"/>
  <c r="E33" i="4" s="1"/>
  <c r="F26" i="19"/>
  <c r="D26" i="18"/>
  <c r="F16" i="18"/>
  <c r="F17" i="18" s="1"/>
  <c r="F21" i="18"/>
  <c r="G23" i="17"/>
  <c r="G18" i="17"/>
  <c r="G22" i="15"/>
  <c r="G24" i="15" s="1"/>
  <c r="G32" i="15" s="1"/>
  <c r="E12" i="4" s="1"/>
  <c r="F20" i="13"/>
  <c r="F14" i="9"/>
  <c r="F19" i="12"/>
  <c r="E18" i="4" l="1"/>
  <c r="E29" i="4"/>
  <c r="F34" i="19"/>
  <c r="F26" i="18"/>
  <c r="D28" i="18"/>
  <c r="F28" i="18" s="1"/>
  <c r="F23" i="18"/>
  <c r="G24" i="17"/>
  <c r="G36" i="17" s="1"/>
  <c r="E14" i="4" l="1"/>
  <c r="E16" i="4"/>
  <c r="F29" i="18"/>
  <c r="F37" i="18" s="1"/>
  <c r="G35" i="13"/>
  <c r="G34" i="13"/>
  <c r="G33" i="13"/>
  <c r="G26" i="13"/>
  <c r="G30" i="13" s="1"/>
  <c r="G21" i="13"/>
  <c r="G20" i="13"/>
  <c r="G16" i="13"/>
  <c r="E15" i="13"/>
  <c r="G15" i="13" s="1"/>
  <c r="G13" i="13"/>
  <c r="E12" i="13"/>
  <c r="G12" i="13" s="1"/>
  <c r="E11" i="13"/>
  <c r="G11" i="13" s="1"/>
  <c r="G10" i="13"/>
  <c r="E9" i="13"/>
  <c r="G9" i="13" s="1"/>
  <c r="G8" i="13"/>
  <c r="G19" i="12"/>
  <c r="G20" i="12"/>
  <c r="G34" i="12"/>
  <c r="G33" i="12"/>
  <c r="G26" i="12"/>
  <c r="G25" i="12"/>
  <c r="G29" i="12" s="1"/>
  <c r="G15" i="12"/>
  <c r="G14" i="12"/>
  <c r="G13" i="12"/>
  <c r="G11" i="12"/>
  <c r="G10" i="12"/>
  <c r="G9" i="12"/>
  <c r="E8" i="12"/>
  <c r="G8" i="12" s="1"/>
  <c r="G14" i="11"/>
  <c r="G17" i="11" s="1"/>
  <c r="G28" i="11"/>
  <c r="G27" i="11"/>
  <c r="G26" i="11"/>
  <c r="G29" i="11" s="1"/>
  <c r="G20" i="11"/>
  <c r="G23" i="11" s="1"/>
  <c r="G10" i="11"/>
  <c r="G9" i="11"/>
  <c r="G8" i="11"/>
  <c r="E15" i="4" l="1"/>
  <c r="G36" i="13"/>
  <c r="G23" i="13"/>
  <c r="G22" i="12"/>
  <c r="F12" i="12"/>
  <c r="G12" i="12" s="1"/>
  <c r="G16" i="12" s="1"/>
  <c r="G35" i="12"/>
  <c r="G11" i="11"/>
  <c r="G31" i="11" s="1"/>
  <c r="E9" i="4" s="1"/>
  <c r="F20" i="10"/>
  <c r="G20" i="10" s="1"/>
  <c r="G21" i="10"/>
  <c r="G14" i="10"/>
  <c r="G29" i="10"/>
  <c r="G28" i="10"/>
  <c r="G27" i="10"/>
  <c r="G16" i="10"/>
  <c r="G15" i="10"/>
  <c r="G10" i="10"/>
  <c r="G9" i="10"/>
  <c r="G8" i="10"/>
  <c r="G30" i="10" l="1"/>
  <c r="G38" i="13"/>
  <c r="G37" i="12"/>
  <c r="E10" i="4" s="1"/>
  <c r="G24" i="10"/>
  <c r="G11" i="10"/>
  <c r="G17" i="10"/>
  <c r="G32" i="10" l="1"/>
  <c r="E11" i="4"/>
  <c r="E7" i="4" l="1"/>
  <c r="G28" i="9"/>
  <c r="G27" i="9"/>
  <c r="G26" i="9"/>
  <c r="G29" i="9" s="1"/>
  <c r="G20" i="9"/>
  <c r="G23" i="9" s="1"/>
  <c r="G15" i="9"/>
  <c r="G14" i="9"/>
  <c r="G10" i="9"/>
  <c r="G9" i="9"/>
  <c r="G8" i="9"/>
  <c r="G17" i="9" l="1"/>
  <c r="G11" i="9"/>
  <c r="G31" i="9" l="1"/>
  <c r="E6" i="4" s="1"/>
  <c r="D11" i="4" l="1"/>
  <c r="D15" i="4"/>
  <c r="D17" i="4" s="1"/>
  <c r="D16" i="4"/>
  <c r="D24" i="4"/>
  <c r="D30" i="4"/>
  <c r="F14" i="4" l="1"/>
  <c r="F17" i="4"/>
  <c r="F7" i="4"/>
  <c r="F39" i="4"/>
  <c r="F38" i="4" s="1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8" i="4"/>
  <c r="F9" i="4"/>
  <c r="F6" i="4"/>
  <c r="F5" i="4" l="1"/>
  <c r="F15" i="4"/>
  <c r="F19" i="4" l="1"/>
  <c r="F10" i="4"/>
  <c r="F13" i="4" l="1"/>
  <c r="F11" i="4"/>
  <c r="F16" i="4"/>
  <c r="F12" i="4" l="1"/>
  <c r="F8" i="4" l="1"/>
  <c r="F41" i="4" s="1"/>
  <c r="F42" i="4" s="1"/>
  <c r="F43" i="4" l="1"/>
  <c r="F44" i="4"/>
  <c r="F45" i="4" s="1"/>
  <c r="F46" i="4" l="1"/>
  <c r="F47" i="4" s="1"/>
  <c r="F48" i="4" s="1"/>
  <c r="J23" i="13" s="1"/>
  <c r="J24" i="13" s="1"/>
</calcChain>
</file>

<file path=xl/sharedStrings.xml><?xml version="1.0" encoding="utf-8"?>
<sst xmlns="http://schemas.openxmlformats.org/spreadsheetml/2006/main" count="1414" uniqueCount="352">
  <si>
    <t>m2</t>
  </si>
  <si>
    <t>m3</t>
  </si>
  <si>
    <t>PRELIMINARES</t>
  </si>
  <si>
    <t>Estructura metálica en perfil tipo C para  cubierta</t>
  </si>
  <si>
    <t>Acometida electrica en cable No 8</t>
  </si>
  <si>
    <t>Salida e interruptor de luces</t>
  </si>
  <si>
    <t>Salida luminaria tipo panel led de 18 W redondo</t>
  </si>
  <si>
    <t>Tablero de 4 circuitos  incluye interruptores automaticos y puesta  a tierra</t>
  </si>
  <si>
    <t xml:space="preserve">ASEO Y LIMPIEZA </t>
  </si>
  <si>
    <t xml:space="preserve">Aseo y Limpieza </t>
  </si>
  <si>
    <t>ITEM</t>
  </si>
  <si>
    <t xml:space="preserve">DESCRIPCION </t>
  </si>
  <si>
    <t>UND</t>
  </si>
  <si>
    <t>CANTIDAD</t>
  </si>
  <si>
    <t>VALOR UNITARIO</t>
  </si>
  <si>
    <t xml:space="preserve">VR/PARCIAL </t>
  </si>
  <si>
    <t>ml</t>
  </si>
  <si>
    <t>un</t>
  </si>
  <si>
    <t>m</t>
  </si>
  <si>
    <t>Registro sanitario de 0,82 m x 0,82 x 0,62 m</t>
  </si>
  <si>
    <t>VALOR COSTO DIRECTO</t>
  </si>
  <si>
    <t>IMPREVISTO 2%</t>
  </si>
  <si>
    <t>Tubería PVC 1/2"  y accesorios</t>
  </si>
  <si>
    <t>Punto hidraulico de 1/2", lavamanos y sanitarios</t>
  </si>
  <si>
    <t>Ventana  tipo corrediza en marco de lámina de alumnio 1,50x1,50</t>
  </si>
  <si>
    <t>1.1</t>
  </si>
  <si>
    <t>1.2</t>
  </si>
  <si>
    <t>3.1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</si>
  <si>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</si>
  <si>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</si>
  <si>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</si>
  <si>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</si>
  <si>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</si>
  <si>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</si>
  <si>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</si>
  <si>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</si>
  <si>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</si>
  <si>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</si>
  <si>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</si>
  <si>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</si>
  <si>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</si>
  <si>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</si>
  <si>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</si>
  <si>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</si>
  <si>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</si>
  <si>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</si>
  <si>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</si>
  <si>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</si>
  <si>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</si>
  <si>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</si>
  <si>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</si>
  <si>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</si>
  <si>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</si>
  <si>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</si>
  <si>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Suministro e instalación toma corriente doble estandar</t>
  </si>
  <si>
    <t>Vigas de cimentación  de 0,25 m x 0,25 en concreto 210 kg/cm² (3000 psi )</t>
  </si>
  <si>
    <t>Andamios</t>
  </si>
  <si>
    <t>Ventana  tipo corrediza en marco de lámina de alumnio 0,40x0,60</t>
  </si>
  <si>
    <t xml:space="preserve">Descapote de terreno </t>
  </si>
  <si>
    <t>Cubierta en  teja ondulada perfil 7 #10 o similar</t>
  </si>
  <si>
    <t>und</t>
  </si>
  <si>
    <t>2.27</t>
  </si>
  <si>
    <t>2.28</t>
  </si>
  <si>
    <t>2.29</t>
  </si>
  <si>
    <t>Placa maciza de e=0.15m  incluye impermeabilización concreto 3000 psi (210kg/cm²)</t>
  </si>
  <si>
    <t>IVA SOBRE UTILIDAD 19%</t>
  </si>
  <si>
    <t>VALOR COSTOS INDIRECTOS</t>
  </si>
  <si>
    <t>TOTAL PROYECTO</t>
  </si>
  <si>
    <t xml:space="preserve">VALOR TOTAL </t>
  </si>
  <si>
    <t>UTILIDAD 3%</t>
  </si>
  <si>
    <t>Vr. Unitario</t>
  </si>
  <si>
    <t>Cant.</t>
  </si>
  <si>
    <t>ANALISIS DE PRECIOS UNITARIOS</t>
  </si>
  <si>
    <t>UNIDAD : m2</t>
  </si>
  <si>
    <t>Materiales</t>
  </si>
  <si>
    <t>Un.</t>
  </si>
  <si>
    <t>Vr. Parcial</t>
  </si>
  <si>
    <t>Sub-total</t>
  </si>
  <si>
    <t>Mano de Obra</t>
  </si>
  <si>
    <t>Rend.</t>
  </si>
  <si>
    <t>Jornal+Prestaciones</t>
  </si>
  <si>
    <t>1 Oficial</t>
  </si>
  <si>
    <t>2 Ayudantes</t>
  </si>
  <si>
    <t>Equipo</t>
  </si>
  <si>
    <t>Tarifa</t>
  </si>
  <si>
    <t>Herramientas menores</t>
  </si>
  <si>
    <t>Transporte</t>
  </si>
  <si>
    <t>Costo Directo</t>
  </si>
  <si>
    <t xml:space="preserve">Trazado Localización y Replanteo </t>
  </si>
  <si>
    <r>
      <t>UNIDAD :</t>
    </r>
    <r>
      <rPr>
        <b/>
        <sz val="10"/>
        <rFont val="Arial Rounded MT Bold"/>
        <family val="2"/>
      </rPr>
      <t xml:space="preserve"> m3</t>
    </r>
  </si>
  <si>
    <t>Excavación manual para viga cimiento</t>
  </si>
  <si>
    <t>1 Ayudante</t>
  </si>
  <si>
    <r>
      <t xml:space="preserve">UNIDAD : </t>
    </r>
    <r>
      <rPr>
        <i/>
        <sz val="10"/>
        <rFont val="Arial Rounded MT Bold"/>
        <family val="2"/>
      </rPr>
      <t>m2</t>
    </r>
  </si>
  <si>
    <t xml:space="preserve">Cemento </t>
  </si>
  <si>
    <t>Kg</t>
  </si>
  <si>
    <t>Arena</t>
  </si>
  <si>
    <t>China</t>
  </si>
  <si>
    <t>Agua</t>
  </si>
  <si>
    <t>lt</t>
  </si>
  <si>
    <t xml:space="preserve">Desperdicios </t>
  </si>
  <si>
    <t>%</t>
  </si>
  <si>
    <t>1 Ayudantes</t>
  </si>
  <si>
    <t>Herramientas  Menores</t>
  </si>
  <si>
    <t>Global</t>
  </si>
  <si>
    <t>Solado de limpieza en concreto de 2.000 psi. Espesor 5.0 cm</t>
  </si>
  <si>
    <r>
      <t xml:space="preserve">ITEM : </t>
    </r>
    <r>
      <rPr>
        <sz val="10"/>
        <rFont val="Arial Rounded MT Bold"/>
        <family val="2"/>
      </rPr>
      <t>Excavación manual para viga cimiento</t>
    </r>
  </si>
  <si>
    <r>
      <t>UNIDAD :</t>
    </r>
    <r>
      <rPr>
        <sz val="10"/>
        <rFont val="Arial Rounded MT Bold"/>
        <family val="2"/>
      </rPr>
      <t>ml</t>
    </r>
  </si>
  <si>
    <r>
      <t xml:space="preserve">ITEM : </t>
    </r>
    <r>
      <rPr>
        <b/>
        <sz val="10"/>
        <rFont val="Arial Rounded MT Bold"/>
        <family val="2"/>
      </rPr>
      <t>TRAZADO, LOCALIZACION Y REPLANTEO</t>
    </r>
  </si>
  <si>
    <t>ITEM : DESCAPOTE  DE TERRENO</t>
  </si>
  <si>
    <r>
      <t>ITEM : Solado de limpieza en concreto de 2.000 psi.</t>
    </r>
    <r>
      <rPr>
        <sz val="10"/>
        <rFont val="Arial Rounded MT Bold"/>
        <family val="2"/>
      </rPr>
      <t xml:space="preserve">  Espesor=5 cm</t>
    </r>
  </si>
  <si>
    <t>Cemento</t>
  </si>
  <si>
    <t>Varilla 1/2" corrugada</t>
  </si>
  <si>
    <t>Varilla 3/8" lisa</t>
  </si>
  <si>
    <t>Cativo 1"x 1' (5 usos)</t>
  </si>
  <si>
    <t>pie</t>
  </si>
  <si>
    <t>Abarco 1"x2" (5 usos)</t>
  </si>
  <si>
    <t>Consumibles varios</t>
  </si>
  <si>
    <t>gl.</t>
  </si>
  <si>
    <t>1 Mezcladora de 9 pie3</t>
  </si>
  <si>
    <t>Herramientas  menores</t>
  </si>
  <si>
    <t>Mezcladora</t>
  </si>
  <si>
    <r>
      <t xml:space="preserve">ITEM : </t>
    </r>
    <r>
      <rPr>
        <b/>
        <sz val="10"/>
        <rFont val="Arial Rounded MT Bold"/>
        <family val="2"/>
      </rPr>
      <t>Viga de cimentación de 0,25 m x 0,25 m en concreto 210 kg/cm² Ref. 4</t>
    </r>
    <r>
      <rPr>
        <b/>
        <sz val="10"/>
        <rFont val="Calibri"/>
        <family val="2"/>
      </rPr>
      <t>ø</t>
    </r>
    <r>
      <rPr>
        <b/>
        <sz val="10"/>
        <rFont val="Arial Rounded MT Bold"/>
        <family val="2"/>
      </rPr>
      <t>1/2"+ 1ø3/8" c/0,25cm (3000 psi )</t>
    </r>
  </si>
  <si>
    <r>
      <t>UNIDAD :</t>
    </r>
    <r>
      <rPr>
        <b/>
        <sz val="10"/>
        <rFont val="Arial Rounded MT Bold"/>
        <family val="2"/>
      </rPr>
      <t>ml</t>
    </r>
  </si>
  <si>
    <t>ANUAL/MENSUAL</t>
  </si>
  <si>
    <t>DIARIO</t>
  </si>
  <si>
    <t>SALARIO OFICIAL DE ALBAÑILERIA</t>
  </si>
  <si>
    <t>SUBSIDIO DE TRANSPORTE</t>
  </si>
  <si>
    <t>PRESTACIONES SOCIALES</t>
  </si>
  <si>
    <t>VACACIONES</t>
  </si>
  <si>
    <t>PRIMAS</t>
  </si>
  <si>
    <t>CESANTIAS</t>
  </si>
  <si>
    <t>INTERESES DE CESANTIAS</t>
  </si>
  <si>
    <t>SEGURIDAD SOCIAL</t>
  </si>
  <si>
    <t>EPS</t>
  </si>
  <si>
    <t>ARL</t>
  </si>
  <si>
    <t>PENSION</t>
  </si>
  <si>
    <t>APORTES PARAFISCALES</t>
  </si>
  <si>
    <t>SENA</t>
  </si>
  <si>
    <t>ICBF</t>
  </si>
  <si>
    <t>COMFENALCO</t>
  </si>
  <si>
    <t>HORAS EXTRAS</t>
  </si>
  <si>
    <t>5 HORAS EXTRAS DIURNAS MES</t>
  </si>
  <si>
    <t>2 HORAS EXTRAS NOCTURNAS MES</t>
  </si>
  <si>
    <t>5 HORAS EXTRAS FESTIVO</t>
  </si>
  <si>
    <t>DOMINGOS Y FESTIVOS (REMPLAZO)</t>
  </si>
  <si>
    <t>DOTACION</t>
  </si>
  <si>
    <t>CASCO 1 AL AÑO</t>
  </si>
  <si>
    <t>CAMISA 6 AL AÑO</t>
  </si>
  <si>
    <t>PANTALON 6 AÑO</t>
  </si>
  <si>
    <t>BOTAS CAUCHO 2 PARES AL AÑO</t>
  </si>
  <si>
    <t>BOTAS DE CUERO 2 PARES AL AÑO</t>
  </si>
  <si>
    <t>MONOGAFAS 3 AL AÑO</t>
  </si>
  <si>
    <t>GUANTES 12 PARES AL AÑO</t>
  </si>
  <si>
    <t>PROTECTORES AUDITIVOS 12 AL AÑO</t>
  </si>
  <si>
    <t>IMPERMEABLE TIPO ABRIGO 1 AL AÑO</t>
  </si>
  <si>
    <t>CARNE DE IDENTIFICACION 1 AL AÑO</t>
  </si>
  <si>
    <t>PROTECTOR BOCA 288 AL AÑO</t>
  </si>
  <si>
    <t>SALARIO AYUDANTE DE ALBAÑILERIA</t>
  </si>
  <si>
    <t>DOTACION Y EPP</t>
  </si>
  <si>
    <t>Buldócer</t>
  </si>
  <si>
    <t>1 Oficiale</t>
  </si>
  <si>
    <t>Consumibles</t>
  </si>
  <si>
    <t>Glb</t>
  </si>
  <si>
    <t>Material seleccionado</t>
  </si>
  <si>
    <t>Vibrocompactador 7 Ton</t>
  </si>
  <si>
    <t>Volqueta 15 m3</t>
  </si>
  <si>
    <t>Herramienta menor</t>
  </si>
  <si>
    <t>Retroexcavadora de orugas</t>
  </si>
  <si>
    <t>Vibrocompactador 7 Toneladas</t>
  </si>
  <si>
    <t>Relleno con material de subbase, compactado en capas de 10 cm. 95% pm.</t>
  </si>
  <si>
    <t>ITEM : Relleno con material de subbase, compactado en capas de 10 cm. 95% pm.</t>
  </si>
  <si>
    <t xml:space="preserve">Muro en block vibrado No 4 </t>
  </si>
  <si>
    <t>Block No 4 , Vibrado</t>
  </si>
  <si>
    <t>Desperdicios</t>
  </si>
  <si>
    <t>Block No4</t>
  </si>
  <si>
    <r>
      <t>UNIDAD :</t>
    </r>
    <r>
      <rPr>
        <b/>
        <i/>
        <sz val="10"/>
        <rFont val="Arial Rounded MT Bold"/>
        <family val="2"/>
      </rPr>
      <t>m2</t>
    </r>
  </si>
  <si>
    <t xml:space="preserve">ITEM : Muro en block vibrado No 4 </t>
  </si>
  <si>
    <t xml:space="preserve">Arena </t>
  </si>
  <si>
    <t>Grava lisa 1/2"</t>
  </si>
  <si>
    <t>Varilla  de  3/4"</t>
  </si>
  <si>
    <t>Varilla  de  3/8"</t>
  </si>
  <si>
    <t>Abarco (5  usos )</t>
  </si>
  <si>
    <t>Un</t>
  </si>
  <si>
    <t>Cativo (3 usos)</t>
  </si>
  <si>
    <t>Puntillas</t>
  </si>
  <si>
    <t>1 Maestro</t>
  </si>
  <si>
    <r>
      <t xml:space="preserve">UNIDAD : </t>
    </r>
    <r>
      <rPr>
        <b/>
        <sz val="10"/>
        <rFont val="Arial Rounded MT Bold"/>
        <family val="2"/>
      </rPr>
      <t>Un</t>
    </r>
  </si>
  <si>
    <t>Columneta 0,20x0,20x2,00 en concreto 3000psi  Ref. 4Ø1/2"+1Ø3/8" C/0,20</t>
  </si>
  <si>
    <t>Cativo 1"x 1' (3 usos)</t>
  </si>
  <si>
    <t>Varilla  1/2"</t>
  </si>
  <si>
    <t>Varilla  3/8"</t>
  </si>
  <si>
    <t>H.  Menores</t>
  </si>
  <si>
    <t>Juego de Andamios</t>
  </si>
  <si>
    <t>ITEM : Viga Superior 0.12 m x 0.20 m en concreto. Ref 2Ø1/2" +1Ø3/8" C/0,20m</t>
  </si>
  <si>
    <t>ITEM : Columneta 0,20x0,20x2,00 en concreto 3000psi.  Ref. 4Ø1/2"+1Ø3/8" C/0,20m</t>
  </si>
  <si>
    <t>Viga Superior 0.12 m x 0.20 m en concreto. Ref 2Ø1/2" +1Ø3/8" C/0,20m</t>
  </si>
  <si>
    <t>ITEM : Placa maciza de e=0.15m inc. impermeabilización concreto 3000 psi (210kg/cm²)</t>
  </si>
  <si>
    <t>Encofrado continuo para placa maciza de concreto armado, hasta 3 m de altura libre de planta, compuesto de: puntales, sopandas metálicas y superficie encofrante de madera tratada reforzada con varillas y perfiles.</t>
  </si>
  <si>
    <t>UNIDAD : ml</t>
  </si>
  <si>
    <t xml:space="preserve">Suministro y aplicación de pintura vinilo tipo 1 a 2 manos </t>
  </si>
  <si>
    <t>Ga</t>
  </si>
  <si>
    <t>Pintor</t>
  </si>
  <si>
    <t>Transporte  Pintura</t>
  </si>
  <si>
    <t>ITEM : Suministro y aplicación de pintura vinilo tipo 1 a 2 manos</t>
  </si>
  <si>
    <r>
      <t>UNIDAD :</t>
    </r>
    <r>
      <rPr>
        <b/>
        <sz val="10"/>
        <rFont val="Arial Rounded MT Bold"/>
        <family val="2"/>
      </rPr>
      <t xml:space="preserve"> m2</t>
    </r>
  </si>
  <si>
    <t xml:space="preserve">Vinilo tipo 1 </t>
  </si>
  <si>
    <t>ITEM : Estructura metálica en perfil tipo C para  cubierta</t>
  </si>
  <si>
    <t>Perfil</t>
  </si>
  <si>
    <t>Perfil tipo C 18 2 mm de 160x60 (luces hasta 3,5 mts), aplica para cubierta en fibro
cemento.</t>
  </si>
  <si>
    <t>ANALISIS DE PRECIO UNITARIO</t>
  </si>
  <si>
    <t>Lamina  Fibrocemento #6</t>
  </si>
  <si>
    <t>Paraguitas para cubierta</t>
  </si>
  <si>
    <t>Ganchos  para cubierta</t>
  </si>
  <si>
    <t>Estructura</t>
  </si>
  <si>
    <t>Pt</t>
  </si>
  <si>
    <t>Jornal + Prestaciones</t>
  </si>
  <si>
    <t>3 Ayudantes</t>
  </si>
  <si>
    <t>Herramientas Menores</t>
  </si>
  <si>
    <r>
      <t xml:space="preserve">UNIDAD : </t>
    </r>
    <r>
      <rPr>
        <b/>
        <sz val="10"/>
        <rFont val="Arial"/>
        <family val="2"/>
      </rPr>
      <t>ML</t>
    </r>
  </si>
  <si>
    <t>Tubería conduit 3/4"</t>
  </si>
  <si>
    <t>Curva conduit 3/4"</t>
  </si>
  <si>
    <t>Cinta  Aislante</t>
  </si>
  <si>
    <t>gl</t>
  </si>
  <si>
    <t>Soldadura   Liquida  PVC</t>
  </si>
  <si>
    <t>Gal</t>
  </si>
  <si>
    <t>1  Electricista</t>
  </si>
  <si>
    <t xml:space="preserve">Herramientas  Menores </t>
  </si>
  <si>
    <t>ITEM : Acometida electrica en cable No 8</t>
  </si>
  <si>
    <t>Alambre centelsa Nº8 THHN rollo x 100m</t>
  </si>
  <si>
    <t>Caja  Octagonal</t>
  </si>
  <si>
    <t>Tubo conduit de  1/2 "</t>
  </si>
  <si>
    <t>Conector conduit de  1/2"</t>
  </si>
  <si>
    <t>Caja  de  2x4</t>
  </si>
  <si>
    <t>Interruptor  Sencillo C/LUZ PILOTO</t>
  </si>
  <si>
    <t>Alambre # 12 x 100m</t>
  </si>
  <si>
    <t>Plafón  Loza  con  Tornillos</t>
  </si>
  <si>
    <t>Gl</t>
  </si>
  <si>
    <t>Curva conduit de 1/2 "</t>
  </si>
  <si>
    <t xml:space="preserve">1 Electricista </t>
  </si>
  <si>
    <t>1  Ayudante</t>
  </si>
  <si>
    <t>ITEM : Salida e interruptor de luces</t>
  </si>
  <si>
    <t>UNIDAD : Unidad</t>
  </si>
  <si>
    <t>ITEM : Salida luminaria tipo panel led de 18 W redondo</t>
  </si>
  <si>
    <t>Panel led  18W</t>
  </si>
  <si>
    <t>Tomacorriente  Doble</t>
  </si>
  <si>
    <t>Alambre  # 12</t>
  </si>
  <si>
    <t>Curva conduit 1/2"</t>
  </si>
  <si>
    <t>Conector conduit 1/2"</t>
  </si>
  <si>
    <t xml:space="preserve">Cinta  Aislante </t>
  </si>
  <si>
    <t>ITEM :  Suministro e instalación toma corriente doble estandar</t>
  </si>
  <si>
    <t>Caja para cuña electrica 4 circuitos 100 amp</t>
  </si>
  <si>
    <t>Cuña 1 polo 110/240 v15 amp</t>
  </si>
  <si>
    <t>Tubo  de  1/2 "</t>
  </si>
  <si>
    <t>Cable  # 12</t>
  </si>
  <si>
    <t>Curva  1/2"</t>
  </si>
  <si>
    <t>Adaptador  de  Caja</t>
  </si>
  <si>
    <t>Cinta  Aislante x 18</t>
  </si>
  <si>
    <t>ITEM :  Tablero de 4 circuitos  incluye interruptores automaticos y puesta  a tierra</t>
  </si>
  <si>
    <r>
      <t xml:space="preserve">UNIDAD :  </t>
    </r>
    <r>
      <rPr>
        <b/>
        <sz val="10"/>
        <rFont val="Arial"/>
        <family val="2"/>
      </rPr>
      <t>ml</t>
    </r>
  </si>
  <si>
    <t xml:space="preserve">Soldadura pvc </t>
  </si>
  <si>
    <t>gal</t>
  </si>
  <si>
    <t>1 Plomero</t>
  </si>
  <si>
    <t>ITEM :  Tubería PVC 1/2"  y accesorios</t>
  </si>
  <si>
    <t>Tuberia  de  1/2" pvc</t>
  </si>
  <si>
    <t xml:space="preserve">Union  de  1/2" </t>
  </si>
  <si>
    <t>UNIDAD :  Punto</t>
  </si>
  <si>
    <t>Tubería Hidraulica 1/2"</t>
  </si>
  <si>
    <t>Codo 1/2" potable</t>
  </si>
  <si>
    <t>Unión 1/2" potable</t>
  </si>
  <si>
    <t>Soldadura pvc</t>
  </si>
  <si>
    <t>Tee 1/2" potable</t>
  </si>
  <si>
    <t>Tapon 1/2" potable</t>
  </si>
  <si>
    <t>Transporte  Tubería  y  accesorios</t>
  </si>
  <si>
    <t>ITEM :  Punto hidraulico de 1/2", lavamanos y sanitarios</t>
  </si>
  <si>
    <r>
      <t xml:space="preserve">UNIDAD :  </t>
    </r>
    <r>
      <rPr>
        <b/>
        <sz val="10"/>
        <rFont val="Arial"/>
        <family val="2"/>
      </rPr>
      <t>Punto</t>
    </r>
  </si>
  <si>
    <t>Tubería  Sanitaria 4" PVC</t>
  </si>
  <si>
    <t>Codo Sanitario 4</t>
  </si>
  <si>
    <t>Unión sanitaria 4</t>
  </si>
  <si>
    <t>Tee  Sanitaria 4</t>
  </si>
  <si>
    <t xml:space="preserve">ITEM :  Punto sanitario de 4" </t>
  </si>
  <si>
    <t xml:space="preserve">Punto sanitario de 4" </t>
  </si>
  <si>
    <t xml:space="preserve">Punto sanitario de 2" </t>
  </si>
  <si>
    <t xml:space="preserve">ITEM :  Punto sanitario de 2" </t>
  </si>
  <si>
    <t>Tubería  Sanitaria 2" PVC</t>
  </si>
  <si>
    <t>Codo Sanitario 2</t>
  </si>
  <si>
    <t>Unión sanitaria 2</t>
  </si>
  <si>
    <t>Tee  Sanitaria 2</t>
  </si>
  <si>
    <t>Bloques Nº4 vibrado</t>
  </si>
  <si>
    <t>Acero 40000psi</t>
  </si>
  <si>
    <t>Placco impermeabilizante</t>
  </si>
  <si>
    <t>Alambre</t>
  </si>
  <si>
    <t xml:space="preserve">1  Oficial </t>
  </si>
  <si>
    <t>H. menores</t>
  </si>
  <si>
    <t>Formaleta</t>
  </si>
  <si>
    <t>ITEM :  Registro sanitario de 0,82 m x 0,82 x 0,62 m</t>
  </si>
  <si>
    <r>
      <t xml:space="preserve">UNIDAD :  </t>
    </r>
    <r>
      <rPr>
        <b/>
        <sz val="10"/>
        <rFont val="Arial Rounded MT Bold"/>
        <family val="2"/>
      </rPr>
      <t>unidad</t>
    </r>
  </si>
  <si>
    <t>Tubería  Sanitaria  PVC  Ø 4"</t>
  </si>
  <si>
    <t>Unión  Ø 2"</t>
  </si>
  <si>
    <t>1  Oficial</t>
  </si>
  <si>
    <t>Transporte Tubería</t>
  </si>
  <si>
    <t>Tubería pvc 4'', incluye accesorios y excavación</t>
  </si>
  <si>
    <t>ITEM :  Tubería pvc 4'', incluye accesorios y excavación</t>
  </si>
  <si>
    <t>Unión  Ø 4"</t>
  </si>
  <si>
    <t>Tubería  Sanitaria  PVC  Ø 2"</t>
  </si>
  <si>
    <t>Tubería pvc 2'', incluye accesorios y excavación</t>
  </si>
  <si>
    <t>ITEM :  Tubería pvc 2'', incluye accesorios y excavación</t>
  </si>
  <si>
    <t xml:space="preserve">1 Oficial  </t>
  </si>
  <si>
    <t>Herr.  Menores</t>
  </si>
  <si>
    <t>Ventanería</t>
  </si>
  <si>
    <r>
      <t>UNIDAD :</t>
    </r>
    <r>
      <rPr>
        <b/>
        <sz val="10"/>
        <rFont val="Arial Rounded MT Bold"/>
        <family val="2"/>
      </rPr>
      <t xml:space="preserve"> Un</t>
    </r>
  </si>
  <si>
    <r>
      <t xml:space="preserve">ITEM :  </t>
    </r>
    <r>
      <rPr>
        <b/>
        <sz val="10"/>
        <rFont val="Arial Rounded MT Bold"/>
        <family val="2"/>
      </rPr>
      <t>Ventana  tipo corrediza en marco de lámina de alumnio 1,50x1,50</t>
    </r>
  </si>
  <si>
    <t>Ventana en aluminio y vidrio natural. Ref:744 semipesada 15x15</t>
  </si>
  <si>
    <r>
      <t>UNIDAD :</t>
    </r>
    <r>
      <rPr>
        <b/>
        <sz val="10"/>
        <rFont val="Arial Rounded MT Bold"/>
        <family val="2"/>
      </rPr>
      <t xml:space="preserve"> Unidad</t>
    </r>
  </si>
  <si>
    <t xml:space="preserve">Lavamanos Sencillo </t>
  </si>
  <si>
    <t>Accesorios lavamanos</t>
  </si>
  <si>
    <t>Adaptador macho pvc 1/2"</t>
  </si>
  <si>
    <t>Teflon</t>
  </si>
  <si>
    <t>Manguera</t>
  </si>
  <si>
    <t xml:space="preserve">1  Plomero </t>
  </si>
  <si>
    <t>ITEM : Suministro e instalación de lavamanos.  Inc accesorios y griferia.</t>
  </si>
  <si>
    <t>Suministro e instalación de lavamanos.  Incluye accesorios y griferia.</t>
  </si>
  <si>
    <t>Sanitario  sencillo</t>
  </si>
  <si>
    <t>Cemento  Blanco</t>
  </si>
  <si>
    <t xml:space="preserve">Sifón  Sanitario 4" </t>
  </si>
  <si>
    <t>Codo sanitario 4"</t>
  </si>
  <si>
    <t>Tubería  Hidráulica  de  1/2"</t>
  </si>
  <si>
    <t xml:space="preserve">Manguera </t>
  </si>
  <si>
    <t xml:space="preserve">1  Ayudante </t>
  </si>
  <si>
    <t>Herramientas   Menores</t>
  </si>
  <si>
    <t>Transporte  Sanitario</t>
  </si>
  <si>
    <t>Suministro e instalación de sanitario de descarga variable. Inc. accesorios.</t>
  </si>
  <si>
    <t>ITEM : Suministro e instalación de sanitario de descarga variable. Inc. accesorios.</t>
  </si>
  <si>
    <t>Suministro e instalación de orinal tipo institucional. Incluye accesorios.</t>
  </si>
  <si>
    <t>ITEM : Suministro e instalación de orinal tipo institucional. Incluye accesorios.</t>
  </si>
  <si>
    <t>Orinal sencillo</t>
  </si>
  <si>
    <t>División de baño en aluminio y acrilico</t>
  </si>
  <si>
    <t xml:space="preserve">División de baño en aluminio y acrilico. </t>
  </si>
  <si>
    <t>División</t>
  </si>
  <si>
    <t xml:space="preserve">1  Volqueta </t>
  </si>
  <si>
    <t>1  Retrocargador de llantas</t>
  </si>
  <si>
    <t>ITEM : Aseo y limpieza</t>
  </si>
  <si>
    <t>Ayudantes</t>
  </si>
  <si>
    <t>CONSTRUCCIÓN DE AULAS TEMPORALES</t>
  </si>
  <si>
    <t>ITEM : Cubierta en  teja ondulada perfil 7 #6 o similar</t>
  </si>
  <si>
    <t>Acero de refuerzo</t>
  </si>
  <si>
    <t>Alambre C 17</t>
  </si>
  <si>
    <t>kg</t>
  </si>
  <si>
    <t>Alambre negro C 17</t>
  </si>
  <si>
    <t>ADMINISTRACIÓN 20%</t>
  </si>
  <si>
    <t>traslado</t>
  </si>
  <si>
    <t>3.</t>
  </si>
  <si>
    <r>
      <t xml:space="preserve"> CONSTRUCCION DE AULAS TEMPORALES COMO MEDIDA DE MITIGACIÓN DEL RIESGO EN LA INSTITUCION EDUCATIVA TÉCNICA DE VILLANUEVA DEPARTAMENTO DE BOLÍVAR EN EL MARCO DE LA CALAMIDAD PUBLICA No. </t>
    </r>
    <r>
      <rPr>
        <b/>
        <sz val="12"/>
        <rFont val="Arial"/>
        <family val="2"/>
      </rPr>
      <t>029 DEL 02 DE MAYO DE 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</si>
</sst>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$&quot;\ * #,##0.00_-;\-&quot;$&quot;\ * #,##0.00_-;_-&quot;$&quot;\ * &quot;-&quot;??_-;_-@_-"/>
    <numFmt numFmtId="164" formatCode="_ &quot;$&quot;\ * #,##0.00_ ;_ &quot;$&quot;\ * \-#,##0.00_ ;_ &quot;$&quot;\ * &quot;-&quot;??_ ;_ @_ "/>
    <numFmt numFmtId="165" formatCode="&quot;$&quot;#,##0;\-&quot;$&quot;#,##0"/>
    <numFmt numFmtId="166" formatCode="_ * #,##0.00_ ;_ * \-#,##0.00_ ;_ * &quot;-&quot;??_ ;_ @_ "/>
    <numFmt numFmtId="167" formatCode="[$$-240A]\ #,##0.00"/>
    <numFmt numFmtId="168" formatCode="_-&quot;$&quot;\ * #,##0_-;\-&quot;$&quot;\ * #,##0_-;_-&quot;$&quot;\ * &quot;-&quot;??_-;_-@_-"/>
    <numFmt numFmtId="169" formatCode="&quot;$&quot;#,##0_);\(&quot;$&quot;#,##0\)"/>
    <numFmt numFmtId="170" formatCode="0.0"/>
    <numFmt numFmtId="171" formatCode="_-* #,##0.00\ &quot;€&quot;_-;\-* #,##0.00\ &quot;€&quot;_-;_-* &quot;-&quot;??\ &quot;€&quot;_-;_-@_-"/>
    <numFmt numFmtId="172" formatCode="_(&quot;$&quot;* #,##0.00_);_(&quot;$&quot;* \(#,##0.00\);_(&quot;$&quot;* &quot;-&quot;??_);_(@_)"/>
    <numFmt numFmtId="173" formatCode="0.000"/>
    <numFmt numFmtId="174" formatCode="&quot;$&quot;#,##0.0_);\(&quot;$&quot;#,##0.0\)"/>
    <numFmt numFmtId="175" formatCode="&quot;$&quot;#,##0.00_);\(&quot;$&quot;#,##0.00\)"/>
    <numFmt numFmtId="176" formatCode="0.0000"/>
    <numFmt numFmtId="177" formatCode="_ &quot;$&quot;\ * #,##0.0_ ;_ &quot;$&quot;\ * \-#,##0.0_ ;_ &quot;$&quot;\ * &quot;-&quot;??_ ;_ @_ "/>
    <numFmt numFmtId="178" formatCode="&quot;$&quot;\ #,##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MS Sans Serif"/>
    </font>
    <font>
      <sz val="10"/>
      <name val="Arial"/>
      <family val="2"/>
    </font>
    <font>
      <sz val="12"/>
      <color indexed="8"/>
      <name val="MS Sans Serif"/>
    </font>
    <font>
      <b/>
      <sz val="14"/>
      <color theme="1"/>
      <name val="Arial"/>
      <family val="2"/>
    </font>
    <font>
      <sz val="7.9"/>
      <color indexed="8"/>
      <name val="Arial"/>
      <family val="2"/>
    </font>
    <font>
      <b/>
      <sz val="26"/>
      <color theme="1"/>
      <name val="Arial"/>
      <family val="2"/>
    </font>
    <font>
      <sz val="26"/>
      <color indexed="8"/>
      <name val="MS Sans Serif"/>
    </font>
    <font>
      <sz val="12"/>
      <name val="Arial Unicode MS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0"/>
      <color theme="1"/>
      <name val="Arial Unicode MS"/>
      <family val="2"/>
    </font>
    <font>
      <sz val="10"/>
      <color indexed="8"/>
      <name val="MS Sans Serif"/>
      <family val="2"/>
    </font>
    <font>
      <sz val="11"/>
      <name val="Arial Unicode MS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indexed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2"/>
      <name val="Arial"/>
      <family val="2"/>
    </font>
    <font>
      <i/>
      <sz val="10"/>
      <name val="Arial Rounded MT Bold"/>
      <family val="2"/>
    </font>
    <font>
      <b/>
      <sz val="10"/>
      <name val="Arial Rounded MT Bold"/>
      <family val="2"/>
    </font>
    <font>
      <sz val="9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Rounded MT Bold"/>
      <family val="2"/>
    </font>
    <font>
      <b/>
      <i/>
      <sz val="10"/>
      <name val="Arial Rounded MT Bold"/>
      <family val="2"/>
    </font>
    <font>
      <b/>
      <sz val="10"/>
      <name val="Calibri"/>
      <family val="2"/>
    </font>
    <font>
      <sz val="11"/>
      <name val="Calibri"/>
      <family val="2"/>
      <scheme val="minor"/>
    </font>
    <font>
      <b/>
      <sz val="10"/>
      <color indexed="8"/>
      <name val="Arial"/>
      <family val="2"/>
    </font>
    <font>
      <u/>
      <sz val="11"/>
      <color theme="10"/>
      <name val="Calibri"/>
      <family val="2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indexed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1" fillId="0" borderId="0"/>
    <xf numFmtId="0" fontId="4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4" fillId="0" borderId="0"/>
    <xf numFmtId="0" fontId="14" fillId="0" borderId="0"/>
    <xf numFmtId="44" fontId="1" fillId="0" borderId="0" applyFont="0" applyFill="0" applyBorder="0" applyAlignment="0" applyProtection="0"/>
    <xf numFmtId="0" fontId="24" fillId="0" borderId="0"/>
    <xf numFmtId="171" fontId="1" fillId="0" borderId="0" applyFon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</cellStyleXfs>
  <cellXfs count="306">
    <xf numFmtId="0" fontId="0" fillId="0" borderId="0" xfId="0"/>
    <xf numFmtId="0" fontId="3" fillId="0" borderId="0" xfId="1"/>
    <xf numFmtId="0" fontId="5" fillId="0" borderId="0" xfId="1" applyFont="1"/>
    <xf numFmtId="165" fontId="6" fillId="0" borderId="0" xfId="4" applyNumberFormat="1" applyFont="1" applyAlignment="1">
      <alignment horizontal="left" vertical="center"/>
    </xf>
    <xf numFmtId="0" fontId="8" fillId="0" borderId="0" xfId="1" applyFont="1" applyAlignment="1">
      <alignment horizontal="justify" vertical="center"/>
    </xf>
    <xf numFmtId="0" fontId="9" fillId="0" borderId="0" xfId="1" applyFont="1"/>
    <xf numFmtId="0" fontId="3" fillId="0" borderId="0" xfId="1" applyAlignment="1">
      <alignment horizontal="center" vertical="center"/>
    </xf>
    <xf numFmtId="0" fontId="3" fillId="0" borderId="0" xfId="1" applyAlignment="1">
      <alignment vertical="center"/>
    </xf>
    <xf numFmtId="0" fontId="5" fillId="0" borderId="0" xfId="1" applyFont="1" applyAlignment="1">
      <alignment horizontal="center" vertical="center"/>
    </xf>
    <xf numFmtId="164" fontId="1" fillId="0" borderId="0" xfId="4" applyFont="1" applyFill="1" applyAlignment="1">
      <alignment vertical="center"/>
    </xf>
    <xf numFmtId="0" fontId="13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4" fontId="10" fillId="0" borderId="0" xfId="1" applyNumberFormat="1" applyFont="1" applyAlignment="1">
      <alignment horizontal="center" vertical="center"/>
    </xf>
    <xf numFmtId="164" fontId="11" fillId="0" borderId="0" xfId="4" applyFont="1" applyFill="1" applyBorder="1" applyAlignment="1">
      <alignment vertical="center"/>
    </xf>
    <xf numFmtId="164" fontId="12" fillId="0" borderId="0" xfId="4" applyFont="1" applyFill="1" applyBorder="1" applyAlignment="1">
      <alignment vertical="center"/>
    </xf>
    <xf numFmtId="44" fontId="11" fillId="0" borderId="0" xfId="1" applyNumberFormat="1" applyFont="1" applyAlignment="1">
      <alignment vertical="center"/>
    </xf>
    <xf numFmtId="2" fontId="11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horizontal="center"/>
    </xf>
    <xf numFmtId="44" fontId="3" fillId="0" borderId="0" xfId="8" applyFont="1"/>
    <xf numFmtId="0" fontId="13" fillId="0" borderId="23" xfId="1" applyFont="1" applyBorder="1" applyAlignment="1">
      <alignment horizontal="center" vertical="center"/>
    </xf>
    <xf numFmtId="0" fontId="3" fillId="0" borderId="23" xfId="1" applyBorder="1"/>
    <xf numFmtId="0" fontId="22" fillId="0" borderId="3" xfId="1" applyFont="1" applyBorder="1" applyAlignment="1">
      <alignment horizontal="left" vertical="center"/>
    </xf>
    <xf numFmtId="0" fontId="19" fillId="2" borderId="4" xfId="1" applyFont="1" applyFill="1" applyBorder="1" applyAlignment="1">
      <alignment horizontal="center" vertical="center"/>
    </xf>
    <xf numFmtId="166" fontId="19" fillId="0" borderId="6" xfId="5" applyFont="1" applyFill="1" applyBorder="1" applyAlignment="1">
      <alignment horizontal="right" vertical="center"/>
    </xf>
    <xf numFmtId="0" fontId="22" fillId="0" borderId="3" xfId="1" applyFont="1" applyBorder="1" applyAlignment="1">
      <alignment horizontal="left" vertical="center" wrapText="1"/>
    </xf>
    <xf numFmtId="0" fontId="19" fillId="2" borderId="7" xfId="1" applyFont="1" applyFill="1" applyBorder="1" applyAlignment="1">
      <alignment horizontal="center" vertical="center"/>
    </xf>
    <xf numFmtId="167" fontId="19" fillId="0" borderId="1" xfId="1" applyNumberFormat="1" applyFont="1" applyBorder="1" applyAlignment="1">
      <alignment vertical="center"/>
    </xf>
    <xf numFmtId="4" fontId="19" fillId="0" borderId="4" xfId="1" applyNumberFormat="1" applyFont="1" applyBorder="1" applyAlignment="1">
      <alignment horizontal="center" vertical="center"/>
    </xf>
    <xf numFmtId="166" fontId="19" fillId="0" borderId="2" xfId="5" applyFont="1" applyFill="1" applyBorder="1" applyAlignment="1">
      <alignment vertical="center"/>
    </xf>
    <xf numFmtId="167" fontId="19" fillId="0" borderId="5" xfId="1" applyNumberFormat="1" applyFont="1" applyBorder="1" applyAlignment="1">
      <alignment vertical="center"/>
    </xf>
    <xf numFmtId="0" fontId="19" fillId="0" borderId="4" xfId="1" applyFont="1" applyBorder="1" applyAlignment="1">
      <alignment horizontal="center" vertical="center"/>
    </xf>
    <xf numFmtId="0" fontId="22" fillId="0" borderId="5" xfId="1" applyFont="1" applyBorder="1" applyAlignment="1">
      <alignment vertical="center"/>
    </xf>
    <xf numFmtId="167" fontId="19" fillId="0" borderId="1" xfId="1" applyNumberFormat="1" applyFont="1" applyBorder="1" applyAlignment="1">
      <alignment vertical="center" wrapText="1"/>
    </xf>
    <xf numFmtId="167" fontId="19" fillId="0" borderId="1" xfId="6" applyNumberFormat="1" applyFont="1" applyBorder="1" applyAlignment="1">
      <alignment horizontal="left" vertical="center" wrapText="1"/>
    </xf>
    <xf numFmtId="167" fontId="19" fillId="0" borderId="1" xfId="7" applyNumberFormat="1" applyFont="1" applyBorder="1" applyAlignment="1">
      <alignment horizontal="justify" vertical="center"/>
    </xf>
    <xf numFmtId="167" fontId="19" fillId="0" borderId="1" xfId="1" applyNumberFormat="1" applyFont="1" applyBorder="1" applyAlignment="1">
      <alignment horizontal="left" vertical="center" wrapText="1"/>
    </xf>
    <xf numFmtId="167" fontId="19" fillId="0" borderId="1" xfId="1" applyNumberFormat="1" applyFont="1" applyBorder="1" applyAlignment="1">
      <alignment horizontal="justify" vertical="center" wrapText="1"/>
    </xf>
    <xf numFmtId="0" fontId="22" fillId="0" borderId="1" xfId="1" applyFont="1" applyBorder="1" applyAlignment="1">
      <alignment vertical="center" wrapText="1"/>
    </xf>
    <xf numFmtId="0" fontId="22" fillId="0" borderId="4" xfId="1" applyFont="1" applyBorder="1" applyAlignment="1">
      <alignment horizontal="left" vertical="center"/>
    </xf>
    <xf numFmtId="0" fontId="21" fillId="0" borderId="18" xfId="1" applyFont="1" applyBorder="1" applyAlignment="1">
      <alignment horizontal="center" vertical="center"/>
    </xf>
    <xf numFmtId="0" fontId="21" fillId="0" borderId="19" xfId="1" applyFont="1" applyBorder="1" applyAlignment="1">
      <alignment horizontal="center" vertical="center"/>
    </xf>
    <xf numFmtId="0" fontId="21" fillId="0" borderId="20" xfId="1" applyFont="1" applyBorder="1" applyAlignment="1">
      <alignment horizontal="center" vertical="center"/>
    </xf>
    <xf numFmtId="166" fontId="21" fillId="0" borderId="26" xfId="5" applyFont="1" applyFill="1" applyBorder="1" applyAlignment="1" applyProtection="1">
      <alignment horizontal="center" vertical="center" wrapText="1"/>
    </xf>
    <xf numFmtId="164" fontId="21" fillId="0" borderId="20" xfId="4" applyFont="1" applyFill="1" applyBorder="1" applyAlignment="1" applyProtection="1">
      <alignment horizontal="center" vertical="center" wrapText="1"/>
    </xf>
    <xf numFmtId="0" fontId="21" fillId="0" borderId="22" xfId="1" applyFont="1" applyBorder="1" applyAlignment="1">
      <alignment horizontal="center" vertical="center" wrapText="1"/>
    </xf>
    <xf numFmtId="0" fontId="22" fillId="0" borderId="27" xfId="1" applyFont="1" applyBorder="1" applyAlignment="1">
      <alignment horizontal="center" vertical="center"/>
    </xf>
    <xf numFmtId="0" fontId="22" fillId="2" borderId="23" xfId="1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4" fontId="15" fillId="0" borderId="0" xfId="1" applyNumberFormat="1" applyFont="1" applyAlignment="1">
      <alignment horizontal="center" vertical="center"/>
    </xf>
    <xf numFmtId="168" fontId="0" fillId="0" borderId="0" xfId="8" applyNumberFormat="1" applyFont="1"/>
    <xf numFmtId="0" fontId="0" fillId="0" borderId="4" xfId="0" applyBorder="1"/>
    <xf numFmtId="0" fontId="24" fillId="0" borderId="0" xfId="9"/>
    <xf numFmtId="0" fontId="24" fillId="0" borderId="3" xfId="9" applyBorder="1"/>
    <xf numFmtId="0" fontId="25" fillId="0" borderId="28" xfId="9" applyFont="1" applyBorder="1" applyAlignment="1">
      <alignment horizontal="centerContinuous"/>
    </xf>
    <xf numFmtId="0" fontId="24" fillId="0" borderId="28" xfId="9" applyBorder="1" applyAlignment="1">
      <alignment horizontal="centerContinuous"/>
    </xf>
    <xf numFmtId="0" fontId="24" fillId="0" borderId="29" xfId="9" applyBorder="1"/>
    <xf numFmtId="0" fontId="24" fillId="0" borderId="30" xfId="9" applyBorder="1"/>
    <xf numFmtId="0" fontId="25" fillId="0" borderId="0" xfId="9" applyFont="1" applyAlignment="1">
      <alignment horizontal="centerContinuous"/>
    </xf>
    <xf numFmtId="0" fontId="24" fillId="0" borderId="0" xfId="9" applyAlignment="1">
      <alignment horizontal="centerContinuous"/>
    </xf>
    <xf numFmtId="0" fontId="24" fillId="0" borderId="31" xfId="9" applyBorder="1"/>
    <xf numFmtId="0" fontId="24" fillId="0" borderId="4" xfId="9" applyBorder="1" applyAlignment="1">
      <alignment horizontal="left"/>
    </xf>
    <xf numFmtId="0" fontId="24" fillId="0" borderId="4" xfId="9" applyBorder="1" applyAlignment="1">
      <alignment horizontal="center"/>
    </xf>
    <xf numFmtId="0" fontId="24" fillId="0" borderId="4" xfId="9" applyBorder="1"/>
    <xf numFmtId="169" fontId="24" fillId="0" borderId="4" xfId="9" applyNumberFormat="1" applyBorder="1"/>
    <xf numFmtId="169" fontId="24" fillId="0" borderId="0" xfId="9" applyNumberFormat="1" applyAlignment="1">
      <alignment horizontal="right"/>
    </xf>
    <xf numFmtId="169" fontId="24" fillId="0" borderId="17" xfId="9" applyNumberFormat="1" applyBorder="1"/>
    <xf numFmtId="169" fontId="24" fillId="0" borderId="0" xfId="9" applyNumberFormat="1"/>
    <xf numFmtId="169" fontId="24" fillId="0" borderId="4" xfId="9" applyNumberFormat="1" applyBorder="1" applyAlignment="1">
      <alignment horizontal="right"/>
    </xf>
    <xf numFmtId="169" fontId="24" fillId="0" borderId="4" xfId="9" applyNumberFormat="1" applyBorder="1" applyAlignment="1">
      <alignment horizontal="center"/>
    </xf>
    <xf numFmtId="0" fontId="24" fillId="0" borderId="1" xfId="9" applyBorder="1"/>
    <xf numFmtId="169" fontId="24" fillId="0" borderId="2" xfId="9" applyNumberFormat="1" applyBorder="1"/>
    <xf numFmtId="0" fontId="24" fillId="0" borderId="5" xfId="9" applyBorder="1"/>
    <xf numFmtId="0" fontId="24" fillId="0" borderId="6" xfId="9" applyBorder="1"/>
    <xf numFmtId="0" fontId="24" fillId="0" borderId="32" xfId="9" applyBorder="1"/>
    <xf numFmtId="169" fontId="24" fillId="0" borderId="4" xfId="9" applyNumberFormat="1" applyBorder="1" applyAlignment="1">
      <alignment horizontal="left"/>
    </xf>
    <xf numFmtId="0" fontId="24" fillId="0" borderId="0" xfId="9" applyAlignment="1">
      <alignment horizontal="center"/>
    </xf>
    <xf numFmtId="0" fontId="24" fillId="0" borderId="29" xfId="9" applyBorder="1" applyAlignment="1">
      <alignment horizontal="centerContinuous"/>
    </xf>
    <xf numFmtId="0" fontId="24" fillId="0" borderId="6" xfId="9" applyBorder="1" applyAlignment="1">
      <alignment horizontal="center"/>
    </xf>
    <xf numFmtId="169" fontId="28" fillId="0" borderId="4" xfId="9" applyNumberFormat="1" applyFont="1" applyBorder="1"/>
    <xf numFmtId="2" fontId="29" fillId="0" borderId="4" xfId="9" applyNumberFormat="1" applyFont="1" applyBorder="1"/>
    <xf numFmtId="0" fontId="30" fillId="0" borderId="4" xfId="9" applyFont="1" applyBorder="1"/>
    <xf numFmtId="0" fontId="4" fillId="0" borderId="3" xfId="3" applyBorder="1"/>
    <xf numFmtId="0" fontId="25" fillId="0" borderId="28" xfId="3" applyFont="1" applyBorder="1" applyAlignment="1">
      <alignment horizontal="centerContinuous"/>
    </xf>
    <xf numFmtId="0" fontId="4" fillId="0" borderId="28" xfId="3" applyBorder="1" applyAlignment="1">
      <alignment horizontal="centerContinuous"/>
    </xf>
    <xf numFmtId="169" fontId="4" fillId="0" borderId="28" xfId="3" applyNumberFormat="1" applyBorder="1" applyAlignment="1">
      <alignment horizontal="centerContinuous"/>
    </xf>
    <xf numFmtId="0" fontId="4" fillId="0" borderId="29" xfId="3" applyBorder="1" applyAlignment="1">
      <alignment horizontal="centerContinuous"/>
    </xf>
    <xf numFmtId="0" fontId="4" fillId="0" borderId="0" xfId="3"/>
    <xf numFmtId="0" fontId="4" fillId="0" borderId="30" xfId="3" applyBorder="1"/>
    <xf numFmtId="0" fontId="25" fillId="0" borderId="0" xfId="3" applyFont="1" applyAlignment="1">
      <alignment horizontal="centerContinuous"/>
    </xf>
    <xf numFmtId="0" fontId="4" fillId="0" borderId="0" xfId="3" applyAlignment="1">
      <alignment horizontal="centerContinuous"/>
    </xf>
    <xf numFmtId="0" fontId="4" fillId="0" borderId="0" xfId="3" applyAlignment="1">
      <alignment horizontal="center"/>
    </xf>
    <xf numFmtId="169" fontId="4" fillId="0" borderId="0" xfId="3" applyNumberFormat="1" applyAlignment="1">
      <alignment horizontal="centerContinuous"/>
    </xf>
    <xf numFmtId="0" fontId="4" fillId="0" borderId="31" xfId="3" applyBorder="1"/>
    <xf numFmtId="169" fontId="4" fillId="0" borderId="0" xfId="3" applyNumberFormat="1"/>
    <xf numFmtId="0" fontId="4" fillId="0" borderId="4" xfId="3" applyBorder="1" applyAlignment="1">
      <alignment horizontal="left"/>
    </xf>
    <xf numFmtId="0" fontId="4" fillId="0" borderId="4" xfId="3" applyBorder="1" applyAlignment="1">
      <alignment horizontal="center"/>
    </xf>
    <xf numFmtId="169" fontId="4" fillId="0" borderId="4" xfId="3" applyNumberFormat="1" applyBorder="1" applyAlignment="1">
      <alignment horizontal="center"/>
    </xf>
    <xf numFmtId="0" fontId="4" fillId="0" borderId="4" xfId="3" applyBorder="1"/>
    <xf numFmtId="169" fontId="4" fillId="0" borderId="4" xfId="3" applyNumberFormat="1" applyBorder="1"/>
    <xf numFmtId="169" fontId="4" fillId="0" borderId="0" xfId="3" applyNumberFormat="1" applyAlignment="1">
      <alignment horizontal="right"/>
    </xf>
    <xf numFmtId="169" fontId="4" fillId="0" borderId="17" xfId="3" applyNumberFormat="1" applyBorder="1"/>
    <xf numFmtId="169" fontId="4" fillId="0" borderId="4" xfId="3" applyNumberFormat="1" applyBorder="1" applyAlignment="1">
      <alignment horizontal="right"/>
    </xf>
    <xf numFmtId="0" fontId="4" fillId="0" borderId="1" xfId="3" applyBorder="1"/>
    <xf numFmtId="169" fontId="4" fillId="0" borderId="2" xfId="3" applyNumberFormat="1" applyBorder="1"/>
    <xf numFmtId="0" fontId="4" fillId="0" borderId="5" xfId="3" applyBorder="1"/>
    <xf numFmtId="0" fontId="4" fillId="0" borderId="6" xfId="3" applyBorder="1"/>
    <xf numFmtId="0" fontId="4" fillId="0" borderId="6" xfId="3" applyBorder="1" applyAlignment="1">
      <alignment horizontal="center"/>
    </xf>
    <xf numFmtId="169" fontId="4" fillId="0" borderId="6" xfId="3" applyNumberFormat="1" applyBorder="1"/>
    <xf numFmtId="0" fontId="4" fillId="0" borderId="32" xfId="3" applyBorder="1"/>
    <xf numFmtId="0" fontId="31" fillId="0" borderId="0" xfId="3" applyFont="1" applyAlignment="1">
      <alignment horizontal="centerContinuous"/>
    </xf>
    <xf numFmtId="0" fontId="4" fillId="0" borderId="0" xfId="9" applyFont="1"/>
    <xf numFmtId="0" fontId="31" fillId="0" borderId="0" xfId="9" applyFont="1" applyAlignment="1">
      <alignment horizontal="left"/>
    </xf>
    <xf numFmtId="170" fontId="4" fillId="0" borderId="4" xfId="3" applyNumberFormat="1" applyBorder="1"/>
    <xf numFmtId="2" fontId="4" fillId="0" borderId="4" xfId="3" applyNumberFormat="1" applyBorder="1"/>
    <xf numFmtId="0" fontId="31" fillId="0" borderId="0" xfId="3" applyFont="1" applyAlignment="1">
      <alignment horizontal="left"/>
    </xf>
    <xf numFmtId="0" fontId="31" fillId="0" borderId="0" xfId="3" applyFont="1" applyAlignment="1">
      <alignment horizontal="center"/>
    </xf>
    <xf numFmtId="169" fontId="31" fillId="0" borderId="0" xfId="3" applyNumberFormat="1" applyFont="1" applyAlignment="1">
      <alignment horizontal="centerContinuous"/>
    </xf>
    <xf numFmtId="0" fontId="31" fillId="0" borderId="0" xfId="0" applyFont="1"/>
    <xf numFmtId="0" fontId="31" fillId="5" borderId="0" xfId="0" applyFont="1" applyFill="1"/>
    <xf numFmtId="0" fontId="0" fillId="5" borderId="0" xfId="0" applyFill="1"/>
    <xf numFmtId="172" fontId="4" fillId="3" borderId="0" xfId="10" applyNumberFormat="1" applyFont="1" applyFill="1"/>
    <xf numFmtId="172" fontId="4" fillId="0" borderId="0" xfId="10" applyNumberFormat="1" applyFont="1"/>
    <xf numFmtId="172" fontId="0" fillId="0" borderId="0" xfId="0" applyNumberFormat="1"/>
    <xf numFmtId="0" fontId="35" fillId="0" borderId="0" xfId="0" applyFont="1"/>
    <xf numFmtId="0" fontId="4" fillId="0" borderId="0" xfId="0" applyFont="1"/>
    <xf numFmtId="172" fontId="0" fillId="0" borderId="0" xfId="10" applyNumberFormat="1" applyFont="1"/>
    <xf numFmtId="2" fontId="30" fillId="0" borderId="4" xfId="9" applyNumberFormat="1" applyFont="1" applyBorder="1"/>
    <xf numFmtId="170" fontId="30" fillId="0" borderId="4" xfId="9" applyNumberFormat="1" applyFont="1" applyBorder="1" applyAlignment="1">
      <alignment horizontal="center"/>
    </xf>
    <xf numFmtId="0" fontId="4" fillId="0" borderId="4" xfId="9" applyFont="1" applyBorder="1"/>
    <xf numFmtId="172" fontId="4" fillId="4" borderId="0" xfId="10" applyNumberFormat="1" applyFont="1" applyFill="1"/>
    <xf numFmtId="0" fontId="0" fillId="0" borderId="3" xfId="0" applyBorder="1"/>
    <xf numFmtId="0" fontId="36" fillId="0" borderId="28" xfId="0" applyFont="1" applyBorder="1" applyAlignment="1">
      <alignment horizontal="centerContinuous"/>
    </xf>
    <xf numFmtId="0" fontId="0" fillId="0" borderId="28" xfId="0" applyBorder="1" applyAlignment="1">
      <alignment horizontal="centerContinuous"/>
    </xf>
    <xf numFmtId="0" fontId="0" fillId="0" borderId="29" xfId="0" applyBorder="1" applyAlignment="1">
      <alignment horizontal="centerContinuous"/>
    </xf>
    <xf numFmtId="0" fontId="0" fillId="0" borderId="30" xfId="0" applyBorder="1"/>
    <xf numFmtId="0" fontId="2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31" xfId="0" applyBorder="1"/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169" fontId="0" fillId="0" borderId="4" xfId="0" applyNumberFormat="1" applyBorder="1"/>
    <xf numFmtId="169" fontId="0" fillId="0" borderId="0" xfId="0" applyNumberFormat="1" applyAlignment="1">
      <alignment horizontal="right"/>
    </xf>
    <xf numFmtId="169" fontId="0" fillId="0" borderId="17" xfId="0" applyNumberFormat="1" applyBorder="1"/>
    <xf numFmtId="169" fontId="0" fillId="0" borderId="0" xfId="0" applyNumberFormat="1"/>
    <xf numFmtId="169" fontId="0" fillId="0" borderId="4" xfId="0" applyNumberFormat="1" applyBorder="1" applyAlignment="1">
      <alignment horizontal="right"/>
    </xf>
    <xf numFmtId="169" fontId="0" fillId="0" borderId="4" xfId="0" applyNumberFormat="1" applyBorder="1" applyAlignment="1">
      <alignment horizontal="center"/>
    </xf>
    <xf numFmtId="0" fontId="0" fillId="0" borderId="1" xfId="0" applyBorder="1"/>
    <xf numFmtId="169" fontId="0" fillId="0" borderId="2" xfId="0" applyNumberFormat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32" xfId="0" applyBorder="1"/>
    <xf numFmtId="0" fontId="23" fillId="0" borderId="0" xfId="0" applyFont="1"/>
    <xf numFmtId="0" fontId="23" fillId="0" borderId="0" xfId="0" applyFont="1" applyAlignment="1">
      <alignment horizontal="left"/>
    </xf>
    <xf numFmtId="169" fontId="0" fillId="0" borderId="28" xfId="0" applyNumberFormat="1" applyBorder="1" applyAlignment="1">
      <alignment horizontal="centerContinuous"/>
    </xf>
    <xf numFmtId="169" fontId="0" fillId="0" borderId="0" xfId="0" applyNumberFormat="1" applyAlignment="1">
      <alignment horizontal="centerContinuous"/>
    </xf>
    <xf numFmtId="170" fontId="0" fillId="0" borderId="4" xfId="0" applyNumberFormat="1" applyBorder="1"/>
    <xf numFmtId="173" fontId="0" fillId="0" borderId="4" xfId="0" applyNumberFormat="1" applyBorder="1"/>
    <xf numFmtId="169" fontId="0" fillId="0" borderId="6" xfId="0" applyNumberFormat="1" applyBorder="1"/>
    <xf numFmtId="0" fontId="38" fillId="0" borderId="4" xfId="0" applyFont="1" applyBorder="1" applyAlignment="1">
      <alignment horizontal="center"/>
    </xf>
    <xf numFmtId="0" fontId="35" fillId="0" borderId="3" xfId="0" applyFont="1" applyBorder="1"/>
    <xf numFmtId="0" fontId="31" fillId="0" borderId="28" xfId="0" applyFont="1" applyBorder="1" applyAlignment="1">
      <alignment horizontal="centerContinuous"/>
    </xf>
    <xf numFmtId="0" fontId="35" fillId="0" borderId="28" xfId="0" applyFont="1" applyBorder="1" applyAlignment="1">
      <alignment horizontal="centerContinuous"/>
    </xf>
    <xf numFmtId="169" fontId="35" fillId="0" borderId="28" xfId="0" applyNumberFormat="1" applyFont="1" applyBorder="1" applyAlignment="1">
      <alignment horizontal="centerContinuous"/>
    </xf>
    <xf numFmtId="0" fontId="35" fillId="0" borderId="29" xfId="0" applyFont="1" applyBorder="1" applyAlignment="1">
      <alignment horizontal="centerContinuous"/>
    </xf>
    <xf numFmtId="0" fontId="35" fillId="0" borderId="30" xfId="0" applyFont="1" applyBorder="1"/>
    <xf numFmtId="0" fontId="31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0" fontId="35" fillId="0" borderId="0" xfId="0" applyFont="1" applyAlignment="1">
      <alignment horizontal="center"/>
    </xf>
    <xf numFmtId="169" fontId="35" fillId="0" borderId="0" xfId="0" applyNumberFormat="1" applyFont="1" applyAlignment="1">
      <alignment horizontal="centerContinuous"/>
    </xf>
    <xf numFmtId="0" fontId="35" fillId="0" borderId="31" xfId="0" applyFont="1" applyBorder="1"/>
    <xf numFmtId="174" fontId="35" fillId="0" borderId="0" xfId="0" applyNumberFormat="1" applyFont="1" applyAlignment="1">
      <alignment horizontal="centerContinuous"/>
    </xf>
    <xf numFmtId="169" fontId="35" fillId="0" borderId="0" xfId="0" applyNumberFormat="1" applyFont="1"/>
    <xf numFmtId="0" fontId="35" fillId="0" borderId="4" xfId="0" applyFont="1" applyBorder="1" applyAlignment="1">
      <alignment horizontal="left"/>
    </xf>
    <xf numFmtId="0" fontId="35" fillId="0" borderId="4" xfId="0" applyFont="1" applyBorder="1" applyAlignment="1">
      <alignment horizontal="center"/>
    </xf>
    <xf numFmtId="169" fontId="35" fillId="0" borderId="4" xfId="0" applyNumberFormat="1" applyFont="1" applyBorder="1" applyAlignment="1">
      <alignment horizontal="center"/>
    </xf>
    <xf numFmtId="0" fontId="35" fillId="0" borderId="4" xfId="0" applyFont="1" applyBorder="1"/>
    <xf numFmtId="169" fontId="35" fillId="0" borderId="4" xfId="0" applyNumberFormat="1" applyFont="1" applyBorder="1"/>
    <xf numFmtId="170" fontId="35" fillId="0" borderId="4" xfId="0" applyNumberFormat="1" applyFont="1" applyBorder="1"/>
    <xf numFmtId="2" fontId="35" fillId="0" borderId="4" xfId="0" applyNumberFormat="1" applyFont="1" applyBorder="1"/>
    <xf numFmtId="169" fontId="35" fillId="0" borderId="0" xfId="0" applyNumberFormat="1" applyFont="1" applyAlignment="1">
      <alignment horizontal="right"/>
    </xf>
    <xf numFmtId="169" fontId="35" fillId="0" borderId="17" xfId="0" applyNumberFormat="1" applyFont="1" applyBorder="1"/>
    <xf numFmtId="169" fontId="35" fillId="0" borderId="4" xfId="0" applyNumberFormat="1" applyFont="1" applyBorder="1" applyAlignment="1">
      <alignment horizontal="right"/>
    </xf>
    <xf numFmtId="0" fontId="35" fillId="0" borderId="1" xfId="0" applyFont="1" applyBorder="1"/>
    <xf numFmtId="169" fontId="35" fillId="0" borderId="2" xfId="0" applyNumberFormat="1" applyFont="1" applyBorder="1"/>
    <xf numFmtId="0" fontId="35" fillId="0" borderId="5" xfId="0" applyFont="1" applyBorder="1"/>
    <xf numFmtId="0" fontId="35" fillId="0" borderId="6" xfId="0" applyFont="1" applyBorder="1"/>
    <xf numFmtId="0" fontId="35" fillId="0" borderId="6" xfId="0" applyFont="1" applyBorder="1" applyAlignment="1">
      <alignment horizontal="center"/>
    </xf>
    <xf numFmtId="169" fontId="35" fillId="0" borderId="6" xfId="0" applyNumberFormat="1" applyFont="1" applyBorder="1"/>
    <xf numFmtId="0" fontId="35" fillId="0" borderId="32" xfId="0" applyFont="1" applyBorder="1"/>
    <xf numFmtId="0" fontId="39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5" fillId="0" borderId="28" xfId="0" applyFont="1" applyBorder="1" applyAlignment="1">
      <alignment horizontal="centerContinuous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vertical="center"/>
    </xf>
    <xf numFmtId="169" fontId="0" fillId="0" borderId="4" xfId="0" applyNumberFormat="1" applyBorder="1" applyAlignment="1">
      <alignment vertical="center"/>
    </xf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vertical="center"/>
    </xf>
    <xf numFmtId="0" fontId="40" fillId="0" borderId="0" xfId="0" applyFont="1" applyAlignment="1">
      <alignment horizontal="left"/>
    </xf>
    <xf numFmtId="13" fontId="0" fillId="0" borderId="4" xfId="0" applyNumberFormat="1" applyBorder="1"/>
    <xf numFmtId="0" fontId="4" fillId="0" borderId="0" xfId="0" applyFont="1" applyAlignment="1">
      <alignment horizontal="center"/>
    </xf>
    <xf numFmtId="169" fontId="4" fillId="0" borderId="0" xfId="0" applyNumberFormat="1" applyFont="1"/>
    <xf numFmtId="0" fontId="4" fillId="0" borderId="3" xfId="0" applyFont="1" applyBorder="1"/>
    <xf numFmtId="0" fontId="4" fillId="0" borderId="28" xfId="0" applyFont="1" applyBorder="1" applyAlignment="1">
      <alignment horizontal="centerContinuous"/>
    </xf>
    <xf numFmtId="169" fontId="4" fillId="0" borderId="28" xfId="0" applyNumberFormat="1" applyFont="1" applyBorder="1" applyAlignment="1">
      <alignment horizontal="centerContinuous"/>
    </xf>
    <xf numFmtId="0" fontId="4" fillId="0" borderId="29" xfId="0" applyFont="1" applyBorder="1" applyAlignment="1">
      <alignment horizontal="centerContinuous"/>
    </xf>
    <xf numFmtId="0" fontId="4" fillId="0" borderId="30" xfId="0" applyFont="1" applyBorder="1"/>
    <xf numFmtId="0" fontId="4" fillId="0" borderId="0" xfId="0" applyFont="1" applyAlignment="1">
      <alignment horizontal="centerContinuous"/>
    </xf>
    <xf numFmtId="169" fontId="4" fillId="0" borderId="0" xfId="0" applyNumberFormat="1" applyFont="1" applyAlignment="1">
      <alignment horizontal="centerContinuous"/>
    </xf>
    <xf numFmtId="0" fontId="4" fillId="0" borderId="31" xfId="0" applyFont="1" applyBorder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169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169" fontId="4" fillId="0" borderId="4" xfId="0" applyNumberFormat="1" applyFont="1" applyBorder="1"/>
    <xf numFmtId="2" fontId="4" fillId="0" borderId="4" xfId="0" applyNumberFormat="1" applyFont="1" applyBorder="1"/>
    <xf numFmtId="169" fontId="4" fillId="0" borderId="0" xfId="0" applyNumberFormat="1" applyFont="1" applyAlignment="1">
      <alignment horizontal="right"/>
    </xf>
    <xf numFmtId="169" fontId="4" fillId="0" borderId="17" xfId="0" applyNumberFormat="1" applyFont="1" applyBorder="1"/>
    <xf numFmtId="169" fontId="4" fillId="0" borderId="4" xfId="0" applyNumberFormat="1" applyFont="1" applyBorder="1" applyAlignment="1">
      <alignment horizontal="right"/>
    </xf>
    <xf numFmtId="0" fontId="4" fillId="0" borderId="1" xfId="0" applyFont="1" applyBorder="1"/>
    <xf numFmtId="169" fontId="4" fillId="0" borderId="2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69" fontId="4" fillId="0" borderId="6" xfId="0" applyNumberFormat="1" applyFont="1" applyBorder="1"/>
    <xf numFmtId="0" fontId="4" fillId="0" borderId="32" xfId="0" applyFont="1" applyBorder="1"/>
    <xf numFmtId="0" fontId="31" fillId="0" borderId="0" xfId="0" applyFont="1" applyAlignment="1">
      <alignment horizontal="left"/>
    </xf>
    <xf numFmtId="0" fontId="30" fillId="0" borderId="4" xfId="0" applyFont="1" applyBorder="1" applyAlignment="1">
      <alignment horizontal="center"/>
    </xf>
    <xf numFmtId="1" fontId="4" fillId="0" borderId="4" xfId="0" applyNumberFormat="1" applyFont="1" applyBorder="1"/>
    <xf numFmtId="173" fontId="35" fillId="0" borderId="4" xfId="0" applyNumberFormat="1" applyFont="1" applyBorder="1"/>
    <xf numFmtId="2" fontId="2" fillId="0" borderId="4" xfId="0" applyNumberFormat="1" applyFont="1" applyBorder="1" applyAlignment="1">
      <alignment horizontal="center"/>
    </xf>
    <xf numFmtId="2" fontId="35" fillId="0" borderId="4" xfId="0" applyNumberFormat="1" applyFont="1" applyBorder="1" applyAlignment="1">
      <alignment horizontal="center"/>
    </xf>
    <xf numFmtId="175" fontId="0" fillId="0" borderId="0" xfId="0" applyNumberFormat="1"/>
    <xf numFmtId="175" fontId="35" fillId="0" borderId="4" xfId="0" applyNumberFormat="1" applyFont="1" applyBorder="1"/>
    <xf numFmtId="0" fontId="31" fillId="0" borderId="28" xfId="3" applyFont="1" applyBorder="1" applyAlignment="1">
      <alignment horizontal="centerContinuous"/>
    </xf>
    <xf numFmtId="0" fontId="4" fillId="0" borderId="4" xfId="3" applyBorder="1" applyAlignment="1">
      <alignment wrapText="1"/>
    </xf>
    <xf numFmtId="0" fontId="4" fillId="0" borderId="4" xfId="3" applyBorder="1" applyAlignment="1">
      <alignment horizontal="center" vertical="center"/>
    </xf>
    <xf numFmtId="0" fontId="4" fillId="0" borderId="4" xfId="3" applyBorder="1" applyAlignment="1">
      <alignment vertical="center"/>
    </xf>
    <xf numFmtId="169" fontId="4" fillId="0" borderId="4" xfId="3" applyNumberFormat="1" applyBorder="1" applyAlignment="1">
      <alignment vertical="center"/>
    </xf>
    <xf numFmtId="175" fontId="4" fillId="0" borderId="17" xfId="3" applyNumberFormat="1" applyBorder="1"/>
    <xf numFmtId="0" fontId="30" fillId="0" borderId="4" xfId="3" applyFont="1" applyBorder="1" applyAlignment="1">
      <alignment horizontal="center"/>
    </xf>
    <xf numFmtId="2" fontId="30" fillId="0" borderId="4" xfId="3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4" fillId="0" borderId="13" xfId="3" applyBorder="1"/>
    <xf numFmtId="168" fontId="4" fillId="0" borderId="0" xfId="8" applyNumberFormat="1" applyFont="1"/>
    <xf numFmtId="44" fontId="4" fillId="0" borderId="0" xfId="8" applyFont="1"/>
    <xf numFmtId="176" fontId="29" fillId="0" borderId="1" xfId="3" applyNumberFormat="1" applyFont="1" applyBorder="1" applyAlignment="1">
      <alignment horizontal="left"/>
    </xf>
    <xf numFmtId="176" fontId="29" fillId="0" borderId="4" xfId="3" applyNumberFormat="1" applyFont="1" applyBorder="1" applyAlignment="1">
      <alignment horizontal="left"/>
    </xf>
    <xf numFmtId="177" fontId="18" fillId="0" borderId="14" xfId="4" applyNumberFormat="1" applyFont="1" applyFill="1" applyBorder="1" applyAlignment="1">
      <alignment vertical="center"/>
    </xf>
    <xf numFmtId="177" fontId="19" fillId="0" borderId="14" xfId="4" applyNumberFormat="1" applyFont="1" applyFill="1" applyBorder="1" applyAlignment="1">
      <alignment vertical="center"/>
    </xf>
    <xf numFmtId="0" fontId="6" fillId="0" borderId="0" xfId="1" applyFont="1" applyAlignment="1">
      <alignment horizontal="justify" vertical="center"/>
    </xf>
    <xf numFmtId="164" fontId="19" fillId="0" borderId="7" xfId="4" applyFont="1" applyFill="1" applyBorder="1" applyAlignment="1">
      <alignment vertical="center"/>
    </xf>
    <xf numFmtId="164" fontId="19" fillId="0" borderId="4" xfId="4" applyFont="1" applyFill="1" applyBorder="1" applyAlignment="1">
      <alignment vertical="center"/>
    </xf>
    <xf numFmtId="164" fontId="19" fillId="0" borderId="4" xfId="4" applyFont="1" applyFill="1" applyBorder="1" applyAlignment="1">
      <alignment horizontal="right" vertical="center"/>
    </xf>
    <xf numFmtId="0" fontId="3" fillId="0" borderId="25" xfId="1" applyBorder="1"/>
    <xf numFmtId="0" fontId="6" fillId="0" borderId="16" xfId="1" applyFont="1" applyBorder="1" applyAlignment="1">
      <alignment vertical="center" wrapText="1"/>
    </xf>
    <xf numFmtId="167" fontId="19" fillId="2" borderId="9" xfId="1" applyNumberFormat="1" applyFont="1" applyFill="1" applyBorder="1" applyAlignment="1">
      <alignment vertical="center"/>
    </xf>
    <xf numFmtId="4" fontId="19" fillId="2" borderId="11" xfId="1" applyNumberFormat="1" applyFont="1" applyFill="1" applyBorder="1" applyAlignment="1">
      <alignment horizontal="center" vertical="center"/>
    </xf>
    <xf numFmtId="166" fontId="19" fillId="0" borderId="15" xfId="5" applyFont="1" applyFill="1" applyBorder="1" applyAlignment="1">
      <alignment horizontal="right" vertical="center"/>
    </xf>
    <xf numFmtId="164" fontId="19" fillId="0" borderId="11" xfId="4" applyFont="1" applyFill="1" applyBorder="1" applyAlignment="1">
      <alignment horizontal="right" vertical="center"/>
    </xf>
    <xf numFmtId="177" fontId="19" fillId="2" borderId="12" xfId="4" applyNumberFormat="1" applyFont="1" applyFill="1" applyBorder="1" applyAlignment="1">
      <alignment vertical="center"/>
    </xf>
    <xf numFmtId="0" fontId="13" fillId="0" borderId="18" xfId="1" applyFont="1" applyBorder="1" applyAlignment="1">
      <alignment horizontal="center" vertical="center"/>
    </xf>
    <xf numFmtId="0" fontId="13" fillId="0" borderId="25" xfId="1" applyFont="1" applyBorder="1" applyAlignment="1">
      <alignment horizontal="center" vertical="center"/>
    </xf>
    <xf numFmtId="178" fontId="24" fillId="0" borderId="4" xfId="9" applyNumberFormat="1" applyBorder="1" applyAlignment="1">
      <alignment horizontal="center"/>
    </xf>
    <xf numFmtId="0" fontId="22" fillId="0" borderId="23" xfId="1" applyFont="1" applyBorder="1" applyAlignment="1">
      <alignment horizontal="center" vertical="center"/>
    </xf>
    <xf numFmtId="44" fontId="3" fillId="0" borderId="0" xfId="8" applyFont="1" applyFill="1"/>
    <xf numFmtId="0" fontId="21" fillId="2" borderId="17" xfId="1" applyFont="1" applyFill="1" applyBorder="1" applyAlignment="1">
      <alignment horizontal="center" vertical="center"/>
    </xf>
    <xf numFmtId="0" fontId="22" fillId="0" borderId="35" xfId="1" applyFont="1" applyBorder="1" applyAlignment="1">
      <alignment horizontal="center" vertical="center"/>
    </xf>
    <xf numFmtId="0" fontId="21" fillId="6" borderId="8" xfId="1" applyFont="1" applyFill="1" applyBorder="1" applyAlignment="1">
      <alignment horizontal="center" vertical="center"/>
    </xf>
    <xf numFmtId="0" fontId="21" fillId="6" borderId="9" xfId="1" applyFont="1" applyFill="1" applyBorder="1" applyAlignment="1">
      <alignment horizontal="left" vertical="center"/>
    </xf>
    <xf numFmtId="166" fontId="19" fillId="6" borderId="10" xfId="5" applyFont="1" applyFill="1" applyBorder="1" applyAlignment="1">
      <alignment vertical="center"/>
    </xf>
    <xf numFmtId="164" fontId="19" fillId="6" borderId="11" xfId="4" applyFont="1" applyFill="1" applyBorder="1" applyAlignment="1">
      <alignment vertical="center"/>
    </xf>
    <xf numFmtId="177" fontId="18" fillId="6" borderId="12" xfId="4" applyNumberFormat="1" applyFont="1" applyFill="1" applyBorder="1" applyAlignment="1">
      <alignment vertical="center"/>
    </xf>
    <xf numFmtId="0" fontId="21" fillId="2" borderId="15" xfId="1" applyFont="1" applyFill="1" applyBorder="1" applyAlignment="1">
      <alignment horizontal="center" vertical="center"/>
    </xf>
    <xf numFmtId="166" fontId="19" fillId="2" borderId="10" xfId="5" applyFont="1" applyFill="1" applyBorder="1" applyAlignment="1">
      <alignment horizontal="center" vertical="center"/>
    </xf>
    <xf numFmtId="166" fontId="19" fillId="0" borderId="10" xfId="5" applyFont="1" applyFill="1" applyBorder="1" applyAlignment="1">
      <alignment horizontal="center" vertical="center"/>
    </xf>
    <xf numFmtId="164" fontId="19" fillId="0" borderId="11" xfId="4" applyFont="1" applyFill="1" applyBorder="1" applyAlignment="1">
      <alignment horizontal="center" vertical="center"/>
    </xf>
    <xf numFmtId="177" fontId="18" fillId="2" borderId="12" xfId="4" applyNumberFormat="1" applyFont="1" applyFill="1" applyBorder="1" applyAlignment="1">
      <alignment horizontal="center" vertical="center"/>
    </xf>
    <xf numFmtId="177" fontId="18" fillId="0" borderId="22" xfId="4" applyNumberFormat="1" applyFont="1" applyFill="1" applyBorder="1" applyAlignment="1">
      <alignment horizontal="center" vertical="center"/>
    </xf>
    <xf numFmtId="0" fontId="3" fillId="0" borderId="24" xfId="1" applyBorder="1" applyAlignment="1">
      <alignment horizontal="center"/>
    </xf>
    <xf numFmtId="177" fontId="18" fillId="0" borderId="34" xfId="4" applyNumberFormat="1" applyFont="1" applyFill="1" applyBorder="1" applyAlignment="1">
      <alignment horizontal="center" vertical="center"/>
    </xf>
    <xf numFmtId="177" fontId="20" fillId="0" borderId="16" xfId="1" applyNumberFormat="1" applyFont="1" applyBorder="1" applyAlignment="1">
      <alignment horizontal="center"/>
    </xf>
    <xf numFmtId="0" fontId="18" fillId="0" borderId="1" xfId="1" applyFont="1" applyBorder="1" applyAlignment="1">
      <alignment horizontal="right" vertical="center"/>
    </xf>
    <xf numFmtId="0" fontId="18" fillId="0" borderId="13" xfId="1" applyFont="1" applyBorder="1" applyAlignment="1">
      <alignment horizontal="right" vertical="center"/>
    </xf>
    <xf numFmtId="0" fontId="18" fillId="0" borderId="2" xfId="1" applyFont="1" applyBorder="1" applyAlignment="1">
      <alignment horizontal="right" vertical="center"/>
    </xf>
    <xf numFmtId="0" fontId="41" fillId="0" borderId="8" xfId="1" applyFont="1" applyBorder="1" applyAlignment="1">
      <alignment horizontal="center" vertical="center" wrapText="1"/>
    </xf>
    <xf numFmtId="0" fontId="41" fillId="0" borderId="11" xfId="1" applyFont="1" applyBorder="1" applyAlignment="1">
      <alignment horizontal="center" vertical="center" wrapText="1"/>
    </xf>
    <xf numFmtId="0" fontId="41" fillId="0" borderId="12" xfId="1" applyFont="1" applyBorder="1" applyAlignment="1">
      <alignment horizontal="center" vertical="center" wrapText="1"/>
    </xf>
    <xf numFmtId="0" fontId="13" fillId="2" borderId="24" xfId="1" applyFont="1" applyFill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3" fillId="2" borderId="33" xfId="1" applyFont="1" applyFill="1" applyBorder="1" applyAlignment="1">
      <alignment horizontal="center" vertical="center"/>
    </xf>
    <xf numFmtId="0" fontId="17" fillId="0" borderId="0" xfId="1" applyFont="1" applyAlignment="1">
      <alignment horizontal="center"/>
    </xf>
    <xf numFmtId="0" fontId="18" fillId="0" borderId="4" xfId="1" applyFont="1" applyBorder="1" applyAlignment="1">
      <alignment horizontal="right" vertical="center"/>
    </xf>
    <xf numFmtId="0" fontId="16" fillId="0" borderId="0" xfId="1" applyFont="1" applyAlignment="1">
      <alignment horizontal="center" vertical="center"/>
    </xf>
    <xf numFmtId="0" fontId="18" fillId="0" borderId="19" xfId="1" applyFont="1" applyBorder="1" applyAlignment="1">
      <alignment horizontal="center" vertical="center"/>
    </xf>
    <xf numFmtId="0" fontId="18" fillId="0" borderId="21" xfId="1" applyFont="1" applyBorder="1" applyAlignment="1">
      <alignment horizontal="center" vertical="center"/>
    </xf>
    <xf numFmtId="0" fontId="18" fillId="0" borderId="26" xfId="1" applyFont="1" applyBorder="1" applyAlignment="1">
      <alignment horizontal="center" vertical="center"/>
    </xf>
    <xf numFmtId="0" fontId="18" fillId="0" borderId="15" xfId="1" applyFont="1" applyBorder="1" applyAlignment="1">
      <alignment horizontal="center" vertical="center"/>
    </xf>
    <xf numFmtId="0" fontId="18" fillId="0" borderId="16" xfId="1" applyFont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18" fillId="0" borderId="28" xfId="1" applyFont="1" applyBorder="1" applyAlignment="1">
      <alignment horizontal="center" vertical="center"/>
    </xf>
    <xf numFmtId="0" fontId="18" fillId="0" borderId="29" xfId="1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31" fillId="0" borderId="0" xfId="3" applyFont="1" applyAlignment="1">
      <alignment horizontal="left" wrapText="1"/>
    </xf>
  </cellXfs>
  <cellStyles count="12">
    <cellStyle name="Hipervínculo 2" xfId="11" xr:uid="{00000000-0005-0000-0000-000000000000}"/>
    <cellStyle name="Millares 2" xfId="5" xr:uid="{00000000-0005-0000-0000-000001000000}"/>
    <cellStyle name="Moneda" xfId="8" builtinId="4"/>
    <cellStyle name="Moneda 2" xfId="4" xr:uid="{00000000-0005-0000-0000-000003000000}"/>
    <cellStyle name="Moneda 3" xfId="10" xr:uid="{00000000-0005-0000-0000-000004000000}"/>
    <cellStyle name="Normal" xfId="0" builtinId="0"/>
    <cellStyle name="Normal 2" xfId="1" xr:uid="{00000000-0005-0000-0000-000006000000}"/>
    <cellStyle name="Normal 2 2" xfId="3" xr:uid="{00000000-0005-0000-0000-000007000000}"/>
    <cellStyle name="Normal 3" xfId="9" xr:uid="{00000000-0005-0000-0000-000008000000}"/>
    <cellStyle name="Normal 4 2" xfId="6" xr:uid="{00000000-0005-0000-0000-000009000000}"/>
    <cellStyle name="Normal 5" xfId="7" xr:uid="{00000000-0005-0000-0000-00000A000000}"/>
    <cellStyle name="Normal 6 3" xfId="2" xr:uid="{00000000-0005-0000-0000-00000B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94</xdr:row>
      <xdr:rowOff>0</xdr:rowOff>
    </xdr:from>
    <xdr:to>
      <xdr:col>1</xdr:col>
      <xdr:colOff>123825</xdr:colOff>
      <xdr:row>94</xdr:row>
      <xdr:rowOff>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1250275"/>
          <a:ext cx="123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123825</xdr:colOff>
      <xdr:row>94</xdr:row>
      <xdr:rowOff>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1250275"/>
          <a:ext cx="123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123825</xdr:colOff>
      <xdr:row>94</xdr:row>
      <xdr:rowOff>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1250275"/>
          <a:ext cx="123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123825</xdr:colOff>
      <xdr:row>94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1250275"/>
          <a:ext cx="123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1</xdr:col>
      <xdr:colOff>123825</xdr:colOff>
      <xdr:row>94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1250275"/>
          <a:ext cx="123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108944</xdr:colOff>
      <xdr:row>1</xdr:row>
      <xdr:rowOff>105833</xdr:rowOff>
    </xdr:from>
    <xdr:to>
      <xdr:col>5</xdr:col>
      <xdr:colOff>1273381</xdr:colOff>
      <xdr:row>1</xdr:row>
      <xdr:rowOff>719266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56194" y="317500"/>
          <a:ext cx="1164437" cy="613433"/>
        </a:xfrm>
        <a:prstGeom prst="rect">
          <a:avLst/>
        </a:prstGeom>
      </xdr:spPr>
    </xdr:pic>
    <xdr:clientData/>
  </xdr:twoCellAnchor>
  <xdr:twoCellAnchor editAs="oneCell">
    <xdr:from>
      <xdr:col>0</xdr:col>
      <xdr:colOff>119598</xdr:colOff>
      <xdr:row>1</xdr:row>
      <xdr:rowOff>31750</xdr:rowOff>
    </xdr:from>
    <xdr:to>
      <xdr:col>0</xdr:col>
      <xdr:colOff>1297321</xdr:colOff>
      <xdr:row>1</xdr:row>
      <xdr:rowOff>779430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598" y="232833"/>
          <a:ext cx="1177723" cy="747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301625</xdr:colOff>
      <xdr:row>0</xdr:row>
      <xdr:rowOff>71438</xdr:rowOff>
    </xdr:from>
    <xdr:to>
      <xdr:col>14</xdr:col>
      <xdr:colOff>273684</xdr:colOff>
      <xdr:row>12</xdr:row>
      <xdr:rowOff>253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4813" y="71438"/>
          <a:ext cx="4544059" cy="181000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14</xdr:row>
      <xdr:rowOff>111126</xdr:rowOff>
    </xdr:from>
    <xdr:to>
      <xdr:col>17</xdr:col>
      <xdr:colOff>105640</xdr:colOff>
      <xdr:row>47</xdr:row>
      <xdr:rowOff>42015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45188" y="2309814"/>
          <a:ext cx="6201640" cy="529663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informacion/Richard%20P%20S/TRABAJO/PRECIOS/Precios%202007%20BORIS%20(R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informacion/Richard%20P%20S/TRABAJO/PRECIOS/Precios%202007%20BORIS%20(R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%7d\Desktop\PROYECTOS\01.%20PRESUPUESTO%20DE%20AULAS%20SEDES%201-2%20TALAIGUA%202021%20AJUSTADO%2004-07-21\01.%20A.%20DIGITAL%20PRESUPUESTO%20DE%20AULAS%20SEDES%201-2%20TALAIGUA%202021%20AJUSTADO%2004-07-2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informacion/Richard%20P%20S/TRABAJO/PRECIOS/Precios%20Richard%202022/Precios%20Richard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ca de  cubierta e=0,10m  "/>
      <sheetName val="Viga  Sup. 25x25  "/>
      <sheetName val="Pañete pulido"/>
      <sheetName val="LIMPIEZA"/>
      <sheetName val="LIMPIEZA (2)"/>
      <sheetName val="LIMPIEZA IMBORNAL 150x150"/>
      <sheetName val="DESCAPOTE"/>
      <sheetName val="CAMPAMENT"/>
      <sheetName val="CERRZINC"/>
      <sheetName val="Cerramiento en tela y madera"/>
      <sheetName val="ACESCO"/>
      <sheetName val="Trazado y loc."/>
      <sheetName val="Excavación común"/>
      <sheetName val="Excavación Humeda"/>
      <sheetName val="Excavación mat.comp."/>
      <sheetName val="Relleno mat. Sitio"/>
      <sheetName val="Retiro mat de excav"/>
      <sheetName val="Relleno 1a1 arena zahorra"/>
      <sheetName val="Relleno mat. selecc."/>
      <sheetName val="Relleno mat. selecc. (esp)"/>
      <sheetName val="Base Suelo Cemento 1;20"/>
      <sheetName val="SOLADO 2000"/>
      <sheetName val="SOLADO 2500"/>
      <sheetName val="RELL. PIEDRA CICLOPEA"/>
      <sheetName val="ENROCADO"/>
      <sheetName val="CICLOPEO"/>
      <sheetName val="CICLOPEO (2)"/>
      <sheetName val="Concreto  2500 psi "/>
      <sheetName val="Pilotes"/>
      <sheetName val="Pilotes 30"/>
      <sheetName val="Pilotes 40"/>
      <sheetName val="Concreto zapata 3000 psi"/>
      <sheetName val="Concreto zapata 3500 psi "/>
      <sheetName val="Concreto  4000 psi "/>
      <sheetName val="Concreto zapata 4000 psi "/>
      <sheetName val="ZAPATA 1.2x1.2x0.3"/>
      <sheetName val="ZAPATA 80x80x0.3 "/>
      <sheetName val="ZAPATA 60x60x0.3 "/>
      <sheetName val="ZAPATA 40x40x0.4"/>
      <sheetName val="Viga  Cim 3000psi  "/>
      <sheetName val="RETIROMAT"/>
      <sheetName val="Concreto columna  3000psi"/>
      <sheetName val="Concreto columna  4000psi "/>
      <sheetName val="Concreto vigas sup -  nervios"/>
      <sheetName val="Placa mesón  e=0.10m "/>
      <sheetName val="Placa de  cubierta e=0.10m"/>
      <sheetName val="Placa de  cubierta e=0,15m "/>
      <sheetName val="Placa de  cubierta e=0,15m  (2)"/>
      <sheetName val="Placa de  cubierta e=0,20m"/>
      <sheetName val="Placa de  cubierta 4000"/>
      <sheetName val="Placa de  cubierta 3000 "/>
      <sheetName val="Concreto Escalera 3000 "/>
      <sheetName val="Concreto  Muro  3000 "/>
      <sheetName val="Concreto  Muro  3500 "/>
      <sheetName val="Acero de refuerzo"/>
      <sheetName val="Canaleta  90"/>
      <sheetName val="CUBIERTA  ASB.  CEMENTO"/>
      <sheetName val="CABALLETE   A.C."/>
      <sheetName val="Resane Muro"/>
      <sheetName val="Elem.  Prefab. 1.8"/>
      <sheetName val="Elem.  Prefab. 0.8 "/>
      <sheetName val="Calados  25x25"/>
      <sheetName val="Calados  25x25 "/>
      <sheetName val="Alfajia"/>
      <sheetName val="Dintel"/>
      <sheetName val="Graniplast"/>
      <sheetName val="Mortero 1a4"/>
      <sheetName val="Estuco"/>
      <sheetName val="Pañete 1a4  e=0.02"/>
      <sheetName val="Pañete 1a4  e=0.02 imp"/>
      <sheetName val="Juntas  Ext"/>
      <sheetName val="REDOBLON "/>
      <sheetName val="Imper. Vigacanal"/>
      <sheetName val="Imper. Losa"/>
      <sheetName val="CIELO RASO"/>
      <sheetName val="Levante Ladrillo Tolet"/>
      <sheetName val="Levante block No 4 "/>
      <sheetName val="Levante No 6"/>
      <sheetName val="Levante No 6 relleno"/>
      <sheetName val="Levante No 6 relleno (2)"/>
      <sheetName val="Levante No 8 "/>
      <sheetName val="Levante No 8 relleno"/>
      <sheetName val="Vigas Entre pisos 30x40"/>
      <sheetName val="Placa Inferior e=0.10"/>
      <sheetName val="Placa Inferior e=0.10 sr"/>
      <sheetName val="Cornisa en concreto"/>
      <sheetName val=" AdoVh"/>
      <sheetName val=" AdoP"/>
      <sheetName val="Relleno  Arenoso"/>
      <sheetName val="Relleno  Arenoso (2)"/>
      <sheetName val="Machón  15x20"/>
      <sheetName val="Columna  15x20"/>
      <sheetName val="Columna  20x20"/>
      <sheetName val="Columna  25x25 "/>
      <sheetName val="Columna  30x30 "/>
      <sheetName val="Columna  30x30  (2)"/>
      <sheetName val="Columna  35x35"/>
      <sheetName val="Sobrecimiento block No4"/>
      <sheetName val="Sobrecimiento block No6"/>
      <sheetName val="Imper. Sobrecimiento"/>
      <sheetName val="Cim.Cicl30x30"/>
      <sheetName val="Cim.Cicl30x40 "/>
      <sheetName val="Cim.Cicl40x40"/>
      <sheetName val="Viga  Cim.  20x20"/>
      <sheetName val="Viga  Cim.  15x20 "/>
      <sheetName val="Viga cim. 20x30 "/>
      <sheetName val="Viga cim. 25x30"/>
      <sheetName val="Viga cim. 30x30"/>
      <sheetName val="Viga  Sup. 10x10"/>
      <sheetName val="Viga  Sup. 30x25"/>
      <sheetName val="Viga  Sup. 10x20"/>
      <sheetName val="Viga  Sup. 10x20 (2)"/>
      <sheetName val="Viga  Sup. 15x10"/>
      <sheetName val="Viga  Sup. 15x20"/>
      <sheetName val="Viga  Sup. 15x20 (2)"/>
      <sheetName val="Viga  Sup. 20x25 "/>
      <sheetName val="Viga  Sup. 25x30 "/>
      <sheetName val="Mensula 40x50"/>
      <sheetName val="Viga  Sup. 15x25 (3)"/>
      <sheetName val="Viga  Sup. 15x25 (2)"/>
      <sheetName val="Viga  Sup. 15x25 (4)"/>
      <sheetName val="Viga  Sup. 15x25"/>
      <sheetName val="Viga  Sup. 20x20 "/>
      <sheetName val="Viga  Inf. 15x25 "/>
      <sheetName val="Viga  Inf. 20x25  "/>
      <sheetName val="Plantilla  e = 0.075m "/>
      <sheetName val="Plantilla  e = 0.07m"/>
      <sheetName val="Plantilla  e = 0.05m "/>
      <sheetName val="Plantilla  e = 0.05m imp."/>
      <sheetName val="Plantilla  Afinada  Coloreada"/>
      <sheetName val="Pta  Triplex 70x205"/>
      <sheetName val="Pta  Triplex 80x205"/>
      <sheetName val="Pta  Triplex 90x205 "/>
      <sheetName val="Sum. Instal. pta. ceiba"/>
      <sheetName val="Sum. Inst. Cta hierro "/>
      <sheetName val="Sum. Instal. pta. hierro"/>
      <sheetName val="Ventaneria de aluminio"/>
      <sheetName val="Zocalos"/>
      <sheetName val="Enchape  20.5x20.5"/>
      <sheetName val="Piso  Decorpiso"/>
      <sheetName val="Piso  Baldosa"/>
      <sheetName val="Piso en granito lavado"/>
      <sheetName val="Piso Tablón-China"/>
      <sheetName val="Piso Tablón"/>
      <sheetName val="Pañete 1a4  e=0.025 (placa)"/>
      <sheetName val="Pintura  Promical"/>
      <sheetName val="Vinilo a dos manos"/>
      <sheetName val="Vinilo Tipo 3"/>
      <sheetName val="Vinilo, placa sup."/>
      <sheetName val="Pintura Esmalte"/>
      <sheetName val="Pintura  Zocalo"/>
      <sheetName val="Banca en concreto y bloque"/>
      <sheetName val="MURO  JARDINERAS"/>
      <sheetName val="Lámpara DJK 250 W"/>
      <sheetName val="Fotocelda"/>
      <sheetName val="Juego Madera M-8"/>
      <sheetName val="Juego Madera M-10"/>
      <sheetName val="Juego Madera M-19"/>
      <sheetName val="Tierra negra"/>
      <sheetName val="Gramilla"/>
      <sheetName val="Punto  Aguas  LLuvias"/>
      <sheetName val="Tubería  ALCANT.  Ø 8&quot;  (2)"/>
      <sheetName val="Tubería  Sanitaria  Ø 8&quot; "/>
      <sheetName val="Tubería  Sanitaria  Ø 6&quot;"/>
      <sheetName val="Tubería  Sanitaria  Ø 4&quot;"/>
      <sheetName val="Tubería  Sanitaria  Ø 2&quot; "/>
      <sheetName val="Tubería  Ventilación  Ø 4&quot;"/>
      <sheetName val="Tubería  Ventilación  Ø 3&quot;"/>
      <sheetName val="Tubería  Hidraul  Ø 4&quot; "/>
      <sheetName val="Tubería  Hidraul  Ø 3&quot;"/>
      <sheetName val="Tubería  Hidraul  Ø 2.5&quot;"/>
      <sheetName val="Tubería  Hidraul  Ø 2&quot;"/>
      <sheetName val="Tubería  Hid. Ø1.5&quot;"/>
      <sheetName val="Tubería  Hid. 1.25&quot;"/>
      <sheetName val="Tubería  Hid. 1&quot; "/>
      <sheetName val="Tubería   Hid.  0.75&quot;"/>
      <sheetName val="Tubería   Hid.  0.5&quot;"/>
      <sheetName val="LLaves Crm. 0.5&quot;"/>
      <sheetName val="Valvula  Comp. 0.5&quot; "/>
      <sheetName val="Valvula  Comp. 0.75&quot;"/>
      <sheetName val="Valvula  Comp. 1&quot;"/>
      <sheetName val="Valvula  Comp. 1.25&quot; "/>
      <sheetName val="Valvula  Comp. 1.5&quot;"/>
      <sheetName val="Valvula  Comp. 2&quot;"/>
      <sheetName val="Valvula  Cheque  1.5 &quot; "/>
      <sheetName val="Valvula  Cheque  1&quot;"/>
      <sheetName val="Valvula  Cheque  0.75 &quot;"/>
      <sheetName val="Valvula  Cheque  0.5&quot;  "/>
      <sheetName val="CINTA PVC - V - 10"/>
      <sheetName val="CINTA PVC - V - 15"/>
      <sheetName val="Tanque  1000 Lts"/>
      <sheetName val="Tanque  500 Lts "/>
      <sheetName val="Tanque  250 Lts  "/>
      <sheetName val="Conexión  a  Tanque"/>
      <sheetName val="Punto  Sanitario "/>
      <sheetName val="Punto Hidráulico"/>
      <sheetName val="Cronograma"/>
      <sheetName val="Malla ciclón 2&quot;"/>
      <sheetName val="Malla ciclón 2&quot; (2)"/>
      <sheetName val="Malla ciclón 2&quot; (3)"/>
      <sheetName val="Cerram.  Tubo"/>
      <sheetName val="Cerram.  Block"/>
      <sheetName val="Tubo para malla"/>
      <sheetName val="Demolición Piso"/>
      <sheetName val="Demolición Redoblón"/>
      <sheetName val="Demolición muro  "/>
      <sheetName val="Demolición muro   (2)"/>
      <sheetName val="Desmonte  de Canaleta"/>
      <sheetName val="Desmonte  de Cubierta"/>
      <sheetName val="Reinstalación  de Cubierta "/>
      <sheetName val="Desmonte  de Ventanas"/>
      <sheetName val="Desmonte  de Puertas"/>
      <sheetName val="Desmonte  Lavamanos"/>
      <sheetName val="Desmonte  Sanitarios"/>
      <sheetName val="Demolición pisos"/>
      <sheetName val="Demolición Placa"/>
      <sheetName val="Demolición Placa Maciza"/>
      <sheetName val="Picada  Enchape"/>
      <sheetName val="Desmonte  Malla Ciclón"/>
      <sheetName val="Desmonte  Cielo  Raso"/>
      <sheetName val="Demolición viga 0.15 x 0.35 (3)"/>
      <sheetName val="Demolición viga 0.15 x 0.35 (2)"/>
      <sheetName val="Demolición columnas"/>
      <sheetName val="Regata en columnas"/>
      <sheetName val="Salida  Para  Teléfono"/>
      <sheetName val="Salida Tomacorrientes  110V"/>
      <sheetName val="Salida  Luces  110V"/>
      <sheetName val="Tabero Monof. de  18 CTC"/>
      <sheetName val="Salida  Abanico  110V"/>
      <sheetName val="Sum. Inst . Sanitario"/>
      <sheetName val="Sum. Inst . Lavamanos"/>
      <sheetName val="Sum. Inst. Orinal"/>
      <sheetName val="Sum. Inst. LavP. S"/>
      <sheetName val="Sum. Inst. LavP D"/>
      <sheetName val="Registro  Dom. 60x60"/>
      <sheetName val="Registro  Sanit. 80x80 "/>
      <sheetName val="Tablero Mortero"/>
      <sheetName val="Duchas"/>
      <sheetName val="Rejilla"/>
      <sheetName val="Abanico"/>
      <sheetName val="Lamp. 2x48"/>
      <sheetName val="Lamp. red."/>
      <sheetName val="PRECIOS"/>
      <sheetName val="Cercha"/>
      <sheetName val="Cercha (2)"/>
      <sheetName val="TENSOR"/>
      <sheetName val="PRECIOS (2)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ca de  cubierta e=0,10m  "/>
      <sheetName val="Viga  Sup. 25x25  "/>
      <sheetName val="Pañete pulido"/>
      <sheetName val="LIMPIEZA"/>
      <sheetName val="LIMPIEZA (2)"/>
      <sheetName val="LIMPIEZA IMBORNAL 150x150"/>
      <sheetName val="DESCAPOTE"/>
      <sheetName val="CAMPAMENT"/>
      <sheetName val="CERRZINC"/>
      <sheetName val="Cerramiento en tela y madera"/>
      <sheetName val="ACESCO"/>
      <sheetName val="Trazado y loc."/>
      <sheetName val="Excavación común"/>
      <sheetName val="Excavación Humeda"/>
      <sheetName val="Excavación mat.comp."/>
      <sheetName val="Relleno mat. Sitio"/>
      <sheetName val="Retiro mat de excav"/>
      <sheetName val="Relleno 1a1 arena zahorra"/>
      <sheetName val="Relleno mat. selecc."/>
      <sheetName val="Relleno mat. selecc. (esp)"/>
      <sheetName val="Base Suelo Cemento 1;20"/>
      <sheetName val="SOLADO 2000"/>
      <sheetName val="SOLADO 2500"/>
      <sheetName val="RELL. PIEDRA CICLOPEA"/>
      <sheetName val="ENROCADO"/>
      <sheetName val="CICLOPEO"/>
      <sheetName val="CICLOPEO (2)"/>
      <sheetName val="Concreto  2500 psi "/>
      <sheetName val="Pilotes"/>
      <sheetName val="Pilotes 30"/>
      <sheetName val="Pilotes 40"/>
      <sheetName val="Concreto zapata 3000 psi"/>
      <sheetName val="Concreto zapata 3500 psi "/>
      <sheetName val="Concreto  4000 psi "/>
      <sheetName val="Concreto zapata 4000 psi "/>
      <sheetName val="ZAPATA 1.2x1.2x0.3"/>
      <sheetName val="ZAPATA 80x80x0.3 "/>
      <sheetName val="ZAPATA 60x60x0.3 "/>
      <sheetName val="ZAPATA 40x40x0.4"/>
      <sheetName val="Viga  Cim 3000psi  "/>
      <sheetName val="RETIROMAT"/>
      <sheetName val="Concreto columna  3000psi"/>
      <sheetName val="Concreto columna  4000psi "/>
      <sheetName val="Concreto vigas sup -  nervios"/>
      <sheetName val="Placa mesón  e=0.10m "/>
      <sheetName val="Placa de  cubierta e=0.10m"/>
      <sheetName val="Placa de  cubierta e=0,15m "/>
      <sheetName val="Placa de  cubierta e=0,15m  (2)"/>
      <sheetName val="Placa de  cubierta e=0,20m"/>
      <sheetName val="Placa de  cubierta 4000"/>
      <sheetName val="Placa de  cubierta 3000 "/>
      <sheetName val="Concreto Escalera 3000 "/>
      <sheetName val="Concreto  Muro  3000 "/>
      <sheetName val="Concreto  Muro  3500 "/>
      <sheetName val="Acero de refuerzo"/>
      <sheetName val="Canaleta  90"/>
      <sheetName val="CUBIERTA  ASB.  CEMENTO"/>
      <sheetName val="CABALLETE   A.C."/>
      <sheetName val="Resane Muro"/>
      <sheetName val="Elem.  Prefab. 1.8"/>
      <sheetName val="Elem.  Prefab. 0.8 "/>
      <sheetName val="Calados  25x25"/>
      <sheetName val="Calados  25x25 "/>
      <sheetName val="Alfajia"/>
      <sheetName val="Dintel"/>
      <sheetName val="Graniplast"/>
      <sheetName val="Mortero 1a4"/>
      <sheetName val="Estuco"/>
      <sheetName val="Pañete 1a4  e=0.02"/>
      <sheetName val="Pañete 1a4  e=0.02 imp"/>
      <sheetName val="Juntas  Ext"/>
      <sheetName val="REDOBLON "/>
      <sheetName val="Imper. Vigacanal"/>
      <sheetName val="Imper. Losa"/>
      <sheetName val="CIELO RASO"/>
      <sheetName val="Levante Ladrillo Tolet"/>
      <sheetName val="Levante block No 4 "/>
      <sheetName val="Levante No 6"/>
      <sheetName val="Levante No 6 relleno"/>
      <sheetName val="Levante No 6 relleno (2)"/>
      <sheetName val="Levante No 8 "/>
      <sheetName val="Levante No 8 relleno"/>
      <sheetName val="Vigas Entre pisos 30x40"/>
      <sheetName val="Placa Inferior e=0.10"/>
      <sheetName val="Placa Inferior e=0.10 sr"/>
      <sheetName val="Cornisa en concreto"/>
      <sheetName val=" AdoVh"/>
      <sheetName val=" AdoP"/>
      <sheetName val="Relleno  Arenoso"/>
      <sheetName val="Relleno  Arenoso (2)"/>
      <sheetName val="Machón  15x20"/>
      <sheetName val="Columna  15x20"/>
      <sheetName val="Columna  20x20"/>
      <sheetName val="Columna  25x25 "/>
      <sheetName val="Columna  30x30 "/>
      <sheetName val="Columna  30x30  (2)"/>
      <sheetName val="Columna  35x35"/>
      <sheetName val="Sobrecimiento block No4"/>
      <sheetName val="Sobrecimiento block No6"/>
      <sheetName val="Imper. Sobrecimiento"/>
      <sheetName val="Cim.Cicl30x30"/>
      <sheetName val="Cim.Cicl30x40 "/>
      <sheetName val="Cim.Cicl40x40"/>
      <sheetName val="Viga  Cim.  20x20"/>
      <sheetName val="Viga  Cim.  15x20 "/>
      <sheetName val="Viga cim. 20x30 "/>
      <sheetName val="Viga cim. 25x30"/>
      <sheetName val="Viga cim. 30x30"/>
      <sheetName val="Viga  Sup. 10x10"/>
      <sheetName val="Viga  Sup. 30x25"/>
      <sheetName val="Viga  Sup. 10x20"/>
      <sheetName val="Viga  Sup. 10x20 (2)"/>
      <sheetName val="Viga  Sup. 15x10"/>
      <sheetName val="Viga  Sup. 15x20"/>
      <sheetName val="Viga  Sup. 15x20 (2)"/>
      <sheetName val="Viga  Sup. 20x25 "/>
      <sheetName val="Viga  Sup. 25x30 "/>
      <sheetName val="Mensula 40x50"/>
      <sheetName val="Viga  Sup. 15x25 (3)"/>
      <sheetName val="Viga  Sup. 15x25 (2)"/>
      <sheetName val="Viga  Sup. 15x25 (4)"/>
      <sheetName val="Viga  Sup. 15x25"/>
      <sheetName val="Viga  Sup. 20x20 "/>
      <sheetName val="Viga  Inf. 15x25 "/>
      <sheetName val="Viga  Inf. 20x25  "/>
      <sheetName val="Plantilla  e = 0.075m "/>
      <sheetName val="Plantilla  e = 0.07m"/>
      <sheetName val="Plantilla  e = 0.05m "/>
      <sheetName val="Plantilla  e = 0.05m imp."/>
      <sheetName val="Plantilla  Afinada  Coloreada"/>
      <sheetName val="Pta  Triplex 70x205"/>
      <sheetName val="Pta  Triplex 80x205"/>
      <sheetName val="Pta  Triplex 90x205 "/>
      <sheetName val="Sum. Instal. pta. ceiba"/>
      <sheetName val="Sum. Inst. Cta hierro "/>
      <sheetName val="Sum. Instal. pta. hierro"/>
      <sheetName val="Ventaneria de aluminio"/>
      <sheetName val="Zocalos"/>
      <sheetName val="Enchape  20.5x20.5"/>
      <sheetName val="Piso  Decorpiso"/>
      <sheetName val="Piso  Baldosa"/>
      <sheetName val="Piso en granito lavado"/>
      <sheetName val="Piso Tablón-China"/>
      <sheetName val="Piso Tablón"/>
      <sheetName val="Pañete 1a4  e=0.025 (placa)"/>
      <sheetName val="Pintura  Promical"/>
      <sheetName val="Vinilo a dos manos"/>
      <sheetName val="Vinilo Tipo 3"/>
      <sheetName val="Vinilo, placa sup."/>
      <sheetName val="Pintura Esmalte"/>
      <sheetName val="Pintura  Zocalo"/>
      <sheetName val="Banca en concreto y bloque"/>
      <sheetName val="MURO  JARDINERAS"/>
      <sheetName val="Lámpara DJK 250 W"/>
      <sheetName val="Fotocelda"/>
      <sheetName val="Juego Madera M-8"/>
      <sheetName val="Juego Madera M-10"/>
      <sheetName val="Juego Madera M-19"/>
      <sheetName val="Tierra negra"/>
      <sheetName val="Gramilla"/>
      <sheetName val="Punto  Aguas  LLuvias"/>
      <sheetName val="Tubería  ALCANT.  Ø 8&quot;  (2)"/>
      <sheetName val="Tubería  Sanitaria  Ø 8&quot; "/>
      <sheetName val="Tubería  Sanitaria  Ø 6&quot;"/>
      <sheetName val="Tubería  Sanitaria  Ø 4&quot;"/>
      <sheetName val="Tubería  Sanitaria  Ø 2&quot; "/>
      <sheetName val="Tubería  Ventilación  Ø 4&quot;"/>
      <sheetName val="Tubería  Ventilación  Ø 3&quot;"/>
      <sheetName val="Tubería  Hidraul  Ø 4&quot; "/>
      <sheetName val="Tubería  Hidraul  Ø 3&quot;"/>
      <sheetName val="Tubería  Hidraul  Ø 2.5&quot;"/>
      <sheetName val="Tubería  Hidraul  Ø 2&quot;"/>
      <sheetName val="Tubería  Hid. Ø1.5&quot;"/>
      <sheetName val="Tubería  Hid. 1.25&quot;"/>
      <sheetName val="Tubería  Hid. 1&quot; "/>
      <sheetName val="Tubería   Hid.  0.75&quot;"/>
      <sheetName val="Tubería   Hid.  0.5&quot;"/>
      <sheetName val="LLaves Crm. 0.5&quot;"/>
      <sheetName val="Valvula  Comp. 0.5&quot; "/>
      <sheetName val="Valvula  Comp. 0.75&quot;"/>
      <sheetName val="Valvula  Comp. 1&quot;"/>
      <sheetName val="Valvula  Comp. 1.25&quot; "/>
      <sheetName val="Valvula  Comp. 1.5&quot;"/>
      <sheetName val="Valvula  Comp. 2&quot;"/>
      <sheetName val="Valvula  Cheque  1.5 &quot; "/>
      <sheetName val="Valvula  Cheque  1&quot;"/>
      <sheetName val="Valvula  Cheque  0.75 &quot;"/>
      <sheetName val="Valvula  Cheque  0.5&quot;  "/>
      <sheetName val="CINTA PVC - V - 10"/>
      <sheetName val="CINTA PVC - V - 15"/>
      <sheetName val="Tanque  1000 Lts"/>
      <sheetName val="Tanque  500 Lts "/>
      <sheetName val="Tanque  250 Lts  "/>
      <sheetName val="Conexión  a  Tanque"/>
      <sheetName val="Punto  Sanitario "/>
      <sheetName val="Punto Hidráulico"/>
      <sheetName val="Cronograma"/>
      <sheetName val="Malla ciclón 2&quot;"/>
      <sheetName val="Malla ciclón 2&quot; (2)"/>
      <sheetName val="Malla ciclón 2&quot; (3)"/>
      <sheetName val="Cerram.  Tubo"/>
      <sheetName val="Cerram.  Block"/>
      <sheetName val="Tubo para malla"/>
      <sheetName val="Demolición Piso"/>
      <sheetName val="Demolición Redoblón"/>
      <sheetName val="Demolición muro  "/>
      <sheetName val="Demolición muro   (2)"/>
      <sheetName val="Desmonte  de Canaleta"/>
      <sheetName val="Desmonte  de Cubierta"/>
      <sheetName val="Reinstalación  de Cubierta "/>
      <sheetName val="Desmonte  de Ventanas"/>
      <sheetName val="Desmonte  de Puertas"/>
      <sheetName val="Desmonte  Lavamanos"/>
      <sheetName val="Desmonte  Sanitarios"/>
      <sheetName val="Demolición pisos"/>
      <sheetName val="Demolición Placa"/>
      <sheetName val="Demolición Placa Maciza"/>
      <sheetName val="Picada  Enchape"/>
      <sheetName val="Desmonte  Malla Ciclón"/>
      <sheetName val="Desmonte  Cielo  Raso"/>
      <sheetName val="Demolición viga 0.15 x 0.35 (3)"/>
      <sheetName val="Demolición viga 0.15 x 0.35 (2)"/>
      <sheetName val="Demolición columnas"/>
      <sheetName val="Regata en columnas"/>
      <sheetName val="Salida  Para  Teléfono"/>
      <sheetName val="Salida Tomacorrientes  110V"/>
      <sheetName val="Salida  Luces  110V"/>
      <sheetName val="Tabero Monof. de  18 CTC"/>
      <sheetName val="Salida  Abanico  110V"/>
      <sheetName val="Sum. Inst . Sanitario"/>
      <sheetName val="Sum. Inst . Lavamanos"/>
      <sheetName val="Sum. Inst. Orinal"/>
      <sheetName val="Sum. Inst. LavP. S"/>
      <sheetName val="Sum. Inst. LavP D"/>
      <sheetName val="Registro  Dom. 60x60"/>
      <sheetName val="Registro  Sanit. 80x80 "/>
      <sheetName val="Tablero Mortero"/>
      <sheetName val="Duchas"/>
      <sheetName val="Rejilla"/>
      <sheetName val="Abanico"/>
      <sheetName val="Lamp. 2x48"/>
      <sheetName val="Lamp. red."/>
      <sheetName val="PRECIOS"/>
      <sheetName val="Cercha"/>
      <sheetName val="Cercha (2)"/>
      <sheetName val="TENSOR"/>
      <sheetName val="PRECIOS (2)"/>
      <sheetName val="M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PREP A.I.U"/>
      <sheetName val="Factor Prestacional"/>
      <sheetName val="FACTOR MULT"/>
      <sheetName val="PPTO SEDE 1"/>
      <sheetName val="PPTO SEDE 2"/>
      <sheetName val="M. CANT. S 1."/>
      <sheetName val="M. CANT. S.2"/>
      <sheetName val="Analisis Básicos"/>
      <sheetName val="APU SEDE 1"/>
      <sheetName val="APU SEDE 2"/>
      <sheetName val="PMA"/>
      <sheetName val="MO (2)"/>
      <sheetName val="PREP INTERV"/>
      <sheetName val="CRONOGRAMA"/>
      <sheetName val="PC"/>
      <sheetName val="Lista de Precios"/>
      <sheetName val="EQUIPOS"/>
      <sheetName val="MATERIALES"/>
      <sheetName val="PRECIOS BASICOS"/>
      <sheetName val="INSUMOS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95">
          <cell r="U795">
            <v>200</v>
          </cell>
        </row>
        <row r="885">
          <cell r="U885">
            <v>1</v>
          </cell>
        </row>
        <row r="1141">
          <cell r="U1141">
            <v>25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ero de refuerzo corrugado"/>
      <sheetName val="Acom 1l2&quot; y 3l4&quot;"/>
      <sheetName val="Acom 1&quot; y 2&quot;"/>
      <sheetName val="Acom electrica"/>
      <sheetName val="Acom tv telef"/>
      <sheetName val="Adoquin peat CS"/>
      <sheetName val="Adoquin veh CS"/>
      <sheetName val="Adoquin SS"/>
      <sheetName val="Anden en concreto e=0,10"/>
      <sheetName val="Aplicacion acelerante"/>
      <sheetName val="Bordillo en concreto"/>
      <sheetName val="Caja multibrake"/>
      <sheetName val="Cambio.Accesorio H.D. 2&quot; y 3&quot;"/>
      <sheetName val="Cambio.Accesorio H.D. 4&quot; y 6&quot;"/>
      <sheetName val="Cambio.Accesorio H.D. 8&quot; y 10&quot;"/>
      <sheetName val="Cambio.Accesorio H.D. 12&quot; y 14&quot;"/>
      <sheetName val="Cambio.Accesorio H.D. 16&quot; y 18&quot;"/>
      <sheetName val="Cambio.Sencillo medidor x Robo"/>
      <sheetName val="Careta en hierro"/>
      <sheetName val="Cenefa baño"/>
      <sheetName val="Cenefa cocina"/>
      <sheetName val="Cieloraso drywall"/>
      <sheetName val="Columna 0.30x0.30"/>
      <sheetName val="Concreto ciclopeo"/>
      <sheetName val="Concreto 2500psi mescladora"/>
      <sheetName val="Concreto 3000psi a mano"/>
      <sheetName val="Concreto 3000psi mescladora"/>
      <sheetName val="Concreto 3500psi mescladora"/>
      <sheetName val="Conexion a camara"/>
      <sheetName val="Conexion a registro"/>
      <sheetName val="Construccion camara 7 hiladas"/>
      <sheetName val="Construccion tapa camara"/>
      <sheetName val="Corte calzada"/>
      <sheetName val="Demolicion base mupi "/>
      <sheetName val="Demolicion base paradero"/>
      <sheetName val="Demolicion de bordillo"/>
      <sheetName val="Demolicion de muro #4 o #6"/>
      <sheetName val="Demolicion de muro #4 o#6 Relle"/>
      <sheetName val="Demolicion piso o plantilla 5cm"/>
      <sheetName val="Demol Anden o Pav 0,07 a 0,10"/>
      <sheetName val="Demolicion de plantilla"/>
      <sheetName val="Demol Manual Pav 0,15 a 0,20"/>
      <sheetName val="Demol Pav Asfaltico &lt;=10cm"/>
      <sheetName val="Demol Pav Asfaltico (0,15a 0,2)"/>
      <sheetName val="Demol Pav Compresor (0,25a0,30)"/>
      <sheetName val="Descapote a maquina"/>
      <sheetName val="Desmonte.Accesorio H.D. 2&quot; y 4&quot;"/>
      <sheetName val="Desmonte.Accesorio H.D. 4&quot; y 6&quot;"/>
      <sheetName val="Desmont.Accesorio H.D.8&quot; y 10&quot;"/>
      <sheetName val="Desmonte.Accesorio H.D.12&quot;y 14&quot;"/>
      <sheetName val="Desmonte.Accesorio H.D.16&quot;y 18&quot;"/>
      <sheetName val="Desmonte de adoquin"/>
      <sheetName val="Desmonte cieloraso"/>
      <sheetName val="Desmonte de cubierta"/>
      <sheetName val="Desmonte de puerta"/>
      <sheetName val="Desmonte de ventana"/>
      <sheetName val="Desmonte caretas"/>
      <sheetName val="Descapote manual"/>
      <sheetName val="Dilatacion cielo R"/>
      <sheetName val="Dintel 15x20"/>
      <sheetName val="Ducha sencilla"/>
      <sheetName val="Empalme tuberia 3&quot; y 4&quot;"/>
      <sheetName val="Empalme tuberia 6&quot; y 8&quot;"/>
      <sheetName val="Enchape ceramic. baño"/>
      <sheetName val="Enchape ceramic. cocina"/>
      <sheetName val="Enrocado"/>
      <sheetName val="Entibado metalico 3m"/>
      <sheetName val="Estuco"/>
      <sheetName val="Excavacion manual (0 a 2,0m)"/>
      <sheetName val="Excav manual (0 a 2,0m Humeda)"/>
      <sheetName val="Excavacion manual mat compact"/>
      <sheetName val="Excav a maquina 0 a 2,0m"/>
      <sheetName val="Excav a maquina (h&gt;2,0m)"/>
      <sheetName val="Formaleta"/>
      <sheetName val="Graniplast"/>
      <sheetName val="Imperm. placa sup."/>
      <sheetName val="Imperm. sobrecimiento"/>
      <sheetName val="Impermeab. vigacanal redoblon"/>
      <sheetName val="Incrustaciones baño"/>
      <sheetName val="Cubierta Fibrocemento"/>
      <sheetName val="Inst.Accesorio H.D. 2&quot; y 3&quot;"/>
      <sheetName val="Inst.Accesorio H.D. 4&quot; y 6&quot;"/>
      <sheetName val="Inst.Accesorio H.D. 8&quot; y 10&quot;"/>
      <sheetName val="Inst.Accesorio H.D. 12&quot; y 14&quot;"/>
      <sheetName val="Inst.Accesorio H.D. 16&quot; y 18&quot;"/>
      <sheetName val="Inst.Accesorio PVC 2&quot; y 3&quot;"/>
      <sheetName val="Inst.Accesorio PVC 4&quot; y 6&quot;"/>
      <sheetName val="Inst.Accesorio PVC 8&quot; y 10&quot;"/>
      <sheetName val="Inst.Accesorio PVC 12&quot; y 14&quot;"/>
      <sheetName val="Inst.Accesorio PVC 16&quot; y 18&quot;"/>
      <sheetName val="Inst.Hidrante pedest 6&quot;x4&quot;"/>
      <sheetName val="Inst.Tapa manhole"/>
      <sheetName val="Inst.Trampillon"/>
      <sheetName val="Inst.Tuberia H.D. 8&quot;"/>
      <sheetName val="Inst.Tuberia H.D. 10&quot;"/>
      <sheetName val="Inst.Tuberia H.D. 12&quot;"/>
      <sheetName val="Inst.Tuberia H.D. 14&quot;"/>
      <sheetName val="Inst.Tuberia H.D. o A.C 16&quot;"/>
      <sheetName val="Inst.Tub PEAD 1l2&quot; a 3l4&quot;"/>
      <sheetName val="Inst.Tub PEAD 1l2&quot; a 3l4&quot; topo"/>
      <sheetName val="Inst.Tee 12&quot; y 14&quot;"/>
      <sheetName val="Inst.Tee 16&quot; y 18&quot;"/>
      <sheetName val="Inst.Tee 20&quot; y 24&quot;"/>
      <sheetName val="Inst.Tuberia PVC o PEAD (2&quot;-3&quot;)"/>
      <sheetName val="Inst.Tuberia PVC o PEAD (4&quot;-6&quot;)"/>
      <sheetName val="Inst.Tuberia PVC o PEAD (8&quot;)"/>
      <sheetName val="Inst.Tuberia PVC o PEAD (10&quot;)"/>
      <sheetName val="Inst.Tuberia PVC o PEAD (12&quot;)"/>
      <sheetName val="Inst.Tuberia PVC o PEAD (14&quot;)"/>
      <sheetName val="Inst.Tuberia PVC o PEAD (16&quot;)"/>
      <sheetName val="Inst.Tuberia PVC sanitaria 6&quot;"/>
      <sheetName val="Junta en brea"/>
      <sheetName val="Lavadero prefab"/>
      <sheetName val="Lavamanos sencillo"/>
      <sheetName val="Lavaplatos sencillo"/>
      <sheetName val="Levante Block Nº4"/>
      <sheetName val="Levante Block Nº4 Relleno "/>
      <sheetName val="Levante en Block Nº6"/>
      <sheetName val="Levante Block Nº6 Relleno"/>
      <sheetName val="Levante Ladrillo Nº4 "/>
      <sheetName val="Limpieza caja valvula"/>
      <sheetName val="Llave de chorro"/>
      <sheetName val="Machon en concreto"/>
      <sheetName val="Malla ciclon"/>
      <sheetName val="Malla electrosoldada 4mm 15x15"/>
      <sheetName val="Malla electrosoldada 8mm 15x15"/>
      <sheetName val="Meson en concreto"/>
      <sheetName val="Pañete 1a4"/>
      <sheetName val="Pañete 1a4 impermeabilizado"/>
      <sheetName val="Pañete 1a4 bajo placa"/>
      <sheetName val="Pañete 1a4 filos"/>
      <sheetName val="Pavim asfalt 0,10"/>
      <sheetName val="Pavim asfalt 0,15"/>
      <sheetName val="Pavim 0,10 ref"/>
      <sheetName val="Pavim 0,15 ref"/>
      <sheetName val="Pavim 0,20 ref"/>
      <sheetName val="Pavim 0,25 ref"/>
      <sheetName val="Pavim prem 0,10"/>
      <sheetName val="Pavim prem 0,15"/>
      <sheetName val="Pavim prem 0,20"/>
      <sheetName val="Pavim prem 0,25"/>
      <sheetName val="Pega a tope 2&quot; PEAD"/>
      <sheetName val="Pega a tope 4&quot; PEAD"/>
      <sheetName val="Perfilada a mano"/>
      <sheetName val="Perfilada con cortadora"/>
      <sheetName val="Perforacion tubo de hierro"/>
      <sheetName val="Pintura Vinilo Nº1"/>
      <sheetName val="Pintura Esmalte"/>
      <sheetName val="Piso ceramico"/>
      <sheetName val="Piso porcelanato 60x60"/>
      <sheetName val="Piso tablon"/>
      <sheetName val="Piso tablon china"/>
      <sheetName val="Placa entrepiso"/>
      <sheetName val="Plantilla 0,075"/>
      <sheetName val="Plantilla nivelacion"/>
      <sheetName val="Pollo concreto"/>
      <sheetName val="Puerta madera"/>
      <sheetName val="Puerta triplex"/>
      <sheetName val="Punto hidrauico"/>
      <sheetName val="Punto sanitario"/>
      <sheetName val="Redoblon en concreto"/>
      <sheetName val="Reg sanit 80x80"/>
      <sheetName val="Reg sanit 60x60"/>
      <sheetName val="Reg electrico 80x80"/>
      <sheetName val="Resane cajilla"/>
      <sheetName val="Retiro de material sobrante"/>
      <sheetName val="Relleno con china"/>
      <sheetName val="Relleno material del sitio"/>
      <sheetName val="Relleno material arena"/>
      <sheetName val="Relleno material seleccionado"/>
      <sheetName val="Relleno con recebo arenoso"/>
      <sheetName val="Reparacion redes 3&quot; y 4&quot;AC oPVC"/>
      <sheetName val="Reparacion redes 6&quot;AC o PVC"/>
      <sheetName val="Reparacion redes 8&quot;AC o PVC"/>
      <sheetName val="Reparacion redes 10&quot;AC o PVC"/>
      <sheetName val="Reparacion redes 12&quot;AC o PVC"/>
      <sheetName val="Reparacion redes 14&quot;PEAD o PVC"/>
      <sheetName val="Reparacion tubo alc 4&quot;y6&quot;"/>
      <sheetName val="Reparacion tubo alc 8&quot;y10&quot;"/>
      <sheetName val="Reparacion tubo alc GRES 6&quot;"/>
      <sheetName val="Reparacion tubo alc GRES 8&quot;y10 "/>
      <sheetName val="Revision de emergencia"/>
      <sheetName val="Rotura aro tapa"/>
      <sheetName val="Rotura muro concret 0,15 a 0,20"/>
      <sheetName val="Rotura muro concret 0,25 a 0,30"/>
      <sheetName val="Rotura muro concreto &gt;0,30"/>
      <sheetName val="Salida luces"/>
      <sheetName val="Salida tomacorriente"/>
      <sheetName val="Salida tv telefono"/>
      <sheetName val="Sanitario sencillo"/>
      <sheetName val="Sifon piso 2&quot;"/>
      <sheetName val="Sobrecimiento Nº4"/>
      <sheetName val="Sobrecimiento Nº6"/>
      <sheetName val="Solado 2500psi"/>
      <sheetName val="Sum dovela"/>
      <sheetName val="Sum grava"/>
      <sheetName val="Suelocemento"/>
      <sheetName val="Suelocemento subbase"/>
      <sheetName val="Tub ALL 3&quot;"/>
      <sheetName val="Tub sanit 2&quot;"/>
      <sheetName val="Tub sanit 4&quot;"/>
      <sheetName val="Union Arpol.He.Co de 2&quot; y 3&quot;"/>
      <sheetName val="Union Arpol.He.Co de 4&quot; y 6&quot;"/>
      <sheetName val="Union Arpol.He.Co de 8&quot; y 10&quot;"/>
      <sheetName val="Union Arpol.He.Co de 12&quot; y 14&quot;"/>
      <sheetName val="Union Arpol.He.Co de 16&quot; y  18&quot;"/>
      <sheetName val="Union Arpol.He.Co de 20&quot; y 24&quot;"/>
      <sheetName val="Valbula control"/>
      <sheetName val="Varilla polo tierra"/>
      <sheetName val="Vigacanal"/>
      <sheetName val="Viga cim 0,30x0,35"/>
      <sheetName val="Viga sup 12x35"/>
      <sheetName val="Viga sup 0,25x30"/>
      <sheetName val="Viga Sup 0,30x0,35"/>
      <sheetName val="Zapata 1.5x1.5"/>
      <sheetName val="Zapata 1.80x1.80"/>
      <sheetName val="Zocalo ceramico"/>
      <sheetName val="Zocalo porcelanato 60x10"/>
      <sheetName val="M.O."/>
      <sheetName val="AUI"/>
      <sheetName val="Equipos y Herramientas"/>
      <sheetName val="Precios Unitarios"/>
      <sheetName val="Materiales"/>
      <sheetName val="Precios Mano de Obra Marzo 2022"/>
      <sheetName val="Mano de Obra Abril 2014"/>
      <sheetName val="Mano de obra Ot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>
        <row r="26">
          <cell r="F26">
            <v>500</v>
          </cell>
        </row>
      </sheetData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>
        <row r="8">
          <cell r="O8">
            <v>550</v>
          </cell>
        </row>
      </sheetData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>
        <row r="5">
          <cell r="C5">
            <v>1000</v>
          </cell>
        </row>
        <row r="29">
          <cell r="C29">
            <v>100000</v>
          </cell>
        </row>
        <row r="37">
          <cell r="C37">
            <v>120000</v>
          </cell>
        </row>
      </sheetData>
      <sheetData sheetId="221"/>
      <sheetData sheetId="222">
        <row r="100">
          <cell r="C100">
            <v>1000</v>
          </cell>
        </row>
        <row r="113">
          <cell r="C113">
            <v>38700</v>
          </cell>
        </row>
        <row r="142">
          <cell r="C142">
            <v>269</v>
          </cell>
        </row>
        <row r="153">
          <cell r="C153">
            <v>17800</v>
          </cell>
        </row>
        <row r="172">
          <cell r="C172">
            <v>320000</v>
          </cell>
        </row>
      </sheetData>
      <sheetData sheetId="223"/>
      <sheetData sheetId="224"/>
      <sheetData sheetId="2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G115"/>
  <sheetViews>
    <sheetView tabSelected="1" view="pageBreakPreview" topLeftCell="A28" zoomScaleNormal="85" zoomScaleSheetLayoutView="100" workbookViewId="0">
      <selection activeCell="A2" sqref="A2:F48"/>
    </sheetView>
  </sheetViews>
  <sheetFormatPr baseColWidth="10" defaultRowHeight="15.75"/>
  <cols>
    <col min="1" max="1" width="22" style="1" customWidth="1"/>
    <col min="2" max="2" width="83.28515625" style="1" bestFit="1" customWidth="1"/>
    <col min="3" max="3" width="7.28515625" style="2" customWidth="1"/>
    <col min="4" max="4" width="13.42578125" style="1" customWidth="1"/>
    <col min="5" max="5" width="21" style="1" customWidth="1"/>
    <col min="6" max="6" width="22.42578125" style="1" customWidth="1"/>
    <col min="7" max="7" width="5.42578125" style="1" customWidth="1"/>
    <col min="8" max="251" width="11.42578125" style="1"/>
    <col min="252" max="252" width="13.42578125" style="1" customWidth="1"/>
    <col min="253" max="253" width="81.42578125" style="1" customWidth="1"/>
    <col min="254" max="254" width="10.85546875" style="1" customWidth="1"/>
    <col min="255" max="255" width="13.85546875" style="1" customWidth="1"/>
    <col min="256" max="256" width="18.7109375" style="1" customWidth="1"/>
    <col min="257" max="257" width="35.28515625" style="1" customWidth="1"/>
    <col min="258" max="259" width="11.42578125" style="1"/>
    <col min="260" max="260" width="10" style="1" bestFit="1" customWidth="1"/>
    <col min="261" max="261" width="13.5703125" style="1" bestFit="1" customWidth="1"/>
    <col min="262" max="507" width="11.42578125" style="1"/>
    <col min="508" max="508" width="13.42578125" style="1" customWidth="1"/>
    <col min="509" max="509" width="81.42578125" style="1" customWidth="1"/>
    <col min="510" max="510" width="10.85546875" style="1" customWidth="1"/>
    <col min="511" max="511" width="13.85546875" style="1" customWidth="1"/>
    <col min="512" max="512" width="18.7109375" style="1" customWidth="1"/>
    <col min="513" max="513" width="35.28515625" style="1" customWidth="1"/>
    <col min="514" max="515" width="11.42578125" style="1"/>
    <col min="516" max="516" width="10" style="1" bestFit="1" customWidth="1"/>
    <col min="517" max="517" width="13.5703125" style="1" bestFit="1" customWidth="1"/>
    <col min="518" max="763" width="11.42578125" style="1"/>
    <col min="764" max="764" width="13.42578125" style="1" customWidth="1"/>
    <col min="765" max="765" width="81.42578125" style="1" customWidth="1"/>
    <col min="766" max="766" width="10.85546875" style="1" customWidth="1"/>
    <col min="767" max="767" width="13.85546875" style="1" customWidth="1"/>
    <col min="768" max="768" width="18.7109375" style="1" customWidth="1"/>
    <col min="769" max="769" width="35.28515625" style="1" customWidth="1"/>
    <col min="770" max="771" width="11.42578125" style="1"/>
    <col min="772" max="772" width="10" style="1" bestFit="1" customWidth="1"/>
    <col min="773" max="773" width="13.5703125" style="1" bestFit="1" customWidth="1"/>
    <col min="774" max="1019" width="11.42578125" style="1"/>
    <col min="1020" max="1020" width="13.42578125" style="1" customWidth="1"/>
    <col min="1021" max="1021" width="81.42578125" style="1" customWidth="1"/>
    <col min="1022" max="1022" width="10.85546875" style="1" customWidth="1"/>
    <col min="1023" max="1023" width="13.85546875" style="1" customWidth="1"/>
    <col min="1024" max="1024" width="18.7109375" style="1" customWidth="1"/>
    <col min="1025" max="1025" width="35.28515625" style="1" customWidth="1"/>
    <col min="1026" max="1027" width="11.42578125" style="1"/>
    <col min="1028" max="1028" width="10" style="1" bestFit="1" customWidth="1"/>
    <col min="1029" max="1029" width="13.5703125" style="1" bestFit="1" customWidth="1"/>
    <col min="1030" max="1275" width="11.42578125" style="1"/>
    <col min="1276" max="1276" width="13.42578125" style="1" customWidth="1"/>
    <col min="1277" max="1277" width="81.42578125" style="1" customWidth="1"/>
    <col min="1278" max="1278" width="10.85546875" style="1" customWidth="1"/>
    <col min="1279" max="1279" width="13.85546875" style="1" customWidth="1"/>
    <col min="1280" max="1280" width="18.7109375" style="1" customWidth="1"/>
    <col min="1281" max="1281" width="35.28515625" style="1" customWidth="1"/>
    <col min="1282" max="1283" width="11.42578125" style="1"/>
    <col min="1284" max="1284" width="10" style="1" bestFit="1" customWidth="1"/>
    <col min="1285" max="1285" width="13.5703125" style="1" bestFit="1" customWidth="1"/>
    <col min="1286" max="1531" width="11.42578125" style="1"/>
    <col min="1532" max="1532" width="13.42578125" style="1" customWidth="1"/>
    <col min="1533" max="1533" width="81.42578125" style="1" customWidth="1"/>
    <col min="1534" max="1534" width="10.85546875" style="1" customWidth="1"/>
    <col min="1535" max="1535" width="13.85546875" style="1" customWidth="1"/>
    <col min="1536" max="1536" width="18.7109375" style="1" customWidth="1"/>
    <col min="1537" max="1537" width="35.28515625" style="1" customWidth="1"/>
    <col min="1538" max="1539" width="11.42578125" style="1"/>
    <col min="1540" max="1540" width="10" style="1" bestFit="1" customWidth="1"/>
    <col min="1541" max="1541" width="13.5703125" style="1" bestFit="1" customWidth="1"/>
    <col min="1542" max="1787" width="11.42578125" style="1"/>
    <col min="1788" max="1788" width="13.42578125" style="1" customWidth="1"/>
    <col min="1789" max="1789" width="81.42578125" style="1" customWidth="1"/>
    <col min="1790" max="1790" width="10.85546875" style="1" customWidth="1"/>
    <col min="1791" max="1791" width="13.85546875" style="1" customWidth="1"/>
    <col min="1792" max="1792" width="18.7109375" style="1" customWidth="1"/>
    <col min="1793" max="1793" width="35.28515625" style="1" customWidth="1"/>
    <col min="1794" max="1795" width="11.42578125" style="1"/>
    <col min="1796" max="1796" width="10" style="1" bestFit="1" customWidth="1"/>
    <col min="1797" max="1797" width="13.5703125" style="1" bestFit="1" customWidth="1"/>
    <col min="1798" max="2043" width="11.42578125" style="1"/>
    <col min="2044" max="2044" width="13.42578125" style="1" customWidth="1"/>
    <col min="2045" max="2045" width="81.42578125" style="1" customWidth="1"/>
    <col min="2046" max="2046" width="10.85546875" style="1" customWidth="1"/>
    <col min="2047" max="2047" width="13.85546875" style="1" customWidth="1"/>
    <col min="2048" max="2048" width="18.7109375" style="1" customWidth="1"/>
    <col min="2049" max="2049" width="35.28515625" style="1" customWidth="1"/>
    <col min="2050" max="2051" width="11.42578125" style="1"/>
    <col min="2052" max="2052" width="10" style="1" bestFit="1" customWidth="1"/>
    <col min="2053" max="2053" width="13.5703125" style="1" bestFit="1" customWidth="1"/>
    <col min="2054" max="2299" width="11.42578125" style="1"/>
    <col min="2300" max="2300" width="13.42578125" style="1" customWidth="1"/>
    <col min="2301" max="2301" width="81.42578125" style="1" customWidth="1"/>
    <col min="2302" max="2302" width="10.85546875" style="1" customWidth="1"/>
    <col min="2303" max="2303" width="13.85546875" style="1" customWidth="1"/>
    <col min="2304" max="2304" width="18.7109375" style="1" customWidth="1"/>
    <col min="2305" max="2305" width="35.28515625" style="1" customWidth="1"/>
    <col min="2306" max="2307" width="11.42578125" style="1"/>
    <col min="2308" max="2308" width="10" style="1" bestFit="1" customWidth="1"/>
    <col min="2309" max="2309" width="13.5703125" style="1" bestFit="1" customWidth="1"/>
    <col min="2310" max="2555" width="11.42578125" style="1"/>
    <col min="2556" max="2556" width="13.42578125" style="1" customWidth="1"/>
    <col min="2557" max="2557" width="81.42578125" style="1" customWidth="1"/>
    <col min="2558" max="2558" width="10.85546875" style="1" customWidth="1"/>
    <col min="2559" max="2559" width="13.85546875" style="1" customWidth="1"/>
    <col min="2560" max="2560" width="18.7109375" style="1" customWidth="1"/>
    <col min="2561" max="2561" width="35.28515625" style="1" customWidth="1"/>
    <col min="2562" max="2563" width="11.42578125" style="1"/>
    <col min="2564" max="2564" width="10" style="1" bestFit="1" customWidth="1"/>
    <col min="2565" max="2565" width="13.5703125" style="1" bestFit="1" customWidth="1"/>
    <col min="2566" max="2811" width="11.42578125" style="1"/>
    <col min="2812" max="2812" width="13.42578125" style="1" customWidth="1"/>
    <col min="2813" max="2813" width="81.42578125" style="1" customWidth="1"/>
    <col min="2814" max="2814" width="10.85546875" style="1" customWidth="1"/>
    <col min="2815" max="2815" width="13.85546875" style="1" customWidth="1"/>
    <col min="2816" max="2816" width="18.7109375" style="1" customWidth="1"/>
    <col min="2817" max="2817" width="35.28515625" style="1" customWidth="1"/>
    <col min="2818" max="2819" width="11.42578125" style="1"/>
    <col min="2820" max="2820" width="10" style="1" bestFit="1" customWidth="1"/>
    <col min="2821" max="2821" width="13.5703125" style="1" bestFit="1" customWidth="1"/>
    <col min="2822" max="3067" width="11.42578125" style="1"/>
    <col min="3068" max="3068" width="13.42578125" style="1" customWidth="1"/>
    <col min="3069" max="3069" width="81.42578125" style="1" customWidth="1"/>
    <col min="3070" max="3070" width="10.85546875" style="1" customWidth="1"/>
    <col min="3071" max="3071" width="13.85546875" style="1" customWidth="1"/>
    <col min="3072" max="3072" width="18.7109375" style="1" customWidth="1"/>
    <col min="3073" max="3073" width="35.28515625" style="1" customWidth="1"/>
    <col min="3074" max="3075" width="11.42578125" style="1"/>
    <col min="3076" max="3076" width="10" style="1" bestFit="1" customWidth="1"/>
    <col min="3077" max="3077" width="13.5703125" style="1" bestFit="1" customWidth="1"/>
    <col min="3078" max="3323" width="11.42578125" style="1"/>
    <col min="3324" max="3324" width="13.42578125" style="1" customWidth="1"/>
    <col min="3325" max="3325" width="81.42578125" style="1" customWidth="1"/>
    <col min="3326" max="3326" width="10.85546875" style="1" customWidth="1"/>
    <col min="3327" max="3327" width="13.85546875" style="1" customWidth="1"/>
    <col min="3328" max="3328" width="18.7109375" style="1" customWidth="1"/>
    <col min="3329" max="3329" width="35.28515625" style="1" customWidth="1"/>
    <col min="3330" max="3331" width="11.42578125" style="1"/>
    <col min="3332" max="3332" width="10" style="1" bestFit="1" customWidth="1"/>
    <col min="3333" max="3333" width="13.5703125" style="1" bestFit="1" customWidth="1"/>
    <col min="3334" max="3579" width="11.42578125" style="1"/>
    <col min="3580" max="3580" width="13.42578125" style="1" customWidth="1"/>
    <col min="3581" max="3581" width="81.42578125" style="1" customWidth="1"/>
    <col min="3582" max="3582" width="10.85546875" style="1" customWidth="1"/>
    <col min="3583" max="3583" width="13.85546875" style="1" customWidth="1"/>
    <col min="3584" max="3584" width="18.7109375" style="1" customWidth="1"/>
    <col min="3585" max="3585" width="35.28515625" style="1" customWidth="1"/>
    <col min="3586" max="3587" width="11.42578125" style="1"/>
    <col min="3588" max="3588" width="10" style="1" bestFit="1" customWidth="1"/>
    <col min="3589" max="3589" width="13.5703125" style="1" bestFit="1" customWidth="1"/>
    <col min="3590" max="3835" width="11.42578125" style="1"/>
    <col min="3836" max="3836" width="13.42578125" style="1" customWidth="1"/>
    <col min="3837" max="3837" width="81.42578125" style="1" customWidth="1"/>
    <col min="3838" max="3838" width="10.85546875" style="1" customWidth="1"/>
    <col min="3839" max="3839" width="13.85546875" style="1" customWidth="1"/>
    <col min="3840" max="3840" width="18.7109375" style="1" customWidth="1"/>
    <col min="3841" max="3841" width="35.28515625" style="1" customWidth="1"/>
    <col min="3842" max="3843" width="11.42578125" style="1"/>
    <col min="3844" max="3844" width="10" style="1" bestFit="1" customWidth="1"/>
    <col min="3845" max="3845" width="13.5703125" style="1" bestFit="1" customWidth="1"/>
    <col min="3846" max="4091" width="11.42578125" style="1"/>
    <col min="4092" max="4092" width="13.42578125" style="1" customWidth="1"/>
    <col min="4093" max="4093" width="81.42578125" style="1" customWidth="1"/>
    <col min="4094" max="4094" width="10.85546875" style="1" customWidth="1"/>
    <col min="4095" max="4095" width="13.85546875" style="1" customWidth="1"/>
    <col min="4096" max="4096" width="18.7109375" style="1" customWidth="1"/>
    <col min="4097" max="4097" width="35.28515625" style="1" customWidth="1"/>
    <col min="4098" max="4099" width="11.42578125" style="1"/>
    <col min="4100" max="4100" width="10" style="1" bestFit="1" customWidth="1"/>
    <col min="4101" max="4101" width="13.5703125" style="1" bestFit="1" customWidth="1"/>
    <col min="4102" max="4347" width="11.42578125" style="1"/>
    <col min="4348" max="4348" width="13.42578125" style="1" customWidth="1"/>
    <col min="4349" max="4349" width="81.42578125" style="1" customWidth="1"/>
    <col min="4350" max="4350" width="10.85546875" style="1" customWidth="1"/>
    <col min="4351" max="4351" width="13.85546875" style="1" customWidth="1"/>
    <col min="4352" max="4352" width="18.7109375" style="1" customWidth="1"/>
    <col min="4353" max="4353" width="35.28515625" style="1" customWidth="1"/>
    <col min="4354" max="4355" width="11.42578125" style="1"/>
    <col min="4356" max="4356" width="10" style="1" bestFit="1" customWidth="1"/>
    <col min="4357" max="4357" width="13.5703125" style="1" bestFit="1" customWidth="1"/>
    <col min="4358" max="4603" width="11.42578125" style="1"/>
    <col min="4604" max="4604" width="13.42578125" style="1" customWidth="1"/>
    <col min="4605" max="4605" width="81.42578125" style="1" customWidth="1"/>
    <col min="4606" max="4606" width="10.85546875" style="1" customWidth="1"/>
    <col min="4607" max="4607" width="13.85546875" style="1" customWidth="1"/>
    <col min="4608" max="4608" width="18.7109375" style="1" customWidth="1"/>
    <col min="4609" max="4609" width="35.28515625" style="1" customWidth="1"/>
    <col min="4610" max="4611" width="11.42578125" style="1"/>
    <col min="4612" max="4612" width="10" style="1" bestFit="1" customWidth="1"/>
    <col min="4613" max="4613" width="13.5703125" style="1" bestFit="1" customWidth="1"/>
    <col min="4614" max="4859" width="11.42578125" style="1"/>
    <col min="4860" max="4860" width="13.42578125" style="1" customWidth="1"/>
    <col min="4861" max="4861" width="81.42578125" style="1" customWidth="1"/>
    <col min="4862" max="4862" width="10.85546875" style="1" customWidth="1"/>
    <col min="4863" max="4863" width="13.85546875" style="1" customWidth="1"/>
    <col min="4864" max="4864" width="18.7109375" style="1" customWidth="1"/>
    <col min="4865" max="4865" width="35.28515625" style="1" customWidth="1"/>
    <col min="4866" max="4867" width="11.42578125" style="1"/>
    <col min="4868" max="4868" width="10" style="1" bestFit="1" customWidth="1"/>
    <col min="4869" max="4869" width="13.5703125" style="1" bestFit="1" customWidth="1"/>
    <col min="4870" max="5115" width="11.42578125" style="1"/>
    <col min="5116" max="5116" width="13.42578125" style="1" customWidth="1"/>
    <col min="5117" max="5117" width="81.42578125" style="1" customWidth="1"/>
    <col min="5118" max="5118" width="10.85546875" style="1" customWidth="1"/>
    <col min="5119" max="5119" width="13.85546875" style="1" customWidth="1"/>
    <col min="5120" max="5120" width="18.7109375" style="1" customWidth="1"/>
    <col min="5121" max="5121" width="35.28515625" style="1" customWidth="1"/>
    <col min="5122" max="5123" width="11.42578125" style="1"/>
    <col min="5124" max="5124" width="10" style="1" bestFit="1" customWidth="1"/>
    <col min="5125" max="5125" width="13.5703125" style="1" bestFit="1" customWidth="1"/>
    <col min="5126" max="5371" width="11.42578125" style="1"/>
    <col min="5372" max="5372" width="13.42578125" style="1" customWidth="1"/>
    <col min="5373" max="5373" width="81.42578125" style="1" customWidth="1"/>
    <col min="5374" max="5374" width="10.85546875" style="1" customWidth="1"/>
    <col min="5375" max="5375" width="13.85546875" style="1" customWidth="1"/>
    <col min="5376" max="5376" width="18.7109375" style="1" customWidth="1"/>
    <col min="5377" max="5377" width="35.28515625" style="1" customWidth="1"/>
    <col min="5378" max="5379" width="11.42578125" style="1"/>
    <col min="5380" max="5380" width="10" style="1" bestFit="1" customWidth="1"/>
    <col min="5381" max="5381" width="13.5703125" style="1" bestFit="1" customWidth="1"/>
    <col min="5382" max="5627" width="11.42578125" style="1"/>
    <col min="5628" max="5628" width="13.42578125" style="1" customWidth="1"/>
    <col min="5629" max="5629" width="81.42578125" style="1" customWidth="1"/>
    <col min="5630" max="5630" width="10.85546875" style="1" customWidth="1"/>
    <col min="5631" max="5631" width="13.85546875" style="1" customWidth="1"/>
    <col min="5632" max="5632" width="18.7109375" style="1" customWidth="1"/>
    <col min="5633" max="5633" width="35.28515625" style="1" customWidth="1"/>
    <col min="5634" max="5635" width="11.42578125" style="1"/>
    <col min="5636" max="5636" width="10" style="1" bestFit="1" customWidth="1"/>
    <col min="5637" max="5637" width="13.5703125" style="1" bestFit="1" customWidth="1"/>
    <col min="5638" max="5883" width="11.42578125" style="1"/>
    <col min="5884" max="5884" width="13.42578125" style="1" customWidth="1"/>
    <col min="5885" max="5885" width="81.42578125" style="1" customWidth="1"/>
    <col min="5886" max="5886" width="10.85546875" style="1" customWidth="1"/>
    <col min="5887" max="5887" width="13.85546875" style="1" customWidth="1"/>
    <col min="5888" max="5888" width="18.7109375" style="1" customWidth="1"/>
    <col min="5889" max="5889" width="35.28515625" style="1" customWidth="1"/>
    <col min="5890" max="5891" width="11.42578125" style="1"/>
    <col min="5892" max="5892" width="10" style="1" bestFit="1" customWidth="1"/>
    <col min="5893" max="5893" width="13.5703125" style="1" bestFit="1" customWidth="1"/>
    <col min="5894" max="6139" width="11.42578125" style="1"/>
    <col min="6140" max="6140" width="13.42578125" style="1" customWidth="1"/>
    <col min="6141" max="6141" width="81.42578125" style="1" customWidth="1"/>
    <col min="6142" max="6142" width="10.85546875" style="1" customWidth="1"/>
    <col min="6143" max="6143" width="13.85546875" style="1" customWidth="1"/>
    <col min="6144" max="6144" width="18.7109375" style="1" customWidth="1"/>
    <col min="6145" max="6145" width="35.28515625" style="1" customWidth="1"/>
    <col min="6146" max="6147" width="11.42578125" style="1"/>
    <col min="6148" max="6148" width="10" style="1" bestFit="1" customWidth="1"/>
    <col min="6149" max="6149" width="13.5703125" style="1" bestFit="1" customWidth="1"/>
    <col min="6150" max="6395" width="11.42578125" style="1"/>
    <col min="6396" max="6396" width="13.42578125" style="1" customWidth="1"/>
    <col min="6397" max="6397" width="81.42578125" style="1" customWidth="1"/>
    <col min="6398" max="6398" width="10.85546875" style="1" customWidth="1"/>
    <col min="6399" max="6399" width="13.85546875" style="1" customWidth="1"/>
    <col min="6400" max="6400" width="18.7109375" style="1" customWidth="1"/>
    <col min="6401" max="6401" width="35.28515625" style="1" customWidth="1"/>
    <col min="6402" max="6403" width="11.42578125" style="1"/>
    <col min="6404" max="6404" width="10" style="1" bestFit="1" customWidth="1"/>
    <col min="6405" max="6405" width="13.5703125" style="1" bestFit="1" customWidth="1"/>
    <col min="6406" max="6651" width="11.42578125" style="1"/>
    <col min="6652" max="6652" width="13.42578125" style="1" customWidth="1"/>
    <col min="6653" max="6653" width="81.42578125" style="1" customWidth="1"/>
    <col min="6654" max="6654" width="10.85546875" style="1" customWidth="1"/>
    <col min="6655" max="6655" width="13.85546875" style="1" customWidth="1"/>
    <col min="6656" max="6656" width="18.7109375" style="1" customWidth="1"/>
    <col min="6657" max="6657" width="35.28515625" style="1" customWidth="1"/>
    <col min="6658" max="6659" width="11.42578125" style="1"/>
    <col min="6660" max="6660" width="10" style="1" bestFit="1" customWidth="1"/>
    <col min="6661" max="6661" width="13.5703125" style="1" bestFit="1" customWidth="1"/>
    <col min="6662" max="6907" width="11.42578125" style="1"/>
    <col min="6908" max="6908" width="13.42578125" style="1" customWidth="1"/>
    <col min="6909" max="6909" width="81.42578125" style="1" customWidth="1"/>
    <col min="6910" max="6910" width="10.85546875" style="1" customWidth="1"/>
    <col min="6911" max="6911" width="13.85546875" style="1" customWidth="1"/>
    <col min="6912" max="6912" width="18.7109375" style="1" customWidth="1"/>
    <col min="6913" max="6913" width="35.28515625" style="1" customWidth="1"/>
    <col min="6914" max="6915" width="11.42578125" style="1"/>
    <col min="6916" max="6916" width="10" style="1" bestFit="1" customWidth="1"/>
    <col min="6917" max="6917" width="13.5703125" style="1" bestFit="1" customWidth="1"/>
    <col min="6918" max="7163" width="11.42578125" style="1"/>
    <col min="7164" max="7164" width="13.42578125" style="1" customWidth="1"/>
    <col min="7165" max="7165" width="81.42578125" style="1" customWidth="1"/>
    <col min="7166" max="7166" width="10.85546875" style="1" customWidth="1"/>
    <col min="7167" max="7167" width="13.85546875" style="1" customWidth="1"/>
    <col min="7168" max="7168" width="18.7109375" style="1" customWidth="1"/>
    <col min="7169" max="7169" width="35.28515625" style="1" customWidth="1"/>
    <col min="7170" max="7171" width="11.42578125" style="1"/>
    <col min="7172" max="7172" width="10" style="1" bestFit="1" customWidth="1"/>
    <col min="7173" max="7173" width="13.5703125" style="1" bestFit="1" customWidth="1"/>
    <col min="7174" max="7419" width="11.42578125" style="1"/>
    <col min="7420" max="7420" width="13.42578125" style="1" customWidth="1"/>
    <col min="7421" max="7421" width="81.42578125" style="1" customWidth="1"/>
    <col min="7422" max="7422" width="10.85546875" style="1" customWidth="1"/>
    <col min="7423" max="7423" width="13.85546875" style="1" customWidth="1"/>
    <col min="7424" max="7424" width="18.7109375" style="1" customWidth="1"/>
    <col min="7425" max="7425" width="35.28515625" style="1" customWidth="1"/>
    <col min="7426" max="7427" width="11.42578125" style="1"/>
    <col min="7428" max="7428" width="10" style="1" bestFit="1" customWidth="1"/>
    <col min="7429" max="7429" width="13.5703125" style="1" bestFit="1" customWidth="1"/>
    <col min="7430" max="7675" width="11.42578125" style="1"/>
    <col min="7676" max="7676" width="13.42578125" style="1" customWidth="1"/>
    <col min="7677" max="7677" width="81.42578125" style="1" customWidth="1"/>
    <col min="7678" max="7678" width="10.85546875" style="1" customWidth="1"/>
    <col min="7679" max="7679" width="13.85546875" style="1" customWidth="1"/>
    <col min="7680" max="7680" width="18.7109375" style="1" customWidth="1"/>
    <col min="7681" max="7681" width="35.28515625" style="1" customWidth="1"/>
    <col min="7682" max="7683" width="11.42578125" style="1"/>
    <col min="7684" max="7684" width="10" style="1" bestFit="1" customWidth="1"/>
    <col min="7685" max="7685" width="13.5703125" style="1" bestFit="1" customWidth="1"/>
    <col min="7686" max="7931" width="11.42578125" style="1"/>
    <col min="7932" max="7932" width="13.42578125" style="1" customWidth="1"/>
    <col min="7933" max="7933" width="81.42578125" style="1" customWidth="1"/>
    <col min="7934" max="7934" width="10.85546875" style="1" customWidth="1"/>
    <col min="7935" max="7935" width="13.85546875" style="1" customWidth="1"/>
    <col min="7936" max="7936" width="18.7109375" style="1" customWidth="1"/>
    <col min="7937" max="7937" width="35.28515625" style="1" customWidth="1"/>
    <col min="7938" max="7939" width="11.42578125" style="1"/>
    <col min="7940" max="7940" width="10" style="1" bestFit="1" customWidth="1"/>
    <col min="7941" max="7941" width="13.5703125" style="1" bestFit="1" customWidth="1"/>
    <col min="7942" max="8187" width="11.42578125" style="1"/>
    <col min="8188" max="8188" width="13.42578125" style="1" customWidth="1"/>
    <col min="8189" max="8189" width="81.42578125" style="1" customWidth="1"/>
    <col min="8190" max="8190" width="10.85546875" style="1" customWidth="1"/>
    <col min="8191" max="8191" width="13.85546875" style="1" customWidth="1"/>
    <col min="8192" max="8192" width="18.7109375" style="1" customWidth="1"/>
    <col min="8193" max="8193" width="35.28515625" style="1" customWidth="1"/>
    <col min="8194" max="8195" width="11.42578125" style="1"/>
    <col min="8196" max="8196" width="10" style="1" bestFit="1" customWidth="1"/>
    <col min="8197" max="8197" width="13.5703125" style="1" bestFit="1" customWidth="1"/>
    <col min="8198" max="8443" width="11.42578125" style="1"/>
    <col min="8444" max="8444" width="13.42578125" style="1" customWidth="1"/>
    <col min="8445" max="8445" width="81.42578125" style="1" customWidth="1"/>
    <col min="8446" max="8446" width="10.85546875" style="1" customWidth="1"/>
    <col min="8447" max="8447" width="13.85546875" style="1" customWidth="1"/>
    <col min="8448" max="8448" width="18.7109375" style="1" customWidth="1"/>
    <col min="8449" max="8449" width="35.28515625" style="1" customWidth="1"/>
    <col min="8450" max="8451" width="11.42578125" style="1"/>
    <col min="8452" max="8452" width="10" style="1" bestFit="1" customWidth="1"/>
    <col min="8453" max="8453" width="13.5703125" style="1" bestFit="1" customWidth="1"/>
    <col min="8454" max="8699" width="11.42578125" style="1"/>
    <col min="8700" max="8700" width="13.42578125" style="1" customWidth="1"/>
    <col min="8701" max="8701" width="81.42578125" style="1" customWidth="1"/>
    <col min="8702" max="8702" width="10.85546875" style="1" customWidth="1"/>
    <col min="8703" max="8703" width="13.85546875" style="1" customWidth="1"/>
    <col min="8704" max="8704" width="18.7109375" style="1" customWidth="1"/>
    <col min="8705" max="8705" width="35.28515625" style="1" customWidth="1"/>
    <col min="8706" max="8707" width="11.42578125" style="1"/>
    <col min="8708" max="8708" width="10" style="1" bestFit="1" customWidth="1"/>
    <col min="8709" max="8709" width="13.5703125" style="1" bestFit="1" customWidth="1"/>
    <col min="8710" max="8955" width="11.42578125" style="1"/>
    <col min="8956" max="8956" width="13.42578125" style="1" customWidth="1"/>
    <col min="8957" max="8957" width="81.42578125" style="1" customWidth="1"/>
    <col min="8958" max="8958" width="10.85546875" style="1" customWidth="1"/>
    <col min="8959" max="8959" width="13.85546875" style="1" customWidth="1"/>
    <col min="8960" max="8960" width="18.7109375" style="1" customWidth="1"/>
    <col min="8961" max="8961" width="35.28515625" style="1" customWidth="1"/>
    <col min="8962" max="8963" width="11.42578125" style="1"/>
    <col min="8964" max="8964" width="10" style="1" bestFit="1" customWidth="1"/>
    <col min="8965" max="8965" width="13.5703125" style="1" bestFit="1" customWidth="1"/>
    <col min="8966" max="9211" width="11.42578125" style="1"/>
    <col min="9212" max="9212" width="13.42578125" style="1" customWidth="1"/>
    <col min="9213" max="9213" width="81.42578125" style="1" customWidth="1"/>
    <col min="9214" max="9214" width="10.85546875" style="1" customWidth="1"/>
    <col min="9215" max="9215" width="13.85546875" style="1" customWidth="1"/>
    <col min="9216" max="9216" width="18.7109375" style="1" customWidth="1"/>
    <col min="9217" max="9217" width="35.28515625" style="1" customWidth="1"/>
    <col min="9218" max="9219" width="11.42578125" style="1"/>
    <col min="9220" max="9220" width="10" style="1" bestFit="1" customWidth="1"/>
    <col min="9221" max="9221" width="13.5703125" style="1" bestFit="1" customWidth="1"/>
    <col min="9222" max="9467" width="11.42578125" style="1"/>
    <col min="9468" max="9468" width="13.42578125" style="1" customWidth="1"/>
    <col min="9469" max="9469" width="81.42578125" style="1" customWidth="1"/>
    <col min="9470" max="9470" width="10.85546875" style="1" customWidth="1"/>
    <col min="9471" max="9471" width="13.85546875" style="1" customWidth="1"/>
    <col min="9472" max="9472" width="18.7109375" style="1" customWidth="1"/>
    <col min="9473" max="9473" width="35.28515625" style="1" customWidth="1"/>
    <col min="9474" max="9475" width="11.42578125" style="1"/>
    <col min="9476" max="9476" width="10" style="1" bestFit="1" customWidth="1"/>
    <col min="9477" max="9477" width="13.5703125" style="1" bestFit="1" customWidth="1"/>
    <col min="9478" max="9723" width="11.42578125" style="1"/>
    <col min="9724" max="9724" width="13.42578125" style="1" customWidth="1"/>
    <col min="9725" max="9725" width="81.42578125" style="1" customWidth="1"/>
    <col min="9726" max="9726" width="10.85546875" style="1" customWidth="1"/>
    <col min="9727" max="9727" width="13.85546875" style="1" customWidth="1"/>
    <col min="9728" max="9728" width="18.7109375" style="1" customWidth="1"/>
    <col min="9729" max="9729" width="35.28515625" style="1" customWidth="1"/>
    <col min="9730" max="9731" width="11.42578125" style="1"/>
    <col min="9732" max="9732" width="10" style="1" bestFit="1" customWidth="1"/>
    <col min="9733" max="9733" width="13.5703125" style="1" bestFit="1" customWidth="1"/>
    <col min="9734" max="9979" width="11.42578125" style="1"/>
    <col min="9980" max="9980" width="13.42578125" style="1" customWidth="1"/>
    <col min="9981" max="9981" width="81.42578125" style="1" customWidth="1"/>
    <col min="9982" max="9982" width="10.85546875" style="1" customWidth="1"/>
    <col min="9983" max="9983" width="13.85546875" style="1" customWidth="1"/>
    <col min="9984" max="9984" width="18.7109375" style="1" customWidth="1"/>
    <col min="9985" max="9985" width="35.28515625" style="1" customWidth="1"/>
    <col min="9986" max="9987" width="11.42578125" style="1"/>
    <col min="9988" max="9988" width="10" style="1" bestFit="1" customWidth="1"/>
    <col min="9989" max="9989" width="13.5703125" style="1" bestFit="1" customWidth="1"/>
    <col min="9990" max="10235" width="11.42578125" style="1"/>
    <col min="10236" max="10236" width="13.42578125" style="1" customWidth="1"/>
    <col min="10237" max="10237" width="81.42578125" style="1" customWidth="1"/>
    <col min="10238" max="10238" width="10.85546875" style="1" customWidth="1"/>
    <col min="10239" max="10239" width="13.85546875" style="1" customWidth="1"/>
    <col min="10240" max="10240" width="18.7109375" style="1" customWidth="1"/>
    <col min="10241" max="10241" width="35.28515625" style="1" customWidth="1"/>
    <col min="10242" max="10243" width="11.42578125" style="1"/>
    <col min="10244" max="10244" width="10" style="1" bestFit="1" customWidth="1"/>
    <col min="10245" max="10245" width="13.5703125" style="1" bestFit="1" customWidth="1"/>
    <col min="10246" max="10491" width="11.42578125" style="1"/>
    <col min="10492" max="10492" width="13.42578125" style="1" customWidth="1"/>
    <col min="10493" max="10493" width="81.42578125" style="1" customWidth="1"/>
    <col min="10494" max="10494" width="10.85546875" style="1" customWidth="1"/>
    <col min="10495" max="10495" width="13.85546875" style="1" customWidth="1"/>
    <col min="10496" max="10496" width="18.7109375" style="1" customWidth="1"/>
    <col min="10497" max="10497" width="35.28515625" style="1" customWidth="1"/>
    <col min="10498" max="10499" width="11.42578125" style="1"/>
    <col min="10500" max="10500" width="10" style="1" bestFit="1" customWidth="1"/>
    <col min="10501" max="10501" width="13.5703125" style="1" bestFit="1" customWidth="1"/>
    <col min="10502" max="10747" width="11.42578125" style="1"/>
    <col min="10748" max="10748" width="13.42578125" style="1" customWidth="1"/>
    <col min="10749" max="10749" width="81.42578125" style="1" customWidth="1"/>
    <col min="10750" max="10750" width="10.85546875" style="1" customWidth="1"/>
    <col min="10751" max="10751" width="13.85546875" style="1" customWidth="1"/>
    <col min="10752" max="10752" width="18.7109375" style="1" customWidth="1"/>
    <col min="10753" max="10753" width="35.28515625" style="1" customWidth="1"/>
    <col min="10754" max="10755" width="11.42578125" style="1"/>
    <col min="10756" max="10756" width="10" style="1" bestFit="1" customWidth="1"/>
    <col min="10757" max="10757" width="13.5703125" style="1" bestFit="1" customWidth="1"/>
    <col min="10758" max="11003" width="11.42578125" style="1"/>
    <col min="11004" max="11004" width="13.42578125" style="1" customWidth="1"/>
    <col min="11005" max="11005" width="81.42578125" style="1" customWidth="1"/>
    <col min="11006" max="11006" width="10.85546875" style="1" customWidth="1"/>
    <col min="11007" max="11007" width="13.85546875" style="1" customWidth="1"/>
    <col min="11008" max="11008" width="18.7109375" style="1" customWidth="1"/>
    <col min="11009" max="11009" width="35.28515625" style="1" customWidth="1"/>
    <col min="11010" max="11011" width="11.42578125" style="1"/>
    <col min="11012" max="11012" width="10" style="1" bestFit="1" customWidth="1"/>
    <col min="11013" max="11013" width="13.5703125" style="1" bestFit="1" customWidth="1"/>
    <col min="11014" max="11259" width="11.42578125" style="1"/>
    <col min="11260" max="11260" width="13.42578125" style="1" customWidth="1"/>
    <col min="11261" max="11261" width="81.42578125" style="1" customWidth="1"/>
    <col min="11262" max="11262" width="10.85546875" style="1" customWidth="1"/>
    <col min="11263" max="11263" width="13.85546875" style="1" customWidth="1"/>
    <col min="11264" max="11264" width="18.7109375" style="1" customWidth="1"/>
    <col min="11265" max="11265" width="35.28515625" style="1" customWidth="1"/>
    <col min="11266" max="11267" width="11.42578125" style="1"/>
    <col min="11268" max="11268" width="10" style="1" bestFit="1" customWidth="1"/>
    <col min="11269" max="11269" width="13.5703125" style="1" bestFit="1" customWidth="1"/>
    <col min="11270" max="11515" width="11.42578125" style="1"/>
    <col min="11516" max="11516" width="13.42578125" style="1" customWidth="1"/>
    <col min="11517" max="11517" width="81.42578125" style="1" customWidth="1"/>
    <col min="11518" max="11518" width="10.85546875" style="1" customWidth="1"/>
    <col min="11519" max="11519" width="13.85546875" style="1" customWidth="1"/>
    <col min="11520" max="11520" width="18.7109375" style="1" customWidth="1"/>
    <col min="11521" max="11521" width="35.28515625" style="1" customWidth="1"/>
    <col min="11522" max="11523" width="11.42578125" style="1"/>
    <col min="11524" max="11524" width="10" style="1" bestFit="1" customWidth="1"/>
    <col min="11525" max="11525" width="13.5703125" style="1" bestFit="1" customWidth="1"/>
    <col min="11526" max="11771" width="11.42578125" style="1"/>
    <col min="11772" max="11772" width="13.42578125" style="1" customWidth="1"/>
    <col min="11773" max="11773" width="81.42578125" style="1" customWidth="1"/>
    <col min="11774" max="11774" width="10.85546875" style="1" customWidth="1"/>
    <col min="11775" max="11775" width="13.85546875" style="1" customWidth="1"/>
    <col min="11776" max="11776" width="18.7109375" style="1" customWidth="1"/>
    <col min="11777" max="11777" width="35.28515625" style="1" customWidth="1"/>
    <col min="11778" max="11779" width="11.42578125" style="1"/>
    <col min="11780" max="11780" width="10" style="1" bestFit="1" customWidth="1"/>
    <col min="11781" max="11781" width="13.5703125" style="1" bestFit="1" customWidth="1"/>
    <col min="11782" max="12027" width="11.42578125" style="1"/>
    <col min="12028" max="12028" width="13.42578125" style="1" customWidth="1"/>
    <col min="12029" max="12029" width="81.42578125" style="1" customWidth="1"/>
    <col min="12030" max="12030" width="10.85546875" style="1" customWidth="1"/>
    <col min="12031" max="12031" width="13.85546875" style="1" customWidth="1"/>
    <col min="12032" max="12032" width="18.7109375" style="1" customWidth="1"/>
    <col min="12033" max="12033" width="35.28515625" style="1" customWidth="1"/>
    <col min="12034" max="12035" width="11.42578125" style="1"/>
    <col min="12036" max="12036" width="10" style="1" bestFit="1" customWidth="1"/>
    <col min="12037" max="12037" width="13.5703125" style="1" bestFit="1" customWidth="1"/>
    <col min="12038" max="12283" width="11.42578125" style="1"/>
    <col min="12284" max="12284" width="13.42578125" style="1" customWidth="1"/>
    <col min="12285" max="12285" width="81.42578125" style="1" customWidth="1"/>
    <col min="12286" max="12286" width="10.85546875" style="1" customWidth="1"/>
    <col min="12287" max="12287" width="13.85546875" style="1" customWidth="1"/>
    <col min="12288" max="12288" width="18.7109375" style="1" customWidth="1"/>
    <col min="12289" max="12289" width="35.28515625" style="1" customWidth="1"/>
    <col min="12290" max="12291" width="11.42578125" style="1"/>
    <col min="12292" max="12292" width="10" style="1" bestFit="1" customWidth="1"/>
    <col min="12293" max="12293" width="13.5703125" style="1" bestFit="1" customWidth="1"/>
    <col min="12294" max="12539" width="11.42578125" style="1"/>
    <col min="12540" max="12540" width="13.42578125" style="1" customWidth="1"/>
    <col min="12541" max="12541" width="81.42578125" style="1" customWidth="1"/>
    <col min="12542" max="12542" width="10.85546875" style="1" customWidth="1"/>
    <col min="12543" max="12543" width="13.85546875" style="1" customWidth="1"/>
    <col min="12544" max="12544" width="18.7109375" style="1" customWidth="1"/>
    <col min="12545" max="12545" width="35.28515625" style="1" customWidth="1"/>
    <col min="12546" max="12547" width="11.42578125" style="1"/>
    <col min="12548" max="12548" width="10" style="1" bestFit="1" customWidth="1"/>
    <col min="12549" max="12549" width="13.5703125" style="1" bestFit="1" customWidth="1"/>
    <col min="12550" max="12795" width="11.42578125" style="1"/>
    <col min="12796" max="12796" width="13.42578125" style="1" customWidth="1"/>
    <col min="12797" max="12797" width="81.42578125" style="1" customWidth="1"/>
    <col min="12798" max="12798" width="10.85546875" style="1" customWidth="1"/>
    <col min="12799" max="12799" width="13.85546875" style="1" customWidth="1"/>
    <col min="12800" max="12800" width="18.7109375" style="1" customWidth="1"/>
    <col min="12801" max="12801" width="35.28515625" style="1" customWidth="1"/>
    <col min="12802" max="12803" width="11.42578125" style="1"/>
    <col min="12804" max="12804" width="10" style="1" bestFit="1" customWidth="1"/>
    <col min="12805" max="12805" width="13.5703125" style="1" bestFit="1" customWidth="1"/>
    <col min="12806" max="13051" width="11.42578125" style="1"/>
    <col min="13052" max="13052" width="13.42578125" style="1" customWidth="1"/>
    <col min="13053" max="13053" width="81.42578125" style="1" customWidth="1"/>
    <col min="13054" max="13054" width="10.85546875" style="1" customWidth="1"/>
    <col min="13055" max="13055" width="13.85546875" style="1" customWidth="1"/>
    <col min="13056" max="13056" width="18.7109375" style="1" customWidth="1"/>
    <col min="13057" max="13057" width="35.28515625" style="1" customWidth="1"/>
    <col min="13058" max="13059" width="11.42578125" style="1"/>
    <col min="13060" max="13060" width="10" style="1" bestFit="1" customWidth="1"/>
    <col min="13061" max="13061" width="13.5703125" style="1" bestFit="1" customWidth="1"/>
    <col min="13062" max="13307" width="11.42578125" style="1"/>
    <col min="13308" max="13308" width="13.42578125" style="1" customWidth="1"/>
    <col min="13309" max="13309" width="81.42578125" style="1" customWidth="1"/>
    <col min="13310" max="13310" width="10.85546875" style="1" customWidth="1"/>
    <col min="13311" max="13311" width="13.85546875" style="1" customWidth="1"/>
    <col min="13312" max="13312" width="18.7109375" style="1" customWidth="1"/>
    <col min="13313" max="13313" width="35.28515625" style="1" customWidth="1"/>
    <col min="13314" max="13315" width="11.42578125" style="1"/>
    <col min="13316" max="13316" width="10" style="1" bestFit="1" customWidth="1"/>
    <col min="13317" max="13317" width="13.5703125" style="1" bestFit="1" customWidth="1"/>
    <col min="13318" max="13563" width="11.42578125" style="1"/>
    <col min="13564" max="13564" width="13.42578125" style="1" customWidth="1"/>
    <col min="13565" max="13565" width="81.42578125" style="1" customWidth="1"/>
    <col min="13566" max="13566" width="10.85546875" style="1" customWidth="1"/>
    <col min="13567" max="13567" width="13.85546875" style="1" customWidth="1"/>
    <col min="13568" max="13568" width="18.7109375" style="1" customWidth="1"/>
    <col min="13569" max="13569" width="35.28515625" style="1" customWidth="1"/>
    <col min="13570" max="13571" width="11.42578125" style="1"/>
    <col min="13572" max="13572" width="10" style="1" bestFit="1" customWidth="1"/>
    <col min="13573" max="13573" width="13.5703125" style="1" bestFit="1" customWidth="1"/>
    <col min="13574" max="13819" width="11.42578125" style="1"/>
    <col min="13820" max="13820" width="13.42578125" style="1" customWidth="1"/>
    <col min="13821" max="13821" width="81.42578125" style="1" customWidth="1"/>
    <col min="13822" max="13822" width="10.85546875" style="1" customWidth="1"/>
    <col min="13823" max="13823" width="13.85546875" style="1" customWidth="1"/>
    <col min="13824" max="13824" width="18.7109375" style="1" customWidth="1"/>
    <col min="13825" max="13825" width="35.28515625" style="1" customWidth="1"/>
    <col min="13826" max="13827" width="11.42578125" style="1"/>
    <col min="13828" max="13828" width="10" style="1" bestFit="1" customWidth="1"/>
    <col min="13829" max="13829" width="13.5703125" style="1" bestFit="1" customWidth="1"/>
    <col min="13830" max="14075" width="11.42578125" style="1"/>
    <col min="14076" max="14076" width="13.42578125" style="1" customWidth="1"/>
    <col min="14077" max="14077" width="81.42578125" style="1" customWidth="1"/>
    <col min="14078" max="14078" width="10.85546875" style="1" customWidth="1"/>
    <col min="14079" max="14079" width="13.85546875" style="1" customWidth="1"/>
    <col min="14080" max="14080" width="18.7109375" style="1" customWidth="1"/>
    <col min="14081" max="14081" width="35.28515625" style="1" customWidth="1"/>
    <col min="14082" max="14083" width="11.42578125" style="1"/>
    <col min="14084" max="14084" width="10" style="1" bestFit="1" customWidth="1"/>
    <col min="14085" max="14085" width="13.5703125" style="1" bestFit="1" customWidth="1"/>
    <col min="14086" max="14331" width="11.42578125" style="1"/>
    <col min="14332" max="14332" width="13.42578125" style="1" customWidth="1"/>
    <col min="14333" max="14333" width="81.42578125" style="1" customWidth="1"/>
    <col min="14334" max="14334" width="10.85546875" style="1" customWidth="1"/>
    <col min="14335" max="14335" width="13.85546875" style="1" customWidth="1"/>
    <col min="14336" max="14336" width="18.7109375" style="1" customWidth="1"/>
    <col min="14337" max="14337" width="35.28515625" style="1" customWidth="1"/>
    <col min="14338" max="14339" width="11.42578125" style="1"/>
    <col min="14340" max="14340" width="10" style="1" bestFit="1" customWidth="1"/>
    <col min="14341" max="14341" width="13.5703125" style="1" bestFit="1" customWidth="1"/>
    <col min="14342" max="14587" width="11.42578125" style="1"/>
    <col min="14588" max="14588" width="13.42578125" style="1" customWidth="1"/>
    <col min="14589" max="14589" width="81.42578125" style="1" customWidth="1"/>
    <col min="14590" max="14590" width="10.85546875" style="1" customWidth="1"/>
    <col min="14591" max="14591" width="13.85546875" style="1" customWidth="1"/>
    <col min="14592" max="14592" width="18.7109375" style="1" customWidth="1"/>
    <col min="14593" max="14593" width="35.28515625" style="1" customWidth="1"/>
    <col min="14594" max="14595" width="11.42578125" style="1"/>
    <col min="14596" max="14596" width="10" style="1" bestFit="1" customWidth="1"/>
    <col min="14597" max="14597" width="13.5703125" style="1" bestFit="1" customWidth="1"/>
    <col min="14598" max="14843" width="11.42578125" style="1"/>
    <col min="14844" max="14844" width="13.42578125" style="1" customWidth="1"/>
    <col min="14845" max="14845" width="81.42578125" style="1" customWidth="1"/>
    <col min="14846" max="14846" width="10.85546875" style="1" customWidth="1"/>
    <col min="14847" max="14847" width="13.85546875" style="1" customWidth="1"/>
    <col min="14848" max="14848" width="18.7109375" style="1" customWidth="1"/>
    <col min="14849" max="14849" width="35.28515625" style="1" customWidth="1"/>
    <col min="14850" max="14851" width="11.42578125" style="1"/>
    <col min="14852" max="14852" width="10" style="1" bestFit="1" customWidth="1"/>
    <col min="14853" max="14853" width="13.5703125" style="1" bestFit="1" customWidth="1"/>
    <col min="14854" max="15099" width="11.42578125" style="1"/>
    <col min="15100" max="15100" width="13.42578125" style="1" customWidth="1"/>
    <col min="15101" max="15101" width="81.42578125" style="1" customWidth="1"/>
    <col min="15102" max="15102" width="10.85546875" style="1" customWidth="1"/>
    <col min="15103" max="15103" width="13.85546875" style="1" customWidth="1"/>
    <col min="15104" max="15104" width="18.7109375" style="1" customWidth="1"/>
    <col min="15105" max="15105" width="35.28515625" style="1" customWidth="1"/>
    <col min="15106" max="15107" width="11.42578125" style="1"/>
    <col min="15108" max="15108" width="10" style="1" bestFit="1" customWidth="1"/>
    <col min="15109" max="15109" width="13.5703125" style="1" bestFit="1" customWidth="1"/>
    <col min="15110" max="15355" width="11.42578125" style="1"/>
    <col min="15356" max="15356" width="13.42578125" style="1" customWidth="1"/>
    <col min="15357" max="15357" width="81.42578125" style="1" customWidth="1"/>
    <col min="15358" max="15358" width="10.85546875" style="1" customWidth="1"/>
    <col min="15359" max="15359" width="13.85546875" style="1" customWidth="1"/>
    <col min="15360" max="15360" width="18.7109375" style="1" customWidth="1"/>
    <col min="15361" max="15361" width="35.28515625" style="1" customWidth="1"/>
    <col min="15362" max="15363" width="11.42578125" style="1"/>
    <col min="15364" max="15364" width="10" style="1" bestFit="1" customWidth="1"/>
    <col min="15365" max="15365" width="13.5703125" style="1" bestFit="1" customWidth="1"/>
    <col min="15366" max="15611" width="11.42578125" style="1"/>
    <col min="15612" max="15612" width="13.42578125" style="1" customWidth="1"/>
    <col min="15613" max="15613" width="81.42578125" style="1" customWidth="1"/>
    <col min="15614" max="15614" width="10.85546875" style="1" customWidth="1"/>
    <col min="15615" max="15615" width="13.85546875" style="1" customWidth="1"/>
    <col min="15616" max="15616" width="18.7109375" style="1" customWidth="1"/>
    <col min="15617" max="15617" width="35.28515625" style="1" customWidth="1"/>
    <col min="15618" max="15619" width="11.42578125" style="1"/>
    <col min="15620" max="15620" width="10" style="1" bestFit="1" customWidth="1"/>
    <col min="15621" max="15621" width="13.5703125" style="1" bestFit="1" customWidth="1"/>
    <col min="15622" max="15867" width="11.42578125" style="1"/>
    <col min="15868" max="15868" width="13.42578125" style="1" customWidth="1"/>
    <col min="15869" max="15869" width="81.42578125" style="1" customWidth="1"/>
    <col min="15870" max="15870" width="10.85546875" style="1" customWidth="1"/>
    <col min="15871" max="15871" width="13.85546875" style="1" customWidth="1"/>
    <col min="15872" max="15872" width="18.7109375" style="1" customWidth="1"/>
    <col min="15873" max="15873" width="35.28515625" style="1" customWidth="1"/>
    <col min="15874" max="15875" width="11.42578125" style="1"/>
    <col min="15876" max="15876" width="10" style="1" bestFit="1" customWidth="1"/>
    <col min="15877" max="15877" width="13.5703125" style="1" bestFit="1" customWidth="1"/>
    <col min="15878" max="16123" width="11.42578125" style="1"/>
    <col min="16124" max="16124" width="13.42578125" style="1" customWidth="1"/>
    <col min="16125" max="16125" width="81.42578125" style="1" customWidth="1"/>
    <col min="16126" max="16126" width="10.85546875" style="1" customWidth="1"/>
    <col min="16127" max="16127" width="13.85546875" style="1" customWidth="1"/>
    <col min="16128" max="16128" width="18.7109375" style="1" customWidth="1"/>
    <col min="16129" max="16129" width="35.28515625" style="1" customWidth="1"/>
    <col min="16130" max="16131" width="11.42578125" style="1"/>
    <col min="16132" max="16132" width="10" style="1" bestFit="1" customWidth="1"/>
    <col min="16133" max="16133" width="13.5703125" style="1" bestFit="1" customWidth="1"/>
    <col min="16134" max="16384" width="11.42578125" style="1"/>
  </cols>
  <sheetData>
    <row r="1" spans="1:7" ht="16.5" thickBot="1"/>
    <row r="2" spans="1:7" ht="65.25" customHeight="1" thickBot="1">
      <c r="A2" s="256"/>
      <c r="B2" s="287" t="s">
        <v>351</v>
      </c>
      <c r="C2" s="288"/>
      <c r="D2" s="288"/>
      <c r="E2" s="289"/>
      <c r="F2" s="257"/>
    </row>
    <row r="3" spans="1:7" ht="19.899999999999999" customHeight="1" thickBot="1">
      <c r="A3" s="3"/>
      <c r="B3" s="3"/>
      <c r="C3" s="4"/>
      <c r="D3" s="252"/>
      <c r="E3" s="48"/>
      <c r="G3" s="5"/>
    </row>
    <row r="4" spans="1:7" ht="13.5" thickBot="1">
      <c r="A4" s="40" t="s">
        <v>10</v>
      </c>
      <c r="B4" s="41" t="s">
        <v>11</v>
      </c>
      <c r="C4" s="42" t="s">
        <v>12</v>
      </c>
      <c r="D4" s="43" t="s">
        <v>13</v>
      </c>
      <c r="E4" s="44" t="s">
        <v>14</v>
      </c>
      <c r="F4" s="45" t="s">
        <v>15</v>
      </c>
    </row>
    <row r="5" spans="1:7" ht="13.5" thickBot="1">
      <c r="A5" s="270">
        <v>1</v>
      </c>
      <c r="B5" s="271" t="s">
        <v>2</v>
      </c>
      <c r="C5" s="272"/>
      <c r="D5" s="272"/>
      <c r="E5" s="273"/>
      <c r="F5" s="274">
        <f>SUM(F6:F7)</f>
        <v>3449905</v>
      </c>
    </row>
    <row r="6" spans="1:7" ht="12.75">
      <c r="A6" s="46" t="s">
        <v>25</v>
      </c>
      <c r="B6" s="22" t="s">
        <v>88</v>
      </c>
      <c r="C6" s="23" t="s">
        <v>0</v>
      </c>
      <c r="D6" s="24">
        <v>595</v>
      </c>
      <c r="E6" s="253">
        <f>+'Trazado Loc y Rep.'!G31</f>
        <v>1500.000004873953</v>
      </c>
      <c r="F6" s="251">
        <f>ROUND((E6*D6),0)</f>
        <v>892500</v>
      </c>
    </row>
    <row r="7" spans="1:7" ht="13.5" thickBot="1">
      <c r="A7" s="46" t="s">
        <v>26</v>
      </c>
      <c r="B7" s="25" t="s">
        <v>58</v>
      </c>
      <c r="C7" s="26" t="s">
        <v>1</v>
      </c>
      <c r="D7" s="24">
        <v>90</v>
      </c>
      <c r="E7" s="253">
        <f>+Descapote!G32</f>
        <v>28415.611111111113</v>
      </c>
      <c r="F7" s="251">
        <f>ROUND((E7*D7),0)</f>
        <v>2557405</v>
      </c>
    </row>
    <row r="8" spans="1:7" ht="13.5" thickBot="1">
      <c r="A8" s="270">
        <v>2</v>
      </c>
      <c r="B8" s="271" t="s">
        <v>342</v>
      </c>
      <c r="C8" s="272"/>
      <c r="D8" s="272"/>
      <c r="E8" s="273"/>
      <c r="F8" s="274">
        <f>SUM(F9:F37)</f>
        <v>239835400</v>
      </c>
    </row>
    <row r="9" spans="1:7" ht="12.75">
      <c r="A9" s="47" t="s">
        <v>28</v>
      </c>
      <c r="B9" s="27" t="s">
        <v>90</v>
      </c>
      <c r="C9" s="28" t="s">
        <v>16</v>
      </c>
      <c r="D9" s="29">
        <v>285</v>
      </c>
      <c r="E9" s="254">
        <f>+'Excavación manual viga'!G31</f>
        <v>14999.999999816184</v>
      </c>
      <c r="F9" s="251">
        <f t="shared" ref="F9:F37" si="0">ROUND((E9*D9),0)</f>
        <v>4275000</v>
      </c>
    </row>
    <row r="10" spans="1:7" ht="12.75" customHeight="1">
      <c r="A10" s="47" t="s">
        <v>29</v>
      </c>
      <c r="B10" s="30" t="s">
        <v>104</v>
      </c>
      <c r="C10" s="28" t="s">
        <v>16</v>
      </c>
      <c r="D10" s="29">
        <v>285</v>
      </c>
      <c r="E10" s="254">
        <f>+'Solado limpieza 2000psi e=5cm'!G37</f>
        <v>18000.000432612294</v>
      </c>
      <c r="F10" s="251">
        <f t="shared" si="0"/>
        <v>5130000</v>
      </c>
      <c r="G10" s="19"/>
    </row>
    <row r="11" spans="1:7" ht="12.75">
      <c r="A11" s="266" t="s">
        <v>30</v>
      </c>
      <c r="B11" s="30" t="s">
        <v>55</v>
      </c>
      <c r="C11" s="28" t="s">
        <v>16</v>
      </c>
      <c r="D11" s="29">
        <f>+D10</f>
        <v>285</v>
      </c>
      <c r="E11" s="254">
        <f>+'Viga cim. 25x25'!G38</f>
        <v>70206.458050789603</v>
      </c>
      <c r="F11" s="251">
        <f t="shared" si="0"/>
        <v>20008841</v>
      </c>
      <c r="G11" s="267"/>
    </row>
    <row r="12" spans="1:7" ht="12.75">
      <c r="A12" s="47" t="s">
        <v>31</v>
      </c>
      <c r="B12" s="39" t="s">
        <v>169</v>
      </c>
      <c r="C12" s="31" t="s">
        <v>1</v>
      </c>
      <c r="D12" s="24">
        <v>178</v>
      </c>
      <c r="E12" s="253">
        <f>+'Relleno material seleccionado'!G32</f>
        <v>43987.166666666672</v>
      </c>
      <c r="F12" s="251">
        <f>ROUND((E12*D12),0)</f>
        <v>7829716</v>
      </c>
      <c r="G12" s="19"/>
    </row>
    <row r="13" spans="1:7" ht="15" customHeight="1">
      <c r="A13" s="266" t="s">
        <v>32</v>
      </c>
      <c r="B13" s="32" t="s">
        <v>171</v>
      </c>
      <c r="C13" s="31" t="s">
        <v>0</v>
      </c>
      <c r="D13" s="24">
        <v>572</v>
      </c>
      <c r="E13" s="255">
        <f>+'Muro Block Nº4'!G34</f>
        <v>48478.000196303292</v>
      </c>
      <c r="F13" s="251">
        <f>ROUND((E13*D13),0)</f>
        <v>27729416</v>
      </c>
    </row>
    <row r="14" spans="1:7" ht="15" customHeight="1">
      <c r="A14" s="47" t="s">
        <v>33</v>
      </c>
      <c r="B14" s="30" t="s">
        <v>187</v>
      </c>
      <c r="C14" s="31" t="s">
        <v>60</v>
      </c>
      <c r="D14" s="24">
        <v>20</v>
      </c>
      <c r="E14" s="255">
        <f>+'Columneta 0.20x0.20'!G36</f>
        <v>307344.80000001338</v>
      </c>
      <c r="F14" s="251">
        <f t="shared" ref="F14:F15" si="1">ROUND((E14*D14),0)</f>
        <v>6146896</v>
      </c>
    </row>
    <row r="15" spans="1:7" ht="12.75">
      <c r="A15" s="266" t="s">
        <v>34</v>
      </c>
      <c r="B15" s="30" t="s">
        <v>195</v>
      </c>
      <c r="C15" s="28" t="s">
        <v>16</v>
      </c>
      <c r="D15" s="29">
        <f>140+72</f>
        <v>212</v>
      </c>
      <c r="E15" s="254">
        <f>+'Viga sup 12x20'!F37</f>
        <v>84655.869666666666</v>
      </c>
      <c r="F15" s="251">
        <f t="shared" si="1"/>
        <v>17947044</v>
      </c>
      <c r="G15" s="267"/>
    </row>
    <row r="16" spans="1:7" ht="16.149999999999999" customHeight="1">
      <c r="A16" s="47" t="s">
        <v>35</v>
      </c>
      <c r="B16" s="32" t="s">
        <v>64</v>
      </c>
      <c r="C16" s="31" t="s">
        <v>0</v>
      </c>
      <c r="D16" s="24">
        <f>+D6</f>
        <v>595</v>
      </c>
      <c r="E16" s="254">
        <f>+'Placa maciza e=0.15m'!F34</f>
        <v>73599.533333333326</v>
      </c>
      <c r="F16" s="251">
        <f>ROUND((E16*D16),0)</f>
        <v>43791722</v>
      </c>
    </row>
    <row r="17" spans="1:6" ht="15" customHeight="1">
      <c r="A17" s="266" t="s">
        <v>36</v>
      </c>
      <c r="B17" s="32" t="s">
        <v>199</v>
      </c>
      <c r="C17" s="31" t="s">
        <v>0</v>
      </c>
      <c r="D17" s="24">
        <f>+D15</f>
        <v>212</v>
      </c>
      <c r="E17" s="255">
        <f>+'Pintura Vinilo Nº1'!G32</f>
        <v>12999.999078508368</v>
      </c>
      <c r="F17" s="251">
        <f>ROUND((E17*D17),0)</f>
        <v>2756000</v>
      </c>
    </row>
    <row r="18" spans="1:6" ht="14.25" customHeight="1">
      <c r="A18" s="47" t="s">
        <v>37</v>
      </c>
      <c r="B18" s="27" t="s">
        <v>3</v>
      </c>
      <c r="C18" s="31" t="s">
        <v>16</v>
      </c>
      <c r="D18" s="24">
        <v>452.5</v>
      </c>
      <c r="E18" s="255">
        <f>+'Estructura Metalica Cubierta'!G31</f>
        <v>58376.00000023855</v>
      </c>
      <c r="F18" s="251">
        <f t="shared" si="0"/>
        <v>26415140</v>
      </c>
    </row>
    <row r="19" spans="1:6" ht="12.75">
      <c r="A19" s="266" t="s">
        <v>38</v>
      </c>
      <c r="B19" s="33" t="s">
        <v>59</v>
      </c>
      <c r="C19" s="31" t="s">
        <v>0</v>
      </c>
      <c r="D19" s="24">
        <v>562</v>
      </c>
      <c r="E19" s="255">
        <f>+'Cubierta Teja ondulada'!G34</f>
        <v>65311.999997673774</v>
      </c>
      <c r="F19" s="251">
        <f t="shared" si="0"/>
        <v>36705344</v>
      </c>
    </row>
    <row r="20" spans="1:6" ht="12.75">
      <c r="A20" s="47" t="s">
        <v>39</v>
      </c>
      <c r="B20" s="33" t="s">
        <v>4</v>
      </c>
      <c r="C20" s="31" t="s">
        <v>16</v>
      </c>
      <c r="D20" s="24">
        <v>200</v>
      </c>
      <c r="E20" s="255">
        <v>28000</v>
      </c>
      <c r="F20" s="251">
        <f t="shared" si="0"/>
        <v>5600000</v>
      </c>
    </row>
    <row r="21" spans="1:6" ht="12.75">
      <c r="A21" s="266" t="s">
        <v>40</v>
      </c>
      <c r="B21" s="34" t="s">
        <v>5</v>
      </c>
      <c r="C21" s="28" t="s">
        <v>17</v>
      </c>
      <c r="D21" s="29">
        <v>12</v>
      </c>
      <c r="E21" s="255">
        <f>+'Salida luces'!G36</f>
        <v>80000.000021075786</v>
      </c>
      <c r="F21" s="251">
        <f t="shared" si="0"/>
        <v>960000</v>
      </c>
    </row>
    <row r="22" spans="1:6" ht="12.75">
      <c r="A22" s="47" t="s">
        <v>41</v>
      </c>
      <c r="B22" s="34" t="s">
        <v>6</v>
      </c>
      <c r="C22" s="28" t="s">
        <v>17</v>
      </c>
      <c r="D22" s="29">
        <v>44</v>
      </c>
      <c r="E22" s="255">
        <f>+'Salida luminaria'!G35</f>
        <v>109000.00000010166</v>
      </c>
      <c r="F22" s="251">
        <f t="shared" si="0"/>
        <v>4796000</v>
      </c>
    </row>
    <row r="23" spans="1:6" ht="12.75">
      <c r="A23" s="266" t="s">
        <v>42</v>
      </c>
      <c r="B23" s="34" t="s">
        <v>54</v>
      </c>
      <c r="C23" s="28" t="s">
        <v>17</v>
      </c>
      <c r="D23" s="29">
        <v>20</v>
      </c>
      <c r="E23" s="255">
        <f>+'Salida tomacorriente'!G37</f>
        <v>136000.00026093435</v>
      </c>
      <c r="F23" s="251">
        <f t="shared" si="0"/>
        <v>2720000</v>
      </c>
    </row>
    <row r="24" spans="1:6" ht="13.5" customHeight="1">
      <c r="A24" s="47" t="s">
        <v>43</v>
      </c>
      <c r="B24" s="34" t="s">
        <v>7</v>
      </c>
      <c r="C24" s="28" t="s">
        <v>17</v>
      </c>
      <c r="D24" s="29">
        <f>+'[3]M. CANT. S.2'!U885</f>
        <v>1</v>
      </c>
      <c r="E24" s="255">
        <f>+'Tablero multi brake'!G36</f>
        <v>220000.00000393653</v>
      </c>
      <c r="F24" s="251">
        <f t="shared" si="0"/>
        <v>220000</v>
      </c>
    </row>
    <row r="25" spans="1:6" ht="12.75">
      <c r="A25" s="266" t="s">
        <v>44</v>
      </c>
      <c r="B25" s="35" t="s">
        <v>22</v>
      </c>
      <c r="C25" s="28" t="s">
        <v>18</v>
      </c>
      <c r="D25" s="29">
        <v>80</v>
      </c>
      <c r="E25" s="255">
        <f>+'Tuberia 1l2" '!G30</f>
        <v>15000.000646434844</v>
      </c>
      <c r="F25" s="251">
        <f t="shared" si="0"/>
        <v>1200000</v>
      </c>
    </row>
    <row r="26" spans="1:6" ht="12.75">
      <c r="A26" s="47" t="s">
        <v>45</v>
      </c>
      <c r="B26" s="35" t="s">
        <v>23</v>
      </c>
      <c r="C26" s="28" t="s">
        <v>17</v>
      </c>
      <c r="D26" s="29">
        <v>16</v>
      </c>
      <c r="E26" s="255">
        <f>+'Punto hidrauico'!G37</f>
        <v>40000.000014529738</v>
      </c>
      <c r="F26" s="251">
        <f t="shared" si="0"/>
        <v>640000</v>
      </c>
    </row>
    <row r="27" spans="1:6" ht="12.75">
      <c r="A27" s="266" t="s">
        <v>46</v>
      </c>
      <c r="B27" s="35" t="s">
        <v>281</v>
      </c>
      <c r="C27" s="28" t="s">
        <v>17</v>
      </c>
      <c r="D27" s="29">
        <v>12</v>
      </c>
      <c r="E27" s="255">
        <f>+'Punto sanitario 2"'!G35</f>
        <v>80000.000036909943</v>
      </c>
      <c r="F27" s="251">
        <f t="shared" si="0"/>
        <v>960000</v>
      </c>
    </row>
    <row r="28" spans="1:6" ht="12.75">
      <c r="A28" s="47" t="s">
        <v>47</v>
      </c>
      <c r="B28" s="35" t="s">
        <v>280</v>
      </c>
      <c r="C28" s="28" t="s">
        <v>17</v>
      </c>
      <c r="D28" s="29">
        <v>8</v>
      </c>
      <c r="E28" s="255">
        <f>+'Punto sanitario 4" '!G33</f>
        <v>110000.00042229507</v>
      </c>
      <c r="F28" s="251">
        <f t="shared" si="0"/>
        <v>880000</v>
      </c>
    </row>
    <row r="29" spans="1:6" ht="12.75">
      <c r="A29" s="266" t="s">
        <v>48</v>
      </c>
      <c r="B29" s="35" t="s">
        <v>19</v>
      </c>
      <c r="C29" s="28" t="s">
        <v>17</v>
      </c>
      <c r="D29" s="29">
        <v>1</v>
      </c>
      <c r="E29" s="255">
        <f>+'Reg sanit 82x82'!G37</f>
        <v>279357.40001329815</v>
      </c>
      <c r="F29" s="251">
        <f t="shared" si="0"/>
        <v>279357</v>
      </c>
    </row>
    <row r="30" spans="1:6" ht="12.75">
      <c r="A30" s="47" t="s">
        <v>49</v>
      </c>
      <c r="B30" s="35" t="s">
        <v>300</v>
      </c>
      <c r="C30" s="28" t="s">
        <v>16</v>
      </c>
      <c r="D30" s="29">
        <f>+'[3]M. CANT. S.2'!U1141</f>
        <v>25</v>
      </c>
      <c r="E30" s="255">
        <f>+'Tub sanit 4"'!G33</f>
        <v>34999.999972246376</v>
      </c>
      <c r="F30" s="251">
        <f t="shared" si="0"/>
        <v>875000</v>
      </c>
    </row>
    <row r="31" spans="1:6" ht="12.75">
      <c r="A31" s="266" t="s">
        <v>50</v>
      </c>
      <c r="B31" s="35" t="s">
        <v>304</v>
      </c>
      <c r="C31" s="28" t="s">
        <v>16</v>
      </c>
      <c r="D31" s="29">
        <v>20</v>
      </c>
      <c r="E31" s="255">
        <f>+'Tub sanit 2"'!G33</f>
        <v>25000.004633113032</v>
      </c>
      <c r="F31" s="251">
        <f t="shared" si="0"/>
        <v>500000</v>
      </c>
    </row>
    <row r="32" spans="1:6" ht="12.75">
      <c r="A32" s="47" t="s">
        <v>51</v>
      </c>
      <c r="B32" s="36" t="s">
        <v>24</v>
      </c>
      <c r="C32" s="28" t="s">
        <v>17</v>
      </c>
      <c r="D32" s="29">
        <v>24</v>
      </c>
      <c r="E32" s="255">
        <f>+'Ventaneria de alum 1.5x1.5'!G30</f>
        <v>563399.99999999802</v>
      </c>
      <c r="F32" s="251">
        <f t="shared" si="0"/>
        <v>13521600</v>
      </c>
    </row>
    <row r="33" spans="1:6" ht="12.75">
      <c r="A33" s="266" t="s">
        <v>52</v>
      </c>
      <c r="B33" s="36" t="s">
        <v>57</v>
      </c>
      <c r="C33" s="28" t="s">
        <v>17</v>
      </c>
      <c r="D33" s="29">
        <v>2</v>
      </c>
      <c r="E33" s="255">
        <f>+'Ventaneria de alum 0.40x0.40'!G30</f>
        <v>158611.11111111112</v>
      </c>
      <c r="F33" s="251">
        <f t="shared" si="0"/>
        <v>317222</v>
      </c>
    </row>
    <row r="34" spans="1:6" ht="12.75">
      <c r="A34" s="47" t="s">
        <v>53</v>
      </c>
      <c r="B34" s="37" t="s">
        <v>320</v>
      </c>
      <c r="C34" s="28" t="s">
        <v>17</v>
      </c>
      <c r="D34" s="29">
        <v>5</v>
      </c>
      <c r="E34" s="255">
        <f>+'Lavamanos '!G34</f>
        <v>246783.33333333334</v>
      </c>
      <c r="F34" s="251">
        <f t="shared" si="0"/>
        <v>1233917</v>
      </c>
    </row>
    <row r="35" spans="1:6" ht="12.75">
      <c r="A35" s="266" t="s">
        <v>61</v>
      </c>
      <c r="B35" s="38" t="s">
        <v>330</v>
      </c>
      <c r="C35" s="28" t="s">
        <v>17</v>
      </c>
      <c r="D35" s="29">
        <v>4</v>
      </c>
      <c r="E35" s="255">
        <f>+'Sanitario sencillo'!G36</f>
        <v>314719.04444444441</v>
      </c>
      <c r="F35" s="251">
        <f t="shared" si="0"/>
        <v>1258876</v>
      </c>
    </row>
    <row r="36" spans="1:6" ht="12.75">
      <c r="A36" s="47" t="s">
        <v>62</v>
      </c>
      <c r="B36" s="38" t="s">
        <v>332</v>
      </c>
      <c r="C36" s="28" t="s">
        <v>17</v>
      </c>
      <c r="D36" s="29">
        <v>1</v>
      </c>
      <c r="E36" s="255">
        <f>+Orinal!G36</f>
        <v>364719.04444444441</v>
      </c>
      <c r="F36" s="251">
        <f t="shared" si="0"/>
        <v>364719</v>
      </c>
    </row>
    <row r="37" spans="1:6" ht="13.5" thickBot="1">
      <c r="A37" s="46" t="s">
        <v>63</v>
      </c>
      <c r="B37" s="27" t="s">
        <v>335</v>
      </c>
      <c r="C37" s="28" t="s">
        <v>0</v>
      </c>
      <c r="D37" s="29">
        <v>20</v>
      </c>
      <c r="E37" s="254">
        <f>+'División aluminio y crilico'!G30</f>
        <v>238679.48717948719</v>
      </c>
      <c r="F37" s="251">
        <f t="shared" si="0"/>
        <v>4773590</v>
      </c>
    </row>
    <row r="38" spans="1:6" ht="12.2" customHeight="1" thickBot="1">
      <c r="A38" s="268" t="s">
        <v>350</v>
      </c>
      <c r="B38" s="275" t="s">
        <v>8</v>
      </c>
      <c r="C38" s="276"/>
      <c r="D38" s="277"/>
      <c r="E38" s="278"/>
      <c r="F38" s="279">
        <f>+F39</f>
        <v>1235799.9999999544</v>
      </c>
    </row>
    <row r="39" spans="1:6" ht="12.2" customHeight="1" thickBot="1">
      <c r="A39" s="269" t="s">
        <v>27</v>
      </c>
      <c r="B39" s="258" t="s">
        <v>9</v>
      </c>
      <c r="C39" s="259" t="s">
        <v>236</v>
      </c>
      <c r="D39" s="260">
        <v>1</v>
      </c>
      <c r="E39" s="261">
        <v>1235799.9999999544</v>
      </c>
      <c r="F39" s="262">
        <f>+D39*E39</f>
        <v>1235799.9999999544</v>
      </c>
    </row>
    <row r="40" spans="1:6" ht="12.2" customHeight="1" thickBot="1">
      <c r="A40" s="290"/>
      <c r="B40" s="291"/>
      <c r="C40" s="291"/>
      <c r="D40" s="291"/>
      <c r="E40" s="291"/>
      <c r="F40" s="292"/>
    </row>
    <row r="41" spans="1:6" ht="12.2" customHeight="1">
      <c r="A41" s="263"/>
      <c r="B41" s="296" t="s">
        <v>20</v>
      </c>
      <c r="C41" s="297"/>
      <c r="D41" s="297"/>
      <c r="E41" s="298"/>
      <c r="F41" s="280">
        <f>+F38+F8+F5</f>
        <v>244521104.99999994</v>
      </c>
    </row>
    <row r="42" spans="1:6" ht="12.2" customHeight="1">
      <c r="A42" s="20"/>
      <c r="B42" s="284" t="s">
        <v>348</v>
      </c>
      <c r="C42" s="285"/>
      <c r="D42" s="285"/>
      <c r="E42" s="286"/>
      <c r="F42" s="251">
        <f>ROUND(($F$41*20%),0)</f>
        <v>48904221</v>
      </c>
    </row>
    <row r="43" spans="1:6" ht="12.2" customHeight="1">
      <c r="A43" s="20"/>
      <c r="B43" s="284" t="s">
        <v>21</v>
      </c>
      <c r="C43" s="285"/>
      <c r="D43" s="285"/>
      <c r="E43" s="286"/>
      <c r="F43" s="251">
        <f>ROUND(($F$41*2%),0)</f>
        <v>4890422</v>
      </c>
    </row>
    <row r="44" spans="1:6" ht="12.2" customHeight="1">
      <c r="A44" s="20"/>
      <c r="B44" s="284" t="s">
        <v>69</v>
      </c>
      <c r="C44" s="285"/>
      <c r="D44" s="285"/>
      <c r="E44" s="286"/>
      <c r="F44" s="251">
        <f>ROUND(($F$41*3%),0)</f>
        <v>7335633</v>
      </c>
    </row>
    <row r="45" spans="1:6" ht="12.2" customHeight="1">
      <c r="A45" s="21"/>
      <c r="B45" s="294" t="s">
        <v>65</v>
      </c>
      <c r="C45" s="294"/>
      <c r="D45" s="294"/>
      <c r="E45" s="294"/>
      <c r="F45" s="251">
        <f>ROUND(($F$44*19%),0)</f>
        <v>1393770</v>
      </c>
    </row>
    <row r="46" spans="1:6" ht="12.2" customHeight="1">
      <c r="A46" s="21"/>
      <c r="B46" s="284" t="s">
        <v>66</v>
      </c>
      <c r="C46" s="285"/>
      <c r="D46" s="285"/>
      <c r="E46" s="286"/>
      <c r="F46" s="250">
        <f>SUM(F42:F45)</f>
        <v>62524046</v>
      </c>
    </row>
    <row r="47" spans="1:6" ht="15" customHeight="1" thickBot="1">
      <c r="A47" s="281"/>
      <c r="B47" s="301" t="s">
        <v>68</v>
      </c>
      <c r="C47" s="302"/>
      <c r="D47" s="302"/>
      <c r="E47" s="303"/>
      <c r="F47" s="282">
        <f>F41+F46</f>
        <v>307045150.99999994</v>
      </c>
    </row>
    <row r="48" spans="1:6" ht="15" customHeight="1" thickBot="1">
      <c r="A48" s="264"/>
      <c r="B48" s="299" t="s">
        <v>67</v>
      </c>
      <c r="C48" s="299"/>
      <c r="D48" s="299"/>
      <c r="E48" s="300"/>
      <c r="F48" s="283">
        <f>SUM(F47:F47)</f>
        <v>307045150.99999994</v>
      </c>
    </row>
    <row r="49" spans="1:6" ht="12.2" customHeight="1">
      <c r="A49" s="10"/>
      <c r="B49" s="11"/>
      <c r="C49" s="12"/>
      <c r="D49" s="49"/>
      <c r="E49" s="49"/>
      <c r="F49" s="14"/>
    </row>
    <row r="50" spans="1:6" ht="12.2" customHeight="1">
      <c r="A50" s="10"/>
      <c r="B50" s="11"/>
      <c r="C50" s="12"/>
      <c r="D50" s="49"/>
      <c r="E50" s="49"/>
      <c r="F50" s="14"/>
    </row>
    <row r="51" spans="1:6" ht="12.2" customHeight="1">
      <c r="A51" s="10"/>
      <c r="B51" s="11"/>
      <c r="C51" s="12"/>
      <c r="D51" s="49"/>
      <c r="E51" s="49"/>
      <c r="F51" s="14"/>
    </row>
    <row r="52" spans="1:6" ht="18">
      <c r="A52" s="295"/>
      <c r="B52" s="295"/>
      <c r="C52" s="295"/>
      <c r="D52" s="295"/>
      <c r="E52" s="295"/>
      <c r="F52" s="295"/>
    </row>
    <row r="53" spans="1:6" ht="14.25">
      <c r="A53" s="293"/>
      <c r="B53" s="293"/>
      <c r="C53" s="293"/>
      <c r="D53" s="293"/>
      <c r="E53" s="293"/>
      <c r="F53" s="293"/>
    </row>
    <row r="54" spans="1:6" ht="14.25">
      <c r="A54" s="293"/>
      <c r="B54" s="293"/>
      <c r="C54" s="293"/>
      <c r="D54" s="293"/>
      <c r="E54" s="293"/>
      <c r="F54" s="293"/>
    </row>
    <row r="55" spans="1:6" ht="15">
      <c r="A55" s="10"/>
      <c r="B55" s="15"/>
      <c r="C55" s="12"/>
      <c r="D55" s="49"/>
      <c r="E55" s="13"/>
      <c r="F55" s="13"/>
    </row>
    <row r="56" spans="1:6" ht="15">
      <c r="A56" s="10"/>
      <c r="B56" s="11"/>
      <c r="C56" s="12"/>
      <c r="D56" s="49"/>
      <c r="E56" s="13"/>
      <c r="F56" s="13"/>
    </row>
    <row r="57" spans="1:6" ht="15">
      <c r="A57" s="10"/>
      <c r="B57" s="16"/>
      <c r="C57" s="12"/>
      <c r="D57" s="49"/>
      <c r="E57" s="13"/>
      <c r="F57" s="13"/>
    </row>
    <row r="58" spans="1:6" ht="15">
      <c r="A58" s="10"/>
      <c r="B58" s="11"/>
      <c r="C58" s="12"/>
      <c r="D58" s="49"/>
      <c r="E58" s="13"/>
      <c r="F58" s="13"/>
    </row>
    <row r="59" spans="1:6" ht="15">
      <c r="A59" s="10"/>
      <c r="B59" s="15"/>
      <c r="C59" s="12"/>
      <c r="D59" s="49"/>
      <c r="E59" s="13"/>
      <c r="F59" s="13"/>
    </row>
    <row r="60" spans="1:6" ht="15">
      <c r="A60" s="10"/>
      <c r="B60" s="11"/>
      <c r="C60" s="12"/>
      <c r="D60" s="49"/>
      <c r="E60" s="13"/>
      <c r="F60" s="13"/>
    </row>
    <row r="61" spans="1:6" ht="15">
      <c r="A61" s="10"/>
      <c r="B61" s="11"/>
      <c r="C61" s="12"/>
      <c r="D61" s="49"/>
      <c r="E61" s="13"/>
      <c r="F61" s="13"/>
    </row>
    <row r="62" spans="1:6" ht="15">
      <c r="A62" s="10"/>
      <c r="B62" s="11"/>
      <c r="C62" s="12"/>
      <c r="D62" s="49"/>
      <c r="E62" s="13"/>
      <c r="F62" s="13"/>
    </row>
    <row r="63" spans="1:6" ht="15">
      <c r="A63" s="10"/>
      <c r="B63" s="11"/>
      <c r="C63" s="12"/>
      <c r="D63" s="49"/>
      <c r="E63" s="13"/>
      <c r="F63" s="13"/>
    </row>
    <row r="64" spans="1:6" ht="15">
      <c r="A64" s="10"/>
      <c r="B64" s="11"/>
      <c r="C64" s="12"/>
      <c r="D64" s="49"/>
      <c r="E64" s="13"/>
      <c r="F64" s="13"/>
    </row>
    <row r="65" spans="1:6" ht="15">
      <c r="A65" s="10"/>
      <c r="B65" s="11"/>
      <c r="C65" s="12"/>
      <c r="D65" s="49"/>
      <c r="E65" s="13"/>
      <c r="F65" s="13"/>
    </row>
    <row r="66" spans="1:6" ht="15">
      <c r="A66" s="10"/>
      <c r="B66" s="11"/>
      <c r="C66" s="12"/>
      <c r="D66" s="49"/>
      <c r="E66" s="13"/>
      <c r="F66" s="13"/>
    </row>
    <row r="67" spans="1:6" ht="15">
      <c r="A67" s="10"/>
      <c r="B67" s="11"/>
      <c r="C67" s="12"/>
      <c r="D67" s="49"/>
      <c r="E67" s="13"/>
      <c r="F67" s="13"/>
    </row>
    <row r="68" spans="1:6" ht="15">
      <c r="A68" s="10"/>
      <c r="B68" s="11"/>
      <c r="C68" s="12"/>
      <c r="D68" s="49"/>
      <c r="E68" s="13"/>
      <c r="F68" s="13"/>
    </row>
    <row r="69" spans="1:6" ht="15">
      <c r="A69" s="10"/>
      <c r="B69" s="11"/>
      <c r="C69" s="12"/>
      <c r="D69" s="49"/>
      <c r="E69" s="13"/>
      <c r="F69" s="13"/>
    </row>
    <row r="70" spans="1:6" ht="15">
      <c r="A70" s="10"/>
      <c r="B70" s="11"/>
      <c r="C70" s="12"/>
      <c r="D70" s="49"/>
      <c r="E70" s="13"/>
      <c r="F70" s="13"/>
    </row>
    <row r="71" spans="1:6" ht="15">
      <c r="A71" s="10"/>
      <c r="B71" s="11"/>
      <c r="C71" s="12"/>
      <c r="D71" s="49"/>
      <c r="E71" s="13"/>
      <c r="F71" s="13"/>
    </row>
    <row r="72" spans="1:6" ht="15">
      <c r="A72" s="10"/>
      <c r="B72" s="11"/>
      <c r="C72" s="12"/>
      <c r="D72" s="49"/>
      <c r="E72" s="13"/>
      <c r="F72" s="13"/>
    </row>
    <row r="73" spans="1:6" ht="15">
      <c r="A73" s="10"/>
      <c r="B73" s="11"/>
      <c r="C73" s="12"/>
      <c r="D73" s="49"/>
      <c r="E73" s="13"/>
      <c r="F73" s="13"/>
    </row>
    <row r="74" spans="1:6" ht="15">
      <c r="A74" s="10"/>
      <c r="B74" s="11"/>
      <c r="C74" s="12"/>
      <c r="D74" s="49"/>
      <c r="E74" s="13"/>
      <c r="F74" s="13"/>
    </row>
    <row r="75" spans="1:6" ht="15">
      <c r="A75" s="10"/>
      <c r="B75" s="11"/>
      <c r="C75" s="12"/>
      <c r="D75" s="49"/>
      <c r="E75" s="13"/>
      <c r="F75" s="13"/>
    </row>
    <row r="76" spans="1:6" ht="15">
      <c r="A76" s="10"/>
      <c r="B76" s="11"/>
      <c r="C76" s="12"/>
      <c r="D76" s="49"/>
      <c r="E76" s="13"/>
      <c r="F76" s="13"/>
    </row>
    <row r="77" spans="1:6" ht="15">
      <c r="A77" s="10"/>
      <c r="B77" s="11"/>
      <c r="C77" s="12"/>
      <c r="D77" s="49"/>
      <c r="E77" s="13"/>
      <c r="F77" s="13"/>
    </row>
    <row r="78" spans="1:6" ht="15">
      <c r="A78" s="10"/>
      <c r="B78" s="11"/>
      <c r="C78" s="12"/>
      <c r="D78" s="49"/>
      <c r="E78" s="13"/>
      <c r="F78" s="13"/>
    </row>
    <row r="79" spans="1:6" ht="15">
      <c r="A79" s="10"/>
      <c r="B79" s="11"/>
      <c r="C79" s="12"/>
      <c r="D79" s="49"/>
      <c r="E79" s="13"/>
      <c r="F79" s="13"/>
    </row>
    <row r="80" spans="1:6" ht="15">
      <c r="A80" s="10"/>
      <c r="B80" s="11"/>
      <c r="C80" s="12"/>
      <c r="D80" s="49"/>
      <c r="E80" s="13"/>
      <c r="F80" s="13"/>
    </row>
    <row r="81" spans="1:6" ht="15">
      <c r="A81" s="10"/>
      <c r="B81" s="11"/>
      <c r="C81" s="12"/>
      <c r="D81" s="49"/>
      <c r="E81" s="13"/>
      <c r="F81" s="13"/>
    </row>
    <row r="82" spans="1:6" ht="15">
      <c r="A82" s="10"/>
      <c r="B82" s="11"/>
      <c r="C82" s="12"/>
      <c r="D82" s="49"/>
      <c r="E82" s="13"/>
      <c r="F82" s="13"/>
    </row>
    <row r="83" spans="1:6" ht="15">
      <c r="A83" s="10"/>
      <c r="B83" s="11"/>
      <c r="C83" s="12"/>
      <c r="D83" s="49"/>
      <c r="E83" s="13"/>
      <c r="F83" s="13"/>
    </row>
    <row r="84" spans="1:6" ht="15">
      <c r="A84" s="10"/>
      <c r="B84" s="11"/>
      <c r="C84" s="12"/>
      <c r="D84" s="49"/>
      <c r="E84" s="13"/>
      <c r="F84" s="13"/>
    </row>
    <row r="85" spans="1:6" ht="15">
      <c r="A85" s="10"/>
      <c r="B85" s="11"/>
      <c r="C85" s="12"/>
      <c r="D85" s="49"/>
      <c r="E85" s="13"/>
      <c r="F85" s="13"/>
    </row>
    <row r="86" spans="1:6" ht="15">
      <c r="A86" s="10"/>
      <c r="B86" s="11"/>
      <c r="C86" s="12"/>
      <c r="D86" s="49"/>
      <c r="E86" s="13"/>
      <c r="F86" s="13"/>
    </row>
    <row r="87" spans="1:6" ht="15">
      <c r="A87" s="10"/>
      <c r="B87" s="11"/>
      <c r="C87" s="12"/>
      <c r="D87" s="49"/>
      <c r="E87" s="13"/>
      <c r="F87" s="13"/>
    </row>
    <row r="88" spans="1:6" ht="15">
      <c r="A88" s="10"/>
      <c r="B88" s="11"/>
      <c r="C88" s="12"/>
      <c r="D88" s="49"/>
      <c r="E88" s="13"/>
      <c r="F88" s="13"/>
    </row>
    <row r="89" spans="1:6" ht="15">
      <c r="A89" s="10"/>
      <c r="B89" s="11"/>
      <c r="C89" s="12"/>
      <c r="D89" s="49"/>
      <c r="E89" s="13"/>
      <c r="F89" s="13"/>
    </row>
    <row r="90" spans="1:6" ht="15">
      <c r="A90" s="10"/>
      <c r="B90" s="11"/>
      <c r="C90" s="12"/>
      <c r="D90" s="49"/>
      <c r="E90" s="13"/>
      <c r="F90" s="13"/>
    </row>
    <row r="91" spans="1:6" ht="15">
      <c r="A91" s="10"/>
      <c r="B91" s="11"/>
      <c r="C91" s="12"/>
      <c r="D91" s="49"/>
      <c r="E91" s="13"/>
      <c r="F91" s="13"/>
    </row>
    <row r="92" spans="1:6" ht="15">
      <c r="A92" s="10"/>
      <c r="B92" s="11"/>
      <c r="C92" s="12"/>
      <c r="D92" s="49"/>
      <c r="E92" s="13"/>
      <c r="F92" s="13"/>
    </row>
    <row r="93" spans="1:6" ht="15">
      <c r="A93" s="10"/>
      <c r="B93" s="11"/>
      <c r="C93" s="12"/>
      <c r="D93" s="49"/>
      <c r="E93" s="13"/>
      <c r="F93" s="13"/>
    </row>
    <row r="94" spans="1:6" ht="15">
      <c r="A94" s="10"/>
      <c r="B94" s="11"/>
      <c r="C94" s="12"/>
      <c r="D94" s="49"/>
      <c r="E94" s="13"/>
      <c r="F94" s="13"/>
    </row>
    <row r="95" spans="1:6">
      <c r="A95" s="6"/>
      <c r="B95" s="7"/>
      <c r="C95" s="17"/>
      <c r="D95" s="7"/>
      <c r="E95" s="9"/>
      <c r="F95" s="7"/>
    </row>
    <row r="96" spans="1:6">
      <c r="A96" s="6"/>
      <c r="B96" s="7"/>
      <c r="C96" s="8"/>
      <c r="D96" s="6"/>
      <c r="E96" s="9"/>
      <c r="F96" s="7"/>
    </row>
    <row r="97" spans="1:6">
      <c r="A97" s="6"/>
      <c r="B97" s="7"/>
      <c r="C97" s="8"/>
      <c r="D97" s="6"/>
      <c r="E97" s="9"/>
      <c r="F97" s="7"/>
    </row>
    <row r="98" spans="1:6">
      <c r="A98" s="6"/>
      <c r="B98" s="7"/>
      <c r="C98" s="8"/>
      <c r="D98" s="6"/>
      <c r="E98" s="9"/>
      <c r="F98" s="7"/>
    </row>
    <row r="99" spans="1:6">
      <c r="A99" s="6"/>
      <c r="B99" s="7"/>
      <c r="C99" s="8"/>
      <c r="D99" s="6"/>
      <c r="E99" s="9"/>
      <c r="F99" s="7"/>
    </row>
    <row r="100" spans="1:6">
      <c r="A100" s="6"/>
      <c r="B100" s="7"/>
      <c r="C100" s="8"/>
      <c r="D100" s="6"/>
      <c r="E100" s="9"/>
      <c r="F100" s="7"/>
    </row>
    <row r="101" spans="1:6">
      <c r="A101" s="6"/>
      <c r="B101" s="7"/>
      <c r="C101" s="8"/>
      <c r="D101" s="6"/>
      <c r="E101" s="9"/>
      <c r="F101" s="7"/>
    </row>
    <row r="102" spans="1:6">
      <c r="A102" s="6"/>
      <c r="B102" s="7"/>
      <c r="C102" s="8"/>
      <c r="D102" s="6"/>
      <c r="E102" s="9"/>
      <c r="F102" s="7"/>
    </row>
    <row r="103" spans="1:6">
      <c r="A103" s="6"/>
      <c r="B103" s="7"/>
      <c r="C103" s="8"/>
      <c r="D103" s="6"/>
      <c r="E103" s="9"/>
      <c r="F103" s="7"/>
    </row>
    <row r="104" spans="1:6">
      <c r="A104" s="6"/>
      <c r="B104" s="7"/>
      <c r="C104" s="8"/>
      <c r="D104" s="6"/>
      <c r="E104" s="9"/>
      <c r="F104" s="7"/>
    </row>
    <row r="105" spans="1:6">
      <c r="A105" s="6"/>
      <c r="B105" s="7"/>
      <c r="C105" s="8"/>
      <c r="D105" s="6"/>
      <c r="E105" s="9"/>
      <c r="F105" s="7"/>
    </row>
    <row r="106" spans="1:6">
      <c r="A106" s="6"/>
      <c r="B106" s="7"/>
      <c r="C106" s="8"/>
      <c r="D106" s="6"/>
      <c r="E106" s="9"/>
      <c r="F106" s="7"/>
    </row>
    <row r="107" spans="1:6">
      <c r="A107" s="6"/>
      <c r="B107" s="7"/>
      <c r="C107" s="8"/>
      <c r="D107" s="6"/>
      <c r="E107" s="9"/>
      <c r="F107" s="7"/>
    </row>
    <row r="108" spans="1:6">
      <c r="A108" s="6"/>
      <c r="B108" s="7"/>
      <c r="C108" s="8"/>
      <c r="D108" s="6"/>
      <c r="E108" s="9"/>
      <c r="F108" s="7"/>
    </row>
    <row r="109" spans="1:6">
      <c r="A109" s="6"/>
      <c r="B109" s="7"/>
      <c r="C109" s="8"/>
      <c r="D109" s="6"/>
      <c r="E109" s="9"/>
      <c r="F109" s="7"/>
    </row>
    <row r="110" spans="1:6">
      <c r="A110" s="6"/>
      <c r="B110" s="7"/>
      <c r="C110" s="8"/>
      <c r="D110" s="6"/>
      <c r="E110" s="9"/>
      <c r="F110" s="7"/>
    </row>
    <row r="111" spans="1:6">
      <c r="A111" s="6"/>
      <c r="B111" s="7"/>
      <c r="C111" s="8"/>
      <c r="D111" s="6"/>
      <c r="E111" s="9"/>
      <c r="F111" s="7"/>
    </row>
    <row r="112" spans="1:6">
      <c r="A112" s="6"/>
      <c r="B112" s="7"/>
      <c r="C112" s="8"/>
      <c r="D112" s="6"/>
      <c r="E112" s="9"/>
      <c r="F112" s="7"/>
    </row>
    <row r="113" spans="1:6">
      <c r="A113" s="6"/>
      <c r="B113" s="7"/>
      <c r="C113" s="8"/>
      <c r="D113" s="6"/>
      <c r="E113" s="9"/>
      <c r="F113" s="7"/>
    </row>
    <row r="114" spans="1:6">
      <c r="A114" s="6"/>
      <c r="B114" s="7"/>
      <c r="C114" s="8"/>
      <c r="D114" s="6"/>
      <c r="E114" s="9"/>
      <c r="F114" s="7"/>
    </row>
    <row r="115" spans="1:6">
      <c r="A115" s="6"/>
      <c r="B115" s="7"/>
      <c r="C115" s="8"/>
      <c r="D115" s="6"/>
      <c r="E115" s="9"/>
      <c r="F115" s="7"/>
    </row>
  </sheetData>
  <mergeCells count="13">
    <mergeCell ref="B2:E2"/>
    <mergeCell ref="A52:F52"/>
    <mergeCell ref="B46:E46"/>
    <mergeCell ref="A53:F53"/>
    <mergeCell ref="A54:F54"/>
    <mergeCell ref="A40:F40"/>
    <mergeCell ref="B41:E41"/>
    <mergeCell ref="B42:E42"/>
    <mergeCell ref="B43:E43"/>
    <mergeCell ref="B44:E44"/>
    <mergeCell ref="B45:E45"/>
    <mergeCell ref="B48:E48"/>
    <mergeCell ref="B47:E47"/>
  </mergeCells>
  <phoneticPr fontId="2" type="noConversion"/>
  <pageMargins left="0.31496062992125984" right="0.19685039370078741" top="0.9237007874015748" bottom="0.39370078740157483" header="0.31496062992125984" footer="0.31496062992125984"/>
  <pageSetup paperSize="9" scale="5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4"/>
  <sheetViews>
    <sheetView topLeftCell="A13" workbookViewId="0">
      <selection activeCell="J29" sqref="J29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6" customWidth="1"/>
    <col min="5" max="5" width="5.85546875" customWidth="1"/>
    <col min="6" max="7" width="10.85546875" customWidth="1"/>
    <col min="8" max="8" width="1.42578125" customWidth="1"/>
  </cols>
  <sheetData>
    <row r="1" spans="1:8">
      <c r="A1" s="124"/>
      <c r="B1" s="124"/>
      <c r="C1" s="124"/>
      <c r="D1" s="169"/>
      <c r="E1" s="124"/>
      <c r="F1" s="173"/>
      <c r="G1" s="124"/>
      <c r="H1" s="124"/>
    </row>
    <row r="2" spans="1:8">
      <c r="A2" s="161"/>
      <c r="B2" s="162" t="s">
        <v>72</v>
      </c>
      <c r="C2" s="163"/>
      <c r="D2" s="163"/>
      <c r="E2" s="163"/>
      <c r="F2" s="164"/>
      <c r="G2" s="163"/>
      <c r="H2" s="165"/>
    </row>
    <row r="3" spans="1:8">
      <c r="A3" s="166"/>
      <c r="B3" s="167"/>
      <c r="C3" s="168"/>
      <c r="D3" s="169"/>
      <c r="E3" s="168"/>
      <c r="F3" s="170"/>
      <c r="G3" s="168"/>
      <c r="H3" s="171"/>
    </row>
    <row r="4" spans="1:8">
      <c r="A4" s="166"/>
      <c r="B4" s="153" t="s">
        <v>305</v>
      </c>
      <c r="C4" s="168"/>
      <c r="D4" s="169"/>
      <c r="E4" s="168"/>
      <c r="F4" s="170"/>
      <c r="G4" s="168"/>
      <c r="H4" s="171"/>
    </row>
    <row r="5" spans="1:8">
      <c r="A5" s="166"/>
      <c r="B5" s="191" t="s">
        <v>258</v>
      </c>
      <c r="C5" s="168"/>
      <c r="D5" s="169"/>
      <c r="E5" s="168"/>
      <c r="F5" s="170"/>
      <c r="G5" s="168"/>
      <c r="H5" s="171"/>
    </row>
    <row r="6" spans="1:8">
      <c r="A6" s="166"/>
      <c r="B6" s="124"/>
      <c r="C6" s="124"/>
      <c r="D6" s="169"/>
      <c r="E6" s="124"/>
      <c r="F6" s="173"/>
      <c r="G6" s="124"/>
      <c r="H6" s="171"/>
    </row>
    <row r="7" spans="1:8">
      <c r="A7" s="166"/>
      <c r="B7" s="174" t="s">
        <v>74</v>
      </c>
      <c r="C7" s="124"/>
      <c r="D7" s="175" t="s">
        <v>75</v>
      </c>
      <c r="E7" s="175" t="s">
        <v>71</v>
      </c>
      <c r="F7" s="176" t="s">
        <v>70</v>
      </c>
      <c r="G7" s="175" t="s">
        <v>76</v>
      </c>
      <c r="H7" s="171"/>
    </row>
    <row r="8" spans="1:8">
      <c r="A8" s="166"/>
      <c r="B8" s="177" t="s">
        <v>303</v>
      </c>
      <c r="C8" s="124"/>
      <c r="D8" s="175" t="s">
        <v>18</v>
      </c>
      <c r="E8" s="177">
        <v>1.1000000000000001</v>
      </c>
      <c r="F8" s="178">
        <f>+'Punto sanitario 2"'!F8</f>
        <v>18000</v>
      </c>
      <c r="G8" s="178">
        <f>+E8*F8</f>
        <v>19800</v>
      </c>
      <c r="H8" s="171"/>
    </row>
    <row r="9" spans="1:8">
      <c r="A9" s="166"/>
      <c r="B9" s="177" t="s">
        <v>297</v>
      </c>
      <c r="C9" s="124"/>
      <c r="D9" s="175" t="s">
        <v>17</v>
      </c>
      <c r="E9" s="177">
        <f>1/5</f>
        <v>0.2</v>
      </c>
      <c r="F9" s="178">
        <f>+'Punto sanitario 2"'!F10</f>
        <v>4500</v>
      </c>
      <c r="G9" s="178">
        <f>+E9*F9</f>
        <v>900</v>
      </c>
      <c r="H9" s="171"/>
    </row>
    <row r="10" spans="1:8">
      <c r="A10" s="166"/>
      <c r="B10" s="177" t="s">
        <v>269</v>
      </c>
      <c r="C10" s="124"/>
      <c r="D10" s="175" t="s">
        <v>260</v>
      </c>
      <c r="E10" s="177">
        <v>1E-3</v>
      </c>
      <c r="F10" s="178">
        <f>+'Punto sanitario 2"'!F11</f>
        <v>320000</v>
      </c>
      <c r="G10" s="178">
        <f>+E10*F10</f>
        <v>320</v>
      </c>
      <c r="H10" s="171"/>
    </row>
    <row r="11" spans="1:8" ht="15.75" thickBot="1">
      <c r="A11" s="166"/>
      <c r="B11" s="177"/>
      <c r="C11" s="177"/>
      <c r="D11" s="175"/>
      <c r="E11" s="177"/>
      <c r="F11" s="178"/>
      <c r="G11" s="178"/>
      <c r="H11" s="171"/>
    </row>
    <row r="12" spans="1:8" ht="15.75" thickBot="1">
      <c r="A12" s="166"/>
      <c r="B12" s="124"/>
      <c r="C12" s="124"/>
      <c r="D12" s="169"/>
      <c r="E12" s="124"/>
      <c r="F12" s="181" t="s">
        <v>77</v>
      </c>
      <c r="G12" s="182">
        <f>SUM(G8:G11)</f>
        <v>21020</v>
      </c>
      <c r="H12" s="171"/>
    </row>
    <row r="13" spans="1:8">
      <c r="A13" s="166"/>
      <c r="B13" s="124"/>
      <c r="C13" s="124"/>
      <c r="D13" s="169"/>
      <c r="E13" s="124"/>
      <c r="F13" s="181"/>
      <c r="G13" s="173"/>
      <c r="H13" s="171"/>
    </row>
    <row r="14" spans="1:8">
      <c r="A14" s="166"/>
      <c r="B14" s="174" t="s">
        <v>78</v>
      </c>
      <c r="C14" s="168"/>
      <c r="D14" s="175" t="s">
        <v>79</v>
      </c>
      <c r="E14" s="175"/>
      <c r="F14" s="183" t="s">
        <v>80</v>
      </c>
      <c r="G14" s="176" t="s">
        <v>76</v>
      </c>
      <c r="H14" s="171"/>
    </row>
    <row r="15" spans="1:8">
      <c r="A15" s="166"/>
      <c r="B15" s="177" t="s">
        <v>298</v>
      </c>
      <c r="C15" s="124"/>
      <c r="D15" s="192">
        <v>31.472000000000001</v>
      </c>
      <c r="E15" s="184"/>
      <c r="F15" s="185">
        <f>+'M.O.'!E4</f>
        <v>67666.666666666672</v>
      </c>
      <c r="G15" s="178">
        <f>+F15/D15</f>
        <v>2150.0593119810201</v>
      </c>
      <c r="H15" s="171"/>
    </row>
    <row r="16" spans="1:8">
      <c r="A16" s="166"/>
      <c r="B16" s="177" t="s">
        <v>91</v>
      </c>
      <c r="C16" s="124"/>
      <c r="D16" s="192">
        <f>+D15</f>
        <v>31.472000000000001</v>
      </c>
      <c r="E16" s="184"/>
      <c r="F16" s="185">
        <f>+'M.O.'!E46</f>
        <v>38666.666666666664</v>
      </c>
      <c r="G16" s="178">
        <f>+F16/D16</f>
        <v>1228.6053211320113</v>
      </c>
      <c r="H16" s="171"/>
    </row>
    <row r="17" spans="1:8" ht="15.75" thickBot="1">
      <c r="A17" s="166"/>
      <c r="B17" s="177"/>
      <c r="C17" s="124"/>
      <c r="D17" s="175"/>
      <c r="E17" s="184"/>
      <c r="F17" s="185"/>
      <c r="G17" s="178">
        <v>0</v>
      </c>
      <c r="H17" s="171"/>
    </row>
    <row r="18" spans="1:8" ht="15.75" thickBot="1">
      <c r="A18" s="166"/>
      <c r="B18" s="124"/>
      <c r="C18" s="124"/>
      <c r="D18" s="169"/>
      <c r="E18" s="124"/>
      <c r="F18" s="181" t="s">
        <v>77</v>
      </c>
      <c r="G18" s="182">
        <f>SUM(G15:G17)</f>
        <v>3378.6646331130314</v>
      </c>
      <c r="H18" s="171"/>
    </row>
    <row r="19" spans="1:8">
      <c r="A19" s="166"/>
      <c r="B19" s="124"/>
      <c r="C19" s="124"/>
      <c r="D19" s="169"/>
      <c r="E19" s="124"/>
      <c r="F19" s="173"/>
      <c r="G19" s="173"/>
      <c r="H19" s="171"/>
    </row>
    <row r="20" spans="1:8">
      <c r="A20" s="166"/>
      <c r="B20" s="177" t="s">
        <v>83</v>
      </c>
      <c r="C20" s="124"/>
      <c r="D20" s="169"/>
      <c r="E20" s="175" t="s">
        <v>79</v>
      </c>
      <c r="F20" s="176" t="s">
        <v>84</v>
      </c>
      <c r="G20" s="176" t="s">
        <v>76</v>
      </c>
      <c r="H20" s="171"/>
    </row>
    <row r="21" spans="1:8">
      <c r="A21" s="166"/>
      <c r="B21" s="177" t="s">
        <v>102</v>
      </c>
      <c r="C21" s="124"/>
      <c r="D21" s="169"/>
      <c r="E21" s="177">
        <v>1</v>
      </c>
      <c r="F21" s="178">
        <v>500</v>
      </c>
      <c r="G21" s="178">
        <f>F21/E21</f>
        <v>500</v>
      </c>
      <c r="H21" s="171"/>
    </row>
    <row r="22" spans="1:8">
      <c r="A22" s="166"/>
      <c r="B22" s="177"/>
      <c r="C22" s="124"/>
      <c r="D22" s="169"/>
      <c r="E22" s="177"/>
      <c r="F22" s="178"/>
      <c r="G22" s="178">
        <v>0</v>
      </c>
      <c r="H22" s="171"/>
    </row>
    <row r="23" spans="1:8">
      <c r="A23" s="166"/>
      <c r="B23" s="177"/>
      <c r="C23" s="124"/>
      <c r="D23" s="169"/>
      <c r="E23" s="177"/>
      <c r="F23" s="178"/>
      <c r="G23" s="178">
        <v>0</v>
      </c>
      <c r="H23" s="171"/>
    </row>
    <row r="24" spans="1:8" ht="15.75" thickBot="1">
      <c r="A24" s="166"/>
      <c r="B24" s="177"/>
      <c r="C24" s="124"/>
      <c r="D24" s="169"/>
      <c r="E24" s="177"/>
      <c r="F24" s="178"/>
      <c r="G24" s="178">
        <v>0</v>
      </c>
      <c r="H24" s="171"/>
    </row>
    <row r="25" spans="1:8" ht="15.75" thickBot="1">
      <c r="A25" s="166"/>
      <c r="B25" s="124"/>
      <c r="C25" s="124"/>
      <c r="D25" s="169"/>
      <c r="E25" s="124"/>
      <c r="F25" s="181" t="s">
        <v>77</v>
      </c>
      <c r="G25" s="182">
        <f>SUM(G21:G24)</f>
        <v>500</v>
      </c>
      <c r="H25" s="171"/>
    </row>
    <row r="26" spans="1:8">
      <c r="A26" s="166"/>
      <c r="B26" s="124"/>
      <c r="C26" s="124"/>
      <c r="D26" s="169"/>
      <c r="E26" s="124"/>
      <c r="F26" s="173"/>
      <c r="G26" s="173"/>
      <c r="H26" s="171"/>
    </row>
    <row r="27" spans="1:8">
      <c r="A27" s="166"/>
      <c r="B27" s="177" t="s">
        <v>86</v>
      </c>
      <c r="C27" s="124"/>
      <c r="D27" s="169"/>
      <c r="E27" s="175" t="s">
        <v>71</v>
      </c>
      <c r="F27" s="176" t="s">
        <v>84</v>
      </c>
      <c r="G27" s="176" t="s">
        <v>76</v>
      </c>
      <c r="H27" s="171"/>
    </row>
    <row r="28" spans="1:8">
      <c r="A28" s="166"/>
      <c r="B28" s="177" t="s">
        <v>299</v>
      </c>
      <c r="C28" s="124"/>
      <c r="D28" s="169"/>
      <c r="E28" s="177">
        <v>1</v>
      </c>
      <c r="F28" s="235">
        <v>101.34</v>
      </c>
      <c r="G28" s="178">
        <f>+E28*F28</f>
        <v>101.34</v>
      </c>
      <c r="H28" s="171"/>
    </row>
    <row r="29" spans="1:8">
      <c r="A29" s="166"/>
      <c r="B29" s="177"/>
      <c r="C29" s="124"/>
      <c r="D29" s="169"/>
      <c r="E29" s="177"/>
      <c r="F29" s="178"/>
      <c r="G29" s="178">
        <f>+E29*F29</f>
        <v>0</v>
      </c>
      <c r="H29" s="171"/>
    </row>
    <row r="30" spans="1:8" ht="15.75" thickBot="1">
      <c r="A30" s="166"/>
      <c r="B30" s="177"/>
      <c r="C30" s="124"/>
      <c r="D30" s="169"/>
      <c r="E30" s="177"/>
      <c r="F30" s="178"/>
      <c r="G30" s="178">
        <f>+E30*F30</f>
        <v>0</v>
      </c>
      <c r="H30" s="171"/>
    </row>
    <row r="31" spans="1:8" ht="15.75" thickBot="1">
      <c r="A31" s="166"/>
      <c r="B31" s="124"/>
      <c r="C31" s="124"/>
      <c r="D31" s="169"/>
      <c r="E31" s="124"/>
      <c r="F31" s="181" t="s">
        <v>77</v>
      </c>
      <c r="G31" s="182">
        <f>SUM(G28:G30)</f>
        <v>101.34</v>
      </c>
      <c r="H31" s="171"/>
    </row>
    <row r="32" spans="1:8" ht="15.75" thickBot="1">
      <c r="A32" s="166"/>
      <c r="B32" s="124"/>
      <c r="C32" s="124"/>
      <c r="D32" s="169"/>
      <c r="E32" s="124"/>
      <c r="F32" s="173"/>
      <c r="G32" s="173"/>
      <c r="H32" s="171"/>
    </row>
    <row r="33" spans="1:10" ht="15.75" thickBot="1">
      <c r="A33" s="166"/>
      <c r="B33" s="124"/>
      <c r="C33" s="124"/>
      <c r="D33" s="169"/>
      <c r="E33" s="124"/>
      <c r="F33" s="181" t="s">
        <v>87</v>
      </c>
      <c r="G33" s="182">
        <f>+G12+G18+G31+G25</f>
        <v>25000.004633113032</v>
      </c>
      <c r="H33" s="171"/>
      <c r="J33" s="234"/>
    </row>
    <row r="34" spans="1:10">
      <c r="A34" s="186"/>
      <c r="B34" s="187"/>
      <c r="C34" s="187"/>
      <c r="D34" s="188"/>
      <c r="E34" s="187"/>
      <c r="F34" s="189"/>
      <c r="G34" s="187"/>
      <c r="H34" s="19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4"/>
  <sheetViews>
    <sheetView workbookViewId="0">
      <selection activeCell="J29" sqref="J29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6.5703125" customWidth="1"/>
    <col min="5" max="5" width="5.85546875" customWidth="1"/>
    <col min="6" max="7" width="10.85546875" customWidth="1"/>
    <col min="8" max="8" width="1.42578125" customWidth="1"/>
  </cols>
  <sheetData>
    <row r="1" spans="1:8">
      <c r="A1" s="124"/>
      <c r="B1" s="124"/>
      <c r="C1" s="124"/>
      <c r="D1" s="169"/>
      <c r="E1" s="124"/>
      <c r="F1" s="173"/>
      <c r="G1" s="124"/>
      <c r="H1" s="124"/>
    </row>
    <row r="2" spans="1:8">
      <c r="A2" s="161"/>
      <c r="B2" s="162" t="s">
        <v>72</v>
      </c>
      <c r="C2" s="163"/>
      <c r="D2" s="163"/>
      <c r="E2" s="163"/>
      <c r="F2" s="164"/>
      <c r="G2" s="163"/>
      <c r="H2" s="165"/>
    </row>
    <row r="3" spans="1:8">
      <c r="A3" s="166"/>
      <c r="B3" s="167"/>
      <c r="C3" s="168"/>
      <c r="D3" s="169"/>
      <c r="E3" s="168"/>
      <c r="F3" s="170"/>
      <c r="G3" s="168"/>
      <c r="H3" s="171"/>
    </row>
    <row r="4" spans="1:8">
      <c r="A4" s="166"/>
      <c r="B4" s="153" t="s">
        <v>301</v>
      </c>
      <c r="C4" s="168"/>
      <c r="D4" s="169"/>
      <c r="E4" s="168"/>
      <c r="F4" s="170"/>
      <c r="G4" s="168"/>
      <c r="H4" s="171"/>
    </row>
    <row r="5" spans="1:8">
      <c r="A5" s="166"/>
      <c r="B5" s="191" t="s">
        <v>258</v>
      </c>
      <c r="C5" s="168"/>
      <c r="D5" s="169"/>
      <c r="E5" s="168"/>
      <c r="F5" s="170"/>
      <c r="G5" s="168"/>
      <c r="H5" s="171"/>
    </row>
    <row r="6" spans="1:8">
      <c r="A6" s="166"/>
      <c r="B6" s="124"/>
      <c r="C6" s="124"/>
      <c r="D6" s="169"/>
      <c r="E6" s="124"/>
      <c r="F6" s="173"/>
      <c r="G6" s="124"/>
      <c r="H6" s="171"/>
    </row>
    <row r="7" spans="1:8">
      <c r="A7" s="166"/>
      <c r="B7" s="174" t="s">
        <v>74</v>
      </c>
      <c r="C7" s="124"/>
      <c r="D7" s="175" t="s">
        <v>75</v>
      </c>
      <c r="E7" s="175" t="s">
        <v>71</v>
      </c>
      <c r="F7" s="176" t="s">
        <v>70</v>
      </c>
      <c r="G7" s="175" t="s">
        <v>76</v>
      </c>
      <c r="H7" s="171"/>
    </row>
    <row r="8" spans="1:8">
      <c r="A8" s="166"/>
      <c r="B8" s="177" t="s">
        <v>296</v>
      </c>
      <c r="C8" s="124"/>
      <c r="D8" s="175" t="s">
        <v>18</v>
      </c>
      <c r="E8" s="177">
        <v>1.1000000000000001</v>
      </c>
      <c r="F8" s="178">
        <f>+'Punto sanitario 4" '!F8</f>
        <v>25000</v>
      </c>
      <c r="G8" s="178">
        <f>+E8*F8</f>
        <v>27500.000000000004</v>
      </c>
      <c r="H8" s="171"/>
    </row>
    <row r="9" spans="1:8">
      <c r="A9" s="166"/>
      <c r="B9" s="177" t="s">
        <v>302</v>
      </c>
      <c r="C9" s="124"/>
      <c r="D9" s="175" t="s">
        <v>17</v>
      </c>
      <c r="E9" s="177">
        <f>1/5</f>
        <v>0.2</v>
      </c>
      <c r="F9" s="178">
        <f>+'Punto sanitario 4" '!F10</f>
        <v>10000</v>
      </c>
      <c r="G9" s="178">
        <f>+E9*F9</f>
        <v>2000</v>
      </c>
      <c r="H9" s="171"/>
    </row>
    <row r="10" spans="1:8">
      <c r="A10" s="166"/>
      <c r="B10" s="177" t="s">
        <v>269</v>
      </c>
      <c r="C10" s="124"/>
      <c r="D10" s="175" t="s">
        <v>260</v>
      </c>
      <c r="E10" s="177">
        <v>1E-3</v>
      </c>
      <c r="F10" s="178">
        <f>+'Punto sanitario 4" '!F11</f>
        <v>320000</v>
      </c>
      <c r="G10" s="178">
        <f>+E10*F10</f>
        <v>320</v>
      </c>
      <c r="H10" s="171"/>
    </row>
    <row r="11" spans="1:8" ht="15.75" thickBot="1">
      <c r="A11" s="166"/>
      <c r="B11" s="177"/>
      <c r="C11" s="177"/>
      <c r="D11" s="175"/>
      <c r="E11" s="177"/>
      <c r="F11" s="178"/>
      <c r="G11" s="178"/>
      <c r="H11" s="171"/>
    </row>
    <row r="12" spans="1:8" ht="15.75" thickBot="1">
      <c r="A12" s="166"/>
      <c r="B12" s="124"/>
      <c r="C12" s="124"/>
      <c r="D12" s="169"/>
      <c r="E12" s="124"/>
      <c r="F12" s="181" t="s">
        <v>77</v>
      </c>
      <c r="G12" s="182">
        <f>SUM(G8:G11)</f>
        <v>29820.000000000004</v>
      </c>
      <c r="H12" s="171"/>
    </row>
    <row r="13" spans="1:8">
      <c r="A13" s="166"/>
      <c r="B13" s="124"/>
      <c r="C13" s="124"/>
      <c r="D13" s="169"/>
      <c r="E13" s="124"/>
      <c r="F13" s="181"/>
      <c r="G13" s="173"/>
      <c r="H13" s="171"/>
    </row>
    <row r="14" spans="1:8">
      <c r="A14" s="166"/>
      <c r="B14" s="174" t="s">
        <v>78</v>
      </c>
      <c r="C14" s="168"/>
      <c r="D14" s="175" t="s">
        <v>79</v>
      </c>
      <c r="E14" s="175"/>
      <c r="F14" s="183" t="s">
        <v>80</v>
      </c>
      <c r="G14" s="176" t="s">
        <v>76</v>
      </c>
      <c r="H14" s="171"/>
    </row>
    <row r="15" spans="1:8">
      <c r="A15" s="166"/>
      <c r="B15" s="177" t="s">
        <v>298</v>
      </c>
      <c r="C15" s="124"/>
      <c r="D15" s="232">
        <v>23.216885147966387</v>
      </c>
      <c r="E15" s="184"/>
      <c r="F15" s="185">
        <f>+'M.O.'!E4</f>
        <v>67666.666666666672</v>
      </c>
      <c r="G15" s="178">
        <f>+F15/D15</f>
        <v>2914.5454368840569</v>
      </c>
      <c r="H15" s="171"/>
    </row>
    <row r="16" spans="1:8">
      <c r="A16" s="166"/>
      <c r="B16" s="177" t="s">
        <v>91</v>
      </c>
      <c r="C16" s="124"/>
      <c r="D16" s="232">
        <f>+D15</f>
        <v>23.216885147966387</v>
      </c>
      <c r="E16" s="184"/>
      <c r="F16" s="185">
        <f>+'M.O.'!E46</f>
        <v>38666.666666666664</v>
      </c>
      <c r="G16" s="178">
        <f>+F16/D16</f>
        <v>1665.4545353623182</v>
      </c>
      <c r="H16" s="171"/>
    </row>
    <row r="17" spans="1:8" ht="15.75" thickBot="1">
      <c r="A17" s="166"/>
      <c r="B17" s="177"/>
      <c r="C17" s="124"/>
      <c r="D17" s="175"/>
      <c r="E17" s="184"/>
      <c r="F17" s="185"/>
      <c r="G17" s="178">
        <v>0</v>
      </c>
      <c r="H17" s="171"/>
    </row>
    <row r="18" spans="1:8" ht="15.75" thickBot="1">
      <c r="A18" s="166"/>
      <c r="B18" s="124"/>
      <c r="C18" s="124"/>
      <c r="D18" s="169"/>
      <c r="E18" s="124"/>
      <c r="F18" s="181" t="s">
        <v>77</v>
      </c>
      <c r="G18" s="182">
        <f>SUM(G15:G17)</f>
        <v>4579.9999722463754</v>
      </c>
      <c r="H18" s="171"/>
    </row>
    <row r="19" spans="1:8">
      <c r="A19" s="166"/>
      <c r="B19" s="124"/>
      <c r="C19" s="124"/>
      <c r="D19" s="169"/>
      <c r="E19" s="124"/>
      <c r="F19" s="173"/>
      <c r="G19" s="173"/>
      <c r="H19" s="171"/>
    </row>
    <row r="20" spans="1:8">
      <c r="A20" s="166"/>
      <c r="B20" s="177" t="s">
        <v>83</v>
      </c>
      <c r="C20" s="124"/>
      <c r="D20" s="169"/>
      <c r="E20" s="175" t="s">
        <v>79</v>
      </c>
      <c r="F20" s="176" t="s">
        <v>84</v>
      </c>
      <c r="G20" s="176" t="s">
        <v>76</v>
      </c>
      <c r="H20" s="171"/>
    </row>
    <row r="21" spans="1:8">
      <c r="A21" s="166"/>
      <c r="B21" s="177" t="s">
        <v>102</v>
      </c>
      <c r="C21" s="124"/>
      <c r="D21" s="169"/>
      <c r="E21" s="177">
        <v>1</v>
      </c>
      <c r="F21" s="178">
        <v>500</v>
      </c>
      <c r="G21" s="178">
        <f>F21/E21</f>
        <v>500</v>
      </c>
      <c r="H21" s="171"/>
    </row>
    <row r="22" spans="1:8">
      <c r="A22" s="166"/>
      <c r="B22" s="177"/>
      <c r="C22" s="124"/>
      <c r="D22" s="169"/>
      <c r="E22" s="177"/>
      <c r="F22" s="178"/>
      <c r="G22" s="178">
        <v>0</v>
      </c>
      <c r="H22" s="171"/>
    </row>
    <row r="23" spans="1:8">
      <c r="A23" s="166"/>
      <c r="B23" s="177"/>
      <c r="C23" s="124"/>
      <c r="D23" s="169"/>
      <c r="E23" s="177"/>
      <c r="F23" s="178"/>
      <c r="G23" s="178">
        <v>0</v>
      </c>
      <c r="H23" s="171"/>
    </row>
    <row r="24" spans="1:8" ht="15.75" thickBot="1">
      <c r="A24" s="166"/>
      <c r="B24" s="177"/>
      <c r="C24" s="124"/>
      <c r="D24" s="169"/>
      <c r="E24" s="177"/>
      <c r="F24" s="178"/>
      <c r="G24" s="178">
        <v>0</v>
      </c>
      <c r="H24" s="171"/>
    </row>
    <row r="25" spans="1:8" ht="15.75" thickBot="1">
      <c r="A25" s="166"/>
      <c r="B25" s="124"/>
      <c r="C25" s="124"/>
      <c r="D25" s="169"/>
      <c r="E25" s="124"/>
      <c r="F25" s="181" t="s">
        <v>77</v>
      </c>
      <c r="G25" s="182">
        <f>SUM(G21:G24)</f>
        <v>500</v>
      </c>
      <c r="H25" s="171"/>
    </row>
    <row r="26" spans="1:8">
      <c r="A26" s="166"/>
      <c r="B26" s="124"/>
      <c r="C26" s="124"/>
      <c r="D26" s="169"/>
      <c r="E26" s="124"/>
      <c r="F26" s="173"/>
      <c r="G26" s="173"/>
      <c r="H26" s="171"/>
    </row>
    <row r="27" spans="1:8">
      <c r="A27" s="166"/>
      <c r="B27" s="177" t="s">
        <v>86</v>
      </c>
      <c r="C27" s="124"/>
      <c r="D27" s="169"/>
      <c r="E27" s="175" t="s">
        <v>71</v>
      </c>
      <c r="F27" s="176" t="s">
        <v>84</v>
      </c>
      <c r="G27" s="176" t="s">
        <v>76</v>
      </c>
      <c r="H27" s="171"/>
    </row>
    <row r="28" spans="1:8">
      <c r="A28" s="166"/>
      <c r="B28" s="177" t="s">
        <v>299</v>
      </c>
      <c r="C28" s="124"/>
      <c r="D28" s="169"/>
      <c r="E28" s="177">
        <v>1</v>
      </c>
      <c r="F28" s="178">
        <v>100</v>
      </c>
      <c r="G28" s="178">
        <f>+E28*F28</f>
        <v>100</v>
      </c>
      <c r="H28" s="171"/>
    </row>
    <row r="29" spans="1:8">
      <c r="A29" s="166"/>
      <c r="B29" s="177"/>
      <c r="C29" s="124"/>
      <c r="D29" s="169"/>
      <c r="E29" s="177"/>
      <c r="F29" s="178"/>
      <c r="G29" s="178">
        <f>+E29*F29</f>
        <v>0</v>
      </c>
      <c r="H29" s="171"/>
    </row>
    <row r="30" spans="1:8" ht="15.75" thickBot="1">
      <c r="A30" s="166"/>
      <c r="B30" s="177"/>
      <c r="C30" s="124"/>
      <c r="D30" s="169"/>
      <c r="E30" s="177"/>
      <c r="F30" s="178"/>
      <c r="G30" s="178">
        <f>+E30*F30</f>
        <v>0</v>
      </c>
      <c r="H30" s="171"/>
    </row>
    <row r="31" spans="1:8" ht="15.75" thickBot="1">
      <c r="A31" s="166"/>
      <c r="B31" s="124"/>
      <c r="C31" s="124"/>
      <c r="D31" s="169"/>
      <c r="E31" s="124"/>
      <c r="F31" s="181" t="s">
        <v>77</v>
      </c>
      <c r="G31" s="182">
        <f>SUM(G28:G30)</f>
        <v>100</v>
      </c>
      <c r="H31" s="171"/>
    </row>
    <row r="32" spans="1:8" ht="15.75" thickBot="1">
      <c r="A32" s="166"/>
      <c r="B32" s="124"/>
      <c r="C32" s="124"/>
      <c r="D32" s="169"/>
      <c r="E32" s="124"/>
      <c r="F32" s="173"/>
      <c r="G32" s="173"/>
      <c r="H32" s="171"/>
    </row>
    <row r="33" spans="1:8" ht="15.75" thickBot="1">
      <c r="A33" s="166"/>
      <c r="B33" s="124"/>
      <c r="C33" s="124"/>
      <c r="D33" s="169"/>
      <c r="E33" s="124"/>
      <c r="F33" s="181" t="s">
        <v>87</v>
      </c>
      <c r="G33" s="182">
        <f>+G12+G18+G31+G25</f>
        <v>34999.999972246376</v>
      </c>
      <c r="H33" s="171"/>
    </row>
    <row r="34" spans="1:8">
      <c r="A34" s="186"/>
      <c r="B34" s="187"/>
      <c r="C34" s="187"/>
      <c r="D34" s="188"/>
      <c r="E34" s="187"/>
      <c r="F34" s="189"/>
      <c r="G34" s="187"/>
      <c r="H34" s="19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8"/>
  <sheetViews>
    <sheetView topLeftCell="B25" zoomScale="130" zoomScaleNormal="130" workbookViewId="0">
      <selection activeCell="J35" sqref="J34:J35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5.5703125" customWidth="1"/>
    <col min="5" max="5" width="5" customWidth="1"/>
    <col min="6" max="7" width="10.85546875" customWidth="1"/>
    <col min="8" max="8" width="1.42578125" customWidth="1"/>
  </cols>
  <sheetData>
    <row r="1" spans="1:8">
      <c r="A1" s="124"/>
      <c r="B1" s="124"/>
      <c r="C1" s="124"/>
      <c r="D1" s="169"/>
      <c r="E1" s="124"/>
      <c r="F1" s="173"/>
      <c r="G1" s="124"/>
      <c r="H1" s="124"/>
    </row>
    <row r="2" spans="1:8">
      <c r="A2" s="161"/>
      <c r="B2" s="162" t="s">
        <v>72</v>
      </c>
      <c r="C2" s="163"/>
      <c r="D2" s="163"/>
      <c r="E2" s="163"/>
      <c r="F2" s="164"/>
      <c r="G2" s="163"/>
      <c r="H2" s="165"/>
    </row>
    <row r="3" spans="1:8">
      <c r="A3" s="166"/>
      <c r="B3" s="167"/>
      <c r="C3" s="168"/>
      <c r="D3" s="169"/>
      <c r="E3" s="168"/>
      <c r="F3" s="170"/>
      <c r="G3" s="168"/>
      <c r="H3" s="171"/>
    </row>
    <row r="4" spans="1:8">
      <c r="A4" s="166"/>
      <c r="B4" s="153" t="s">
        <v>294</v>
      </c>
      <c r="C4" s="168"/>
      <c r="D4" s="169"/>
      <c r="E4" s="168"/>
      <c r="F4" s="170"/>
      <c r="G4" s="168"/>
      <c r="H4" s="171"/>
    </row>
    <row r="5" spans="1:8">
      <c r="A5" s="166"/>
      <c r="B5" s="191" t="s">
        <v>295</v>
      </c>
      <c r="C5" s="168"/>
      <c r="D5" s="169"/>
      <c r="E5" s="168"/>
      <c r="F5" s="170"/>
      <c r="G5" s="168"/>
      <c r="H5" s="171"/>
    </row>
    <row r="6" spans="1:8">
      <c r="A6" s="166"/>
      <c r="B6" s="124"/>
      <c r="C6" s="124"/>
      <c r="D6" s="169"/>
      <c r="E6" s="124"/>
      <c r="F6" s="173"/>
      <c r="G6" s="124"/>
      <c r="H6" s="171"/>
    </row>
    <row r="7" spans="1:8">
      <c r="A7" s="166"/>
      <c r="B7" s="174" t="s">
        <v>74</v>
      </c>
      <c r="C7" s="124"/>
      <c r="D7" s="175" t="s">
        <v>75</v>
      </c>
      <c r="E7" s="175" t="s">
        <v>71</v>
      </c>
      <c r="F7" s="176" t="s">
        <v>70</v>
      </c>
      <c r="G7" s="175" t="s">
        <v>76</v>
      </c>
      <c r="H7" s="171"/>
    </row>
    <row r="8" spans="1:8">
      <c r="A8" s="166"/>
      <c r="B8" s="177" t="s">
        <v>287</v>
      </c>
      <c r="C8" s="124"/>
      <c r="D8" s="175" t="s">
        <v>17</v>
      </c>
      <c r="E8" s="177">
        <v>40</v>
      </c>
      <c r="F8" s="178">
        <f>+'Muro Block Nº4'!F8</f>
        <v>2000</v>
      </c>
      <c r="G8" s="178">
        <f t="shared" ref="G8:G15" si="0">+E8*F8</f>
        <v>80000</v>
      </c>
      <c r="H8" s="171"/>
    </row>
    <row r="9" spans="1:8">
      <c r="A9" s="166"/>
      <c r="B9" s="177" t="s">
        <v>110</v>
      </c>
      <c r="C9" s="124"/>
      <c r="D9" s="175" t="s">
        <v>94</v>
      </c>
      <c r="E9" s="177">
        <v>80</v>
      </c>
      <c r="F9" s="178">
        <f>+'Muro Block Nº4'!F9</f>
        <v>550</v>
      </c>
      <c r="G9" s="178">
        <f t="shared" si="0"/>
        <v>44000</v>
      </c>
      <c r="H9" s="171"/>
    </row>
    <row r="10" spans="1:8">
      <c r="A10" s="166"/>
      <c r="B10" s="177" t="s">
        <v>95</v>
      </c>
      <c r="C10" s="124"/>
      <c r="D10" s="175" t="s">
        <v>1</v>
      </c>
      <c r="E10" s="180">
        <v>0.22</v>
      </c>
      <c r="F10" s="178">
        <f>+'Muro Block Nº4'!F10</f>
        <v>50000</v>
      </c>
      <c r="G10" s="178">
        <f t="shared" si="0"/>
        <v>11000</v>
      </c>
      <c r="H10" s="171"/>
    </row>
    <row r="11" spans="1:8">
      <c r="A11" s="166"/>
      <c r="B11" s="177" t="s">
        <v>96</v>
      </c>
      <c r="C11" s="124"/>
      <c r="D11" s="175" t="s">
        <v>1</v>
      </c>
      <c r="E11" s="180">
        <v>0.11</v>
      </c>
      <c r="F11" s="178">
        <f>+'Placa maciza e=0.15m'!E10</f>
        <v>95000</v>
      </c>
      <c r="G11" s="178">
        <f t="shared" si="0"/>
        <v>10450</v>
      </c>
      <c r="H11" s="171"/>
    </row>
    <row r="12" spans="1:8">
      <c r="A12" s="166"/>
      <c r="B12" s="177" t="s">
        <v>288</v>
      </c>
      <c r="C12" s="124"/>
      <c r="D12" s="175" t="s">
        <v>94</v>
      </c>
      <c r="E12" s="180">
        <v>2.1</v>
      </c>
      <c r="F12" s="178">
        <v>2600</v>
      </c>
      <c r="G12" s="178">
        <f t="shared" si="0"/>
        <v>5460</v>
      </c>
      <c r="H12" s="171"/>
    </row>
    <row r="13" spans="1:8">
      <c r="A13" s="166"/>
      <c r="B13" s="177" t="s">
        <v>289</v>
      </c>
      <c r="C13" s="124"/>
      <c r="D13" s="175" t="s">
        <v>94</v>
      </c>
      <c r="E13" s="180">
        <v>3</v>
      </c>
      <c r="F13" s="178">
        <v>6400</v>
      </c>
      <c r="G13" s="178">
        <f t="shared" si="0"/>
        <v>19200</v>
      </c>
      <c r="H13" s="171"/>
    </row>
    <row r="14" spans="1:8">
      <c r="A14" s="166"/>
      <c r="B14" s="177" t="s">
        <v>290</v>
      </c>
      <c r="C14" s="124"/>
      <c r="D14" s="175" t="s">
        <v>94</v>
      </c>
      <c r="E14" s="177">
        <v>0.21</v>
      </c>
      <c r="F14" s="178">
        <f>+'Columneta 0.20x0.20'!F13</f>
        <v>6500</v>
      </c>
      <c r="G14" s="178">
        <f t="shared" si="0"/>
        <v>1365</v>
      </c>
      <c r="H14" s="171"/>
    </row>
    <row r="15" spans="1:8" ht="15.75" thickBot="1">
      <c r="A15" s="166"/>
      <c r="B15" s="177" t="s">
        <v>173</v>
      </c>
      <c r="C15" s="124"/>
      <c r="D15" s="175" t="s">
        <v>100</v>
      </c>
      <c r="E15" s="180">
        <v>0.02</v>
      </c>
      <c r="F15" s="178">
        <f>SUM(G8:G14)</f>
        <v>171475</v>
      </c>
      <c r="G15" s="178">
        <f t="shared" si="0"/>
        <v>3429.5</v>
      </c>
      <c r="H15" s="171"/>
    </row>
    <row r="16" spans="1:8" ht="15.75" thickBot="1">
      <c r="A16" s="166"/>
      <c r="B16" s="124"/>
      <c r="C16" s="124"/>
      <c r="D16" s="169"/>
      <c r="E16" s="124"/>
      <c r="F16" s="181" t="s">
        <v>77</v>
      </c>
      <c r="G16" s="182">
        <f>SUM(G8:G15)</f>
        <v>174904.5</v>
      </c>
      <c r="H16" s="171"/>
    </row>
    <row r="17" spans="1:8">
      <c r="A17" s="166"/>
      <c r="B17" s="124"/>
      <c r="C17" s="124"/>
      <c r="D17" s="169"/>
      <c r="E17" s="124"/>
      <c r="F17" s="181"/>
      <c r="G17" s="173"/>
      <c r="H17" s="171"/>
    </row>
    <row r="18" spans="1:8">
      <c r="A18" s="166"/>
      <c r="B18" s="174" t="s">
        <v>78</v>
      </c>
      <c r="C18" s="168"/>
      <c r="D18" s="175" t="s">
        <v>79</v>
      </c>
      <c r="E18" s="175"/>
      <c r="F18" s="183" t="s">
        <v>80</v>
      </c>
      <c r="G18" s="176" t="s">
        <v>76</v>
      </c>
      <c r="H18" s="171"/>
    </row>
    <row r="19" spans="1:8">
      <c r="A19" s="166"/>
      <c r="B19" s="177" t="s">
        <v>291</v>
      </c>
      <c r="C19" s="124"/>
      <c r="D19" s="233">
        <v>1.5200704089911823</v>
      </c>
      <c r="E19" s="184"/>
      <c r="F19" s="185">
        <f>+'M.O.'!E4</f>
        <v>67666.666666666672</v>
      </c>
      <c r="G19" s="178">
        <f>+F19/D19</f>
        <v>44515.481826644253</v>
      </c>
      <c r="H19" s="171"/>
    </row>
    <row r="20" spans="1:8">
      <c r="A20" s="166"/>
      <c r="B20" s="177" t="s">
        <v>91</v>
      </c>
      <c r="C20" s="124"/>
      <c r="D20" s="233">
        <f>+D19</f>
        <v>1.5200704089911823</v>
      </c>
      <c r="E20" s="184"/>
      <c r="F20" s="185">
        <f>+'M.O.'!E46</f>
        <v>38666.666666666664</v>
      </c>
      <c r="G20" s="178">
        <f>+F20/D20</f>
        <v>25437.418186653857</v>
      </c>
      <c r="H20" s="171"/>
    </row>
    <row r="21" spans="1:8" ht="15.75" thickBot="1">
      <c r="A21" s="166"/>
      <c r="B21" s="177"/>
      <c r="C21" s="124"/>
      <c r="D21" s="175"/>
      <c r="E21" s="184"/>
      <c r="F21" s="185"/>
      <c r="G21" s="178">
        <v>0</v>
      </c>
      <c r="H21" s="171"/>
    </row>
    <row r="22" spans="1:8" ht="15.75" thickBot="1">
      <c r="A22" s="166"/>
      <c r="B22" s="124"/>
      <c r="C22" s="124"/>
      <c r="D22" s="169"/>
      <c r="E22" s="124"/>
      <c r="F22" s="181" t="s">
        <v>77</v>
      </c>
      <c r="G22" s="182">
        <f>SUM(G19:G21)</f>
        <v>69952.900013298116</v>
      </c>
      <c r="H22" s="171"/>
    </row>
    <row r="23" spans="1:8">
      <c r="A23" s="166"/>
      <c r="B23" s="124"/>
      <c r="C23" s="124"/>
      <c r="D23" s="169"/>
      <c r="E23" s="124"/>
      <c r="F23" s="173"/>
      <c r="G23" s="173"/>
      <c r="H23" s="171"/>
    </row>
    <row r="24" spans="1:8">
      <c r="A24" s="166"/>
      <c r="B24" s="177" t="s">
        <v>83</v>
      </c>
      <c r="C24" s="124"/>
      <c r="D24" s="169"/>
      <c r="E24" s="175" t="s">
        <v>79</v>
      </c>
      <c r="F24" s="176" t="s">
        <v>84</v>
      </c>
      <c r="G24" s="176" t="s">
        <v>76</v>
      </c>
      <c r="H24" s="171"/>
    </row>
    <row r="25" spans="1:8">
      <c r="A25" s="166"/>
      <c r="B25" s="177" t="s">
        <v>292</v>
      </c>
      <c r="C25" s="124"/>
      <c r="D25" s="169"/>
      <c r="E25" s="177">
        <v>1</v>
      </c>
      <c r="F25" s="178">
        <v>2000</v>
      </c>
      <c r="G25" s="178">
        <f>F25/E25</f>
        <v>2000</v>
      </c>
      <c r="H25" s="171"/>
    </row>
    <row r="26" spans="1:8">
      <c r="A26" s="166"/>
      <c r="B26" s="177" t="s">
        <v>293</v>
      </c>
      <c r="C26" s="124"/>
      <c r="D26" s="169"/>
      <c r="E26" s="177">
        <v>1</v>
      </c>
      <c r="F26" s="178">
        <v>30500</v>
      </c>
      <c r="G26" s="178">
        <f>+F26*E26</f>
        <v>30500</v>
      </c>
      <c r="H26" s="171"/>
    </row>
    <row r="27" spans="1:8">
      <c r="A27" s="166"/>
      <c r="B27" s="177"/>
      <c r="C27" s="124"/>
      <c r="D27" s="169"/>
      <c r="E27" s="177"/>
      <c r="F27" s="178"/>
      <c r="G27" s="178">
        <v>0</v>
      </c>
      <c r="H27" s="171"/>
    </row>
    <row r="28" spans="1:8" ht="15.75" thickBot="1">
      <c r="A28" s="166"/>
      <c r="B28" s="177"/>
      <c r="C28" s="124"/>
      <c r="D28" s="169"/>
      <c r="E28" s="177"/>
      <c r="F28" s="178"/>
      <c r="G28" s="178">
        <v>0</v>
      </c>
      <c r="H28" s="171"/>
    </row>
    <row r="29" spans="1:8" ht="15.75" thickBot="1">
      <c r="A29" s="166"/>
      <c r="B29" s="124"/>
      <c r="C29" s="124"/>
      <c r="D29" s="169"/>
      <c r="E29" s="124"/>
      <c r="F29" s="181" t="s">
        <v>77</v>
      </c>
      <c r="G29" s="182">
        <f>SUM(G25:G28)</f>
        <v>32500</v>
      </c>
      <c r="H29" s="171"/>
    </row>
    <row r="30" spans="1:8">
      <c r="A30" s="166"/>
      <c r="B30" s="124"/>
      <c r="C30" s="124"/>
      <c r="D30" s="169"/>
      <c r="E30" s="124"/>
      <c r="F30" s="173"/>
      <c r="G30" s="173"/>
      <c r="H30" s="171"/>
    </row>
    <row r="31" spans="1:8">
      <c r="A31" s="166"/>
      <c r="B31" s="177" t="s">
        <v>86</v>
      </c>
      <c r="C31" s="124"/>
      <c r="D31" s="169"/>
      <c r="E31" s="175" t="s">
        <v>71</v>
      </c>
      <c r="F31" s="176" t="s">
        <v>84</v>
      </c>
      <c r="G31" s="176" t="s">
        <v>76</v>
      </c>
      <c r="H31" s="171"/>
    </row>
    <row r="32" spans="1:8">
      <c r="A32" s="166"/>
      <c r="B32" s="177" t="s">
        <v>103</v>
      </c>
      <c r="C32" s="124"/>
      <c r="D32" s="169"/>
      <c r="E32" s="177">
        <v>1</v>
      </c>
      <c r="F32" s="178">
        <v>2000</v>
      </c>
      <c r="G32" s="178">
        <f>+E32*F32</f>
        <v>2000</v>
      </c>
      <c r="H32" s="171"/>
    </row>
    <row r="33" spans="1:8">
      <c r="A33" s="166"/>
      <c r="B33" s="177"/>
      <c r="C33" s="124"/>
      <c r="D33" s="169"/>
      <c r="E33" s="177"/>
      <c r="F33" s="178"/>
      <c r="G33" s="178">
        <f>+E33*F33</f>
        <v>0</v>
      </c>
      <c r="H33" s="171"/>
    </row>
    <row r="34" spans="1:8" ht="15.75" thickBot="1">
      <c r="A34" s="166"/>
      <c r="B34" s="177"/>
      <c r="C34" s="124"/>
      <c r="D34" s="169"/>
      <c r="E34" s="177"/>
      <c r="F34" s="178"/>
      <c r="G34" s="178">
        <f>+E34*F34</f>
        <v>0</v>
      </c>
      <c r="H34" s="171"/>
    </row>
    <row r="35" spans="1:8" ht="15.75" thickBot="1">
      <c r="A35" s="166"/>
      <c r="B35" s="124"/>
      <c r="C35" s="124"/>
      <c r="D35" s="169"/>
      <c r="E35" s="124"/>
      <c r="F35" s="181" t="s">
        <v>77</v>
      </c>
      <c r="G35" s="182">
        <f>SUM(G32:G34)</f>
        <v>2000</v>
      </c>
      <c r="H35" s="171"/>
    </row>
    <row r="36" spans="1:8" ht="15.75" thickBot="1">
      <c r="A36" s="166"/>
      <c r="B36" s="124"/>
      <c r="C36" s="124"/>
      <c r="D36" s="169"/>
      <c r="E36" s="124"/>
      <c r="F36" s="173"/>
      <c r="G36" s="173"/>
      <c r="H36" s="171"/>
    </row>
    <row r="37" spans="1:8" ht="15.75" thickBot="1">
      <c r="A37" s="166"/>
      <c r="B37" s="124"/>
      <c r="C37" s="124"/>
      <c r="D37" s="169"/>
      <c r="E37" s="124"/>
      <c r="F37" s="181" t="s">
        <v>87</v>
      </c>
      <c r="G37" s="182">
        <f>+G16+G22+G35+G29</f>
        <v>279357.40001329815</v>
      </c>
      <c r="H37" s="171"/>
    </row>
    <row r="38" spans="1:8">
      <c r="A38" s="186"/>
      <c r="B38" s="187"/>
      <c r="C38" s="187"/>
      <c r="D38" s="188"/>
      <c r="E38" s="187"/>
      <c r="F38" s="189"/>
      <c r="G38" s="187"/>
      <c r="H38" s="19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34"/>
  <sheetViews>
    <sheetView workbookViewId="0">
      <selection activeCell="I15" sqref="I15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4.5703125" customWidth="1"/>
    <col min="5" max="5" width="5" customWidth="1"/>
    <col min="6" max="7" width="10.85546875" customWidth="1"/>
    <col min="8" max="8" width="1.42578125" customWidth="1"/>
  </cols>
  <sheetData>
    <row r="1" spans="1:8">
      <c r="A1" s="124"/>
      <c r="B1" s="124"/>
      <c r="C1" s="124"/>
      <c r="D1" s="169"/>
      <c r="E1" s="124"/>
      <c r="F1" s="173"/>
      <c r="G1" s="124"/>
      <c r="H1" s="124"/>
    </row>
    <row r="2" spans="1:8">
      <c r="A2" s="161"/>
      <c r="B2" s="162" t="s">
        <v>72</v>
      </c>
      <c r="C2" s="163"/>
      <c r="D2" s="163"/>
      <c r="E2" s="163"/>
      <c r="F2" s="164"/>
      <c r="G2" s="163"/>
      <c r="H2" s="165"/>
    </row>
    <row r="3" spans="1:8">
      <c r="A3" s="166"/>
      <c r="B3" s="167"/>
      <c r="C3" s="168"/>
      <c r="D3" s="169"/>
      <c r="E3" s="168"/>
      <c r="F3" s="170"/>
      <c r="G3" s="168"/>
      <c r="H3" s="171"/>
    </row>
    <row r="4" spans="1:8">
      <c r="A4" s="166"/>
      <c r="B4" s="153" t="s">
        <v>279</v>
      </c>
      <c r="C4" s="168"/>
      <c r="D4" s="169"/>
      <c r="E4" s="168"/>
      <c r="F4" s="170"/>
      <c r="G4" s="168"/>
      <c r="H4" s="171"/>
    </row>
    <row r="5" spans="1:8">
      <c r="A5" s="166"/>
      <c r="B5" s="191" t="s">
        <v>274</v>
      </c>
      <c r="C5" s="168"/>
      <c r="D5" s="169"/>
      <c r="E5" s="168"/>
      <c r="F5" s="170"/>
      <c r="G5" s="168"/>
      <c r="H5" s="171"/>
    </row>
    <row r="6" spans="1:8">
      <c r="A6" s="166"/>
      <c r="B6" s="124"/>
      <c r="C6" s="124"/>
      <c r="D6" s="169"/>
      <c r="E6" s="124"/>
      <c r="F6" s="173"/>
      <c r="G6" s="124"/>
      <c r="H6" s="171"/>
    </row>
    <row r="7" spans="1:8">
      <c r="A7" s="166"/>
      <c r="B7" s="174" t="s">
        <v>74</v>
      </c>
      <c r="C7" s="124"/>
      <c r="D7" s="175" t="s">
        <v>75</v>
      </c>
      <c r="E7" s="175" t="s">
        <v>71</v>
      </c>
      <c r="F7" s="176" t="s">
        <v>70</v>
      </c>
      <c r="G7" s="175" t="s">
        <v>76</v>
      </c>
      <c r="H7" s="171"/>
    </row>
    <row r="8" spans="1:8">
      <c r="A8" s="166"/>
      <c r="B8" s="177" t="s">
        <v>275</v>
      </c>
      <c r="C8" s="124"/>
      <c r="D8" s="175" t="s">
        <v>18</v>
      </c>
      <c r="E8" s="177">
        <v>1.05</v>
      </c>
      <c r="F8" s="178">
        <v>25000</v>
      </c>
      <c r="G8" s="178">
        <f t="shared" ref="G8:G13" si="0">+E8*F8</f>
        <v>26250</v>
      </c>
      <c r="H8" s="171"/>
    </row>
    <row r="9" spans="1:8">
      <c r="A9" s="166"/>
      <c r="B9" s="177" t="s">
        <v>276</v>
      </c>
      <c r="C9" s="124"/>
      <c r="D9" s="175" t="s">
        <v>17</v>
      </c>
      <c r="E9" s="177">
        <v>1</v>
      </c>
      <c r="F9" s="178">
        <v>17000</v>
      </c>
      <c r="G9" s="178">
        <f t="shared" si="0"/>
        <v>17000</v>
      </c>
      <c r="H9" s="171"/>
    </row>
    <row r="10" spans="1:8">
      <c r="A10" s="166"/>
      <c r="B10" s="177" t="s">
        <v>277</v>
      </c>
      <c r="C10" s="124"/>
      <c r="D10" s="175" t="s">
        <v>17</v>
      </c>
      <c r="E10" s="177">
        <v>1</v>
      </c>
      <c r="F10" s="178">
        <v>10000</v>
      </c>
      <c r="G10" s="178">
        <f t="shared" si="0"/>
        <v>10000</v>
      </c>
      <c r="H10" s="171"/>
    </row>
    <row r="11" spans="1:8">
      <c r="A11" s="166"/>
      <c r="B11" s="177" t="s">
        <v>269</v>
      </c>
      <c r="C11" s="124"/>
      <c r="D11" s="175" t="s">
        <v>222</v>
      </c>
      <c r="E11" s="177">
        <v>5.0000000000000001E-3</v>
      </c>
      <c r="F11" s="178">
        <v>320000</v>
      </c>
      <c r="G11" s="178">
        <f t="shared" si="0"/>
        <v>1600</v>
      </c>
      <c r="H11" s="171"/>
    </row>
    <row r="12" spans="1:8">
      <c r="A12" s="166"/>
      <c r="B12" s="177" t="s">
        <v>278</v>
      </c>
      <c r="C12" s="124"/>
      <c r="D12" s="175" t="s">
        <v>17</v>
      </c>
      <c r="E12" s="177">
        <v>1</v>
      </c>
      <c r="F12" s="178">
        <v>20700</v>
      </c>
      <c r="G12" s="178">
        <f t="shared" si="0"/>
        <v>20700</v>
      </c>
      <c r="H12" s="171"/>
    </row>
    <row r="13" spans="1:8" ht="15.75" thickBot="1">
      <c r="A13" s="166"/>
      <c r="B13" s="177"/>
      <c r="C13" s="124"/>
      <c r="D13" s="175"/>
      <c r="E13" s="177"/>
      <c r="F13" s="178"/>
      <c r="G13" s="178">
        <f t="shared" si="0"/>
        <v>0</v>
      </c>
      <c r="H13" s="171"/>
    </row>
    <row r="14" spans="1:8" ht="15.75" thickBot="1">
      <c r="A14" s="166"/>
      <c r="B14" s="124"/>
      <c r="C14" s="124"/>
      <c r="D14" s="169"/>
      <c r="E14" s="124"/>
      <c r="F14" s="181" t="s">
        <v>77</v>
      </c>
      <c r="G14" s="182">
        <f>SUM(G8:G13)</f>
        <v>75550</v>
      </c>
      <c r="H14" s="171"/>
    </row>
    <row r="15" spans="1:8">
      <c r="A15" s="166"/>
      <c r="B15" s="124"/>
      <c r="C15" s="124"/>
      <c r="D15" s="169"/>
      <c r="E15" s="124"/>
      <c r="F15" s="181"/>
      <c r="G15" s="173"/>
      <c r="H15" s="171"/>
    </row>
    <row r="16" spans="1:8">
      <c r="A16" s="166"/>
      <c r="B16" s="174" t="s">
        <v>78</v>
      </c>
      <c r="C16" s="168"/>
      <c r="D16" s="175" t="s">
        <v>79</v>
      </c>
      <c r="E16" s="175"/>
      <c r="F16" s="183" t="s">
        <v>80</v>
      </c>
      <c r="G16" s="176" t="s">
        <v>76</v>
      </c>
      <c r="H16" s="171"/>
    </row>
    <row r="17" spans="1:8">
      <c r="A17" s="166"/>
      <c r="B17" s="177" t="s">
        <v>261</v>
      </c>
      <c r="C17" s="124"/>
      <c r="D17" s="192">
        <v>3.1320569075311098</v>
      </c>
      <c r="E17" s="184"/>
      <c r="F17" s="185">
        <f>+'M.O.'!E4</f>
        <v>67666.666666666672</v>
      </c>
      <c r="G17" s="178">
        <f>+F17/D17</f>
        <v>21604.545723278676</v>
      </c>
      <c r="H17" s="171"/>
    </row>
    <row r="18" spans="1:8">
      <c r="A18" s="166"/>
      <c r="B18" s="177" t="s">
        <v>239</v>
      </c>
      <c r="C18" s="124"/>
      <c r="D18" s="192">
        <f>+D17</f>
        <v>3.1320569075311098</v>
      </c>
      <c r="E18" s="184"/>
      <c r="F18" s="185">
        <f>+'M.O.'!E46</f>
        <v>38666.666666666664</v>
      </c>
      <c r="G18" s="178">
        <f>+F18/D18</f>
        <v>12345.454699016384</v>
      </c>
      <c r="H18" s="171"/>
    </row>
    <row r="19" spans="1:8" ht="15.75" thickBot="1">
      <c r="A19" s="166"/>
      <c r="B19" s="177"/>
      <c r="C19" s="124"/>
      <c r="D19" s="175"/>
      <c r="E19" s="184"/>
      <c r="F19" s="185"/>
      <c r="G19" s="178">
        <v>0</v>
      </c>
      <c r="H19" s="171"/>
    </row>
    <row r="20" spans="1:8" ht="15.75" thickBot="1">
      <c r="A20" s="166"/>
      <c r="B20" s="124"/>
      <c r="C20" s="124"/>
      <c r="D20" s="169"/>
      <c r="E20" s="124"/>
      <c r="F20" s="181" t="s">
        <v>77</v>
      </c>
      <c r="G20" s="182">
        <f>SUM(G17:G19)</f>
        <v>33950.000422295059</v>
      </c>
      <c r="H20" s="171"/>
    </row>
    <row r="21" spans="1:8">
      <c r="A21" s="166"/>
      <c r="B21" s="124"/>
      <c r="C21" s="124"/>
      <c r="D21" s="169"/>
      <c r="E21" s="124"/>
      <c r="F21" s="173"/>
      <c r="G21" s="173"/>
      <c r="H21" s="171"/>
    </row>
    <row r="22" spans="1:8">
      <c r="A22" s="166"/>
      <c r="B22" s="177" t="s">
        <v>83</v>
      </c>
      <c r="C22" s="124"/>
      <c r="D22" s="169"/>
      <c r="E22" s="175" t="s">
        <v>79</v>
      </c>
      <c r="F22" s="176" t="s">
        <v>84</v>
      </c>
      <c r="G22" s="176" t="s">
        <v>76</v>
      </c>
      <c r="H22" s="171"/>
    </row>
    <row r="23" spans="1:8">
      <c r="A23" s="166"/>
      <c r="B23" s="177" t="s">
        <v>102</v>
      </c>
      <c r="C23" s="124"/>
      <c r="D23" s="169"/>
      <c r="E23" s="177">
        <v>1</v>
      </c>
      <c r="F23" s="178">
        <v>500</v>
      </c>
      <c r="G23" s="178">
        <f>F23/E23</f>
        <v>500</v>
      </c>
      <c r="H23" s="171"/>
    </row>
    <row r="24" spans="1:8" ht="15.75" thickBot="1">
      <c r="A24" s="166"/>
      <c r="B24" s="177"/>
      <c r="C24" s="124"/>
      <c r="D24" s="169"/>
      <c r="E24" s="177"/>
      <c r="F24" s="178"/>
      <c r="G24" s="178">
        <v>0</v>
      </c>
      <c r="H24" s="171"/>
    </row>
    <row r="25" spans="1:8" ht="15.75" thickBot="1">
      <c r="A25" s="166"/>
      <c r="B25" s="124"/>
      <c r="C25" s="124"/>
      <c r="D25" s="169"/>
      <c r="E25" s="124"/>
      <c r="F25" s="181" t="s">
        <v>77</v>
      </c>
      <c r="G25" s="182">
        <f>SUM(G23:G24)</f>
        <v>500</v>
      </c>
      <c r="H25" s="171"/>
    </row>
    <row r="26" spans="1:8">
      <c r="A26" s="166"/>
      <c r="B26" s="124"/>
      <c r="C26" s="124"/>
      <c r="D26" s="169"/>
      <c r="E26" s="124"/>
      <c r="F26" s="173"/>
      <c r="G26" s="173"/>
      <c r="H26" s="171"/>
    </row>
    <row r="27" spans="1:8">
      <c r="A27" s="166"/>
      <c r="B27" s="177" t="s">
        <v>86</v>
      </c>
      <c r="C27" s="124"/>
      <c r="D27" s="169"/>
      <c r="E27" s="175" t="s">
        <v>71</v>
      </c>
      <c r="F27" s="176" t="s">
        <v>84</v>
      </c>
      <c r="G27" s="176" t="s">
        <v>76</v>
      </c>
      <c r="H27" s="171"/>
    </row>
    <row r="28" spans="1:8">
      <c r="A28" s="166"/>
      <c r="B28" s="177"/>
      <c r="C28" s="124"/>
      <c r="D28" s="169"/>
      <c r="E28" s="177"/>
      <c r="F28" s="178"/>
      <c r="G28" s="178">
        <f>+E28*F28</f>
        <v>0</v>
      </c>
      <c r="H28" s="171"/>
    </row>
    <row r="29" spans="1:8">
      <c r="A29" s="166"/>
      <c r="B29" s="177"/>
      <c r="C29" s="124"/>
      <c r="D29" s="169"/>
      <c r="E29" s="177"/>
      <c r="F29" s="178"/>
      <c r="G29" s="178">
        <f>+E29*F29</f>
        <v>0</v>
      </c>
      <c r="H29" s="171"/>
    </row>
    <row r="30" spans="1:8" ht="15.75" thickBot="1">
      <c r="A30" s="166"/>
      <c r="B30" s="177"/>
      <c r="C30" s="124"/>
      <c r="D30" s="169"/>
      <c r="E30" s="177"/>
      <c r="F30" s="178"/>
      <c r="G30" s="178">
        <f>+E30*F30</f>
        <v>0</v>
      </c>
      <c r="H30" s="171"/>
    </row>
    <row r="31" spans="1:8" ht="15.75" thickBot="1">
      <c r="A31" s="166"/>
      <c r="B31" s="124"/>
      <c r="C31" s="124"/>
      <c r="D31" s="169"/>
      <c r="E31" s="124"/>
      <c r="F31" s="181" t="s">
        <v>77</v>
      </c>
      <c r="G31" s="182">
        <f>SUM(G28:G30)</f>
        <v>0</v>
      </c>
      <c r="H31" s="171"/>
    </row>
    <row r="32" spans="1:8" ht="15.75" thickBot="1">
      <c r="A32" s="166"/>
      <c r="B32" s="124"/>
      <c r="C32" s="124"/>
      <c r="D32" s="169"/>
      <c r="E32" s="124"/>
      <c r="F32" s="173"/>
      <c r="G32" s="173"/>
      <c r="H32" s="171"/>
    </row>
    <row r="33" spans="1:8" ht="15.75" thickBot="1">
      <c r="A33" s="166"/>
      <c r="B33" s="124"/>
      <c r="C33" s="124"/>
      <c r="D33" s="169"/>
      <c r="E33" s="124"/>
      <c r="F33" s="181" t="s">
        <v>87</v>
      </c>
      <c r="G33" s="182">
        <f>+G14+G20+G31+G25</f>
        <v>110000.00042229507</v>
      </c>
      <c r="H33" s="171"/>
    </row>
    <row r="34" spans="1:8">
      <c r="A34" s="186"/>
      <c r="B34" s="187"/>
      <c r="C34" s="187"/>
      <c r="D34" s="188"/>
      <c r="E34" s="187"/>
      <c r="F34" s="189"/>
      <c r="G34" s="187"/>
      <c r="H34" s="190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36"/>
  <sheetViews>
    <sheetView workbookViewId="0">
      <selection activeCell="G35" sqref="G35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4.5703125" customWidth="1"/>
    <col min="5" max="5" width="5" customWidth="1"/>
    <col min="6" max="7" width="10.85546875" customWidth="1"/>
    <col min="8" max="8" width="1.42578125" customWidth="1"/>
  </cols>
  <sheetData>
    <row r="1" spans="1:8">
      <c r="A1" s="124"/>
      <c r="B1" s="124"/>
      <c r="C1" s="124"/>
      <c r="D1" s="169"/>
      <c r="E1" s="124"/>
      <c r="F1" s="173"/>
      <c r="G1" s="124"/>
      <c r="H1" s="124"/>
    </row>
    <row r="2" spans="1:8">
      <c r="A2" s="161"/>
      <c r="B2" s="162" t="s">
        <v>72</v>
      </c>
      <c r="C2" s="163"/>
      <c r="D2" s="163"/>
      <c r="E2" s="163"/>
      <c r="F2" s="164"/>
      <c r="G2" s="163"/>
      <c r="H2" s="165"/>
    </row>
    <row r="3" spans="1:8">
      <c r="A3" s="166"/>
      <c r="B3" s="167"/>
      <c r="C3" s="168"/>
      <c r="D3" s="169"/>
      <c r="E3" s="168"/>
      <c r="F3" s="170"/>
      <c r="G3" s="168"/>
      <c r="H3" s="171"/>
    </row>
    <row r="4" spans="1:8">
      <c r="A4" s="166"/>
      <c r="B4" s="153" t="s">
        <v>282</v>
      </c>
      <c r="C4" s="168"/>
      <c r="D4" s="169"/>
      <c r="E4" s="168"/>
      <c r="F4" s="170"/>
      <c r="G4" s="168"/>
      <c r="H4" s="171"/>
    </row>
    <row r="5" spans="1:8">
      <c r="A5" s="166"/>
      <c r="B5" s="191" t="s">
        <v>274</v>
      </c>
      <c r="C5" s="168"/>
      <c r="D5" s="169"/>
      <c r="E5" s="168"/>
      <c r="F5" s="170"/>
      <c r="G5" s="168"/>
      <c r="H5" s="171"/>
    </row>
    <row r="6" spans="1:8">
      <c r="A6" s="166"/>
      <c r="B6" s="124"/>
      <c r="C6" s="124"/>
      <c r="D6" s="169"/>
      <c r="E6" s="124"/>
      <c r="F6" s="173"/>
      <c r="G6" s="124"/>
      <c r="H6" s="171"/>
    </row>
    <row r="7" spans="1:8">
      <c r="A7" s="166"/>
      <c r="B7" s="174" t="s">
        <v>74</v>
      </c>
      <c r="C7" s="124"/>
      <c r="D7" s="175" t="s">
        <v>75</v>
      </c>
      <c r="E7" s="175" t="s">
        <v>71</v>
      </c>
      <c r="F7" s="176" t="s">
        <v>70</v>
      </c>
      <c r="G7" s="175" t="s">
        <v>76</v>
      </c>
      <c r="H7" s="171"/>
    </row>
    <row r="8" spans="1:8">
      <c r="A8" s="166"/>
      <c r="B8" s="177" t="s">
        <v>283</v>
      </c>
      <c r="C8" s="124"/>
      <c r="D8" s="175" t="s">
        <v>18</v>
      </c>
      <c r="E8" s="177">
        <v>1.05</v>
      </c>
      <c r="F8" s="178">
        <v>18000</v>
      </c>
      <c r="G8" s="178">
        <f t="shared" ref="G8:G15" si="0">+E8*F8</f>
        <v>18900</v>
      </c>
      <c r="H8" s="171"/>
    </row>
    <row r="9" spans="1:8">
      <c r="A9" s="166"/>
      <c r="B9" s="177" t="s">
        <v>284</v>
      </c>
      <c r="C9" s="124"/>
      <c r="D9" s="175" t="s">
        <v>17</v>
      </c>
      <c r="E9" s="177">
        <v>1</v>
      </c>
      <c r="F9" s="178">
        <v>11000</v>
      </c>
      <c r="G9" s="178">
        <f t="shared" si="0"/>
        <v>11000</v>
      </c>
      <c r="H9" s="171"/>
    </row>
    <row r="10" spans="1:8">
      <c r="A10" s="166"/>
      <c r="B10" s="177" t="s">
        <v>285</v>
      </c>
      <c r="C10" s="124"/>
      <c r="D10" s="175" t="s">
        <v>17</v>
      </c>
      <c r="E10" s="177">
        <v>1</v>
      </c>
      <c r="F10" s="178">
        <v>4500</v>
      </c>
      <c r="G10" s="178">
        <f t="shared" si="0"/>
        <v>4500</v>
      </c>
      <c r="H10" s="171"/>
    </row>
    <row r="11" spans="1:8">
      <c r="A11" s="166"/>
      <c r="B11" s="177" t="s">
        <v>269</v>
      </c>
      <c r="C11" s="124"/>
      <c r="D11" s="175" t="s">
        <v>222</v>
      </c>
      <c r="E11" s="177">
        <v>5.0000000000000001E-3</v>
      </c>
      <c r="F11" s="178">
        <v>320000</v>
      </c>
      <c r="G11" s="178">
        <f t="shared" si="0"/>
        <v>1600</v>
      </c>
      <c r="H11" s="171"/>
    </row>
    <row r="12" spans="1:8">
      <c r="A12" s="166"/>
      <c r="B12" s="177" t="s">
        <v>286</v>
      </c>
      <c r="C12" s="124"/>
      <c r="D12" s="175" t="s">
        <v>17</v>
      </c>
      <c r="E12" s="177">
        <v>1</v>
      </c>
      <c r="F12" s="178">
        <v>12700</v>
      </c>
      <c r="G12" s="178">
        <f t="shared" si="0"/>
        <v>12700</v>
      </c>
      <c r="H12" s="171"/>
    </row>
    <row r="13" spans="1:8">
      <c r="A13" s="166"/>
      <c r="B13" s="177"/>
      <c r="C13" s="124"/>
      <c r="D13" s="175"/>
      <c r="E13" s="177"/>
      <c r="F13" s="178"/>
      <c r="G13" s="178">
        <f t="shared" si="0"/>
        <v>0</v>
      </c>
      <c r="H13" s="171"/>
    </row>
    <row r="14" spans="1:8">
      <c r="A14" s="166"/>
      <c r="B14" s="177"/>
      <c r="C14" s="124"/>
      <c r="D14" s="175"/>
      <c r="E14" s="177"/>
      <c r="F14" s="178"/>
      <c r="G14" s="178">
        <f t="shared" si="0"/>
        <v>0</v>
      </c>
      <c r="H14" s="171"/>
    </row>
    <row r="15" spans="1:8" ht="15.75" thickBot="1">
      <c r="A15" s="166"/>
      <c r="B15" s="177"/>
      <c r="C15" s="124"/>
      <c r="D15" s="175"/>
      <c r="E15" s="177"/>
      <c r="F15" s="178"/>
      <c r="G15" s="178">
        <f t="shared" si="0"/>
        <v>0</v>
      </c>
      <c r="H15" s="171"/>
    </row>
    <row r="16" spans="1:8" ht="15.75" thickBot="1">
      <c r="A16" s="166"/>
      <c r="B16" s="124"/>
      <c r="C16" s="124"/>
      <c r="D16" s="169"/>
      <c r="E16" s="124"/>
      <c r="F16" s="181" t="s">
        <v>77</v>
      </c>
      <c r="G16" s="182">
        <f>SUM(G8:G15)</f>
        <v>48700</v>
      </c>
      <c r="H16" s="171"/>
    </row>
    <row r="17" spans="1:8">
      <c r="A17" s="166"/>
      <c r="B17" s="124"/>
      <c r="C17" s="124"/>
      <c r="D17" s="169"/>
      <c r="E17" s="124"/>
      <c r="F17" s="181"/>
      <c r="G17" s="173"/>
      <c r="H17" s="171"/>
    </row>
    <row r="18" spans="1:8">
      <c r="A18" s="166"/>
      <c r="B18" s="174" t="s">
        <v>78</v>
      </c>
      <c r="C18" s="168"/>
      <c r="D18" s="175" t="s">
        <v>79</v>
      </c>
      <c r="E18" s="175"/>
      <c r="F18" s="183" t="s">
        <v>80</v>
      </c>
      <c r="G18" s="176" t="s">
        <v>76</v>
      </c>
      <c r="H18" s="171"/>
    </row>
    <row r="19" spans="1:8">
      <c r="A19" s="166"/>
      <c r="B19" s="177" t="s">
        <v>261</v>
      </c>
      <c r="C19" s="124"/>
      <c r="D19" s="192">
        <v>3.452380948243706</v>
      </c>
      <c r="E19" s="184"/>
      <c r="F19" s="185">
        <f>+'M.O.'!E4</f>
        <v>67666.666666666672</v>
      </c>
      <c r="G19" s="178">
        <f>+F19/D19</f>
        <v>19600.000023488148</v>
      </c>
      <c r="H19" s="171"/>
    </row>
    <row r="20" spans="1:8">
      <c r="A20" s="166"/>
      <c r="B20" s="177" t="s">
        <v>239</v>
      </c>
      <c r="C20" s="124"/>
      <c r="D20" s="192">
        <f>+D19</f>
        <v>3.452380948243706</v>
      </c>
      <c r="E20" s="184"/>
      <c r="F20" s="185">
        <f>+'M.O.'!E46</f>
        <v>38666.666666666664</v>
      </c>
      <c r="G20" s="178">
        <f>+F20/D20</f>
        <v>11200.000013421797</v>
      </c>
      <c r="H20" s="171"/>
    </row>
    <row r="21" spans="1:8" ht="15.75" thickBot="1">
      <c r="A21" s="166"/>
      <c r="B21" s="177"/>
      <c r="C21" s="124"/>
      <c r="D21" s="175"/>
      <c r="E21" s="184"/>
      <c r="F21" s="185"/>
      <c r="G21" s="178">
        <v>0</v>
      </c>
      <c r="H21" s="171"/>
    </row>
    <row r="22" spans="1:8" ht="15.75" thickBot="1">
      <c r="A22" s="166"/>
      <c r="B22" s="124"/>
      <c r="C22" s="124"/>
      <c r="D22" s="169"/>
      <c r="E22" s="124"/>
      <c r="F22" s="181" t="s">
        <v>77</v>
      </c>
      <c r="G22" s="182">
        <f>SUM(G19:G21)</f>
        <v>30800.000036909943</v>
      </c>
      <c r="H22" s="171"/>
    </row>
    <row r="23" spans="1:8">
      <c r="A23" s="166"/>
      <c r="B23" s="124"/>
      <c r="C23" s="124"/>
      <c r="D23" s="169"/>
      <c r="E23" s="124"/>
      <c r="F23" s="173"/>
      <c r="G23" s="173"/>
      <c r="H23" s="171"/>
    </row>
    <row r="24" spans="1:8">
      <c r="A24" s="166"/>
      <c r="B24" s="177" t="s">
        <v>83</v>
      </c>
      <c r="C24" s="124"/>
      <c r="D24" s="169"/>
      <c r="E24" s="175" t="s">
        <v>79</v>
      </c>
      <c r="F24" s="176" t="s">
        <v>84</v>
      </c>
      <c r="G24" s="176" t="s">
        <v>76</v>
      </c>
      <c r="H24" s="171"/>
    </row>
    <row r="25" spans="1:8">
      <c r="A25" s="166"/>
      <c r="B25" s="177" t="s">
        <v>102</v>
      </c>
      <c r="C25" s="124"/>
      <c r="D25" s="169"/>
      <c r="E25" s="177">
        <v>1</v>
      </c>
      <c r="F25" s="178">
        <v>500</v>
      </c>
      <c r="G25" s="178">
        <f>F25/E25</f>
        <v>500</v>
      </c>
      <c r="H25" s="171"/>
    </row>
    <row r="26" spans="1:8" ht="15.75" thickBot="1">
      <c r="A26" s="166"/>
      <c r="B26" s="177"/>
      <c r="C26" s="124"/>
      <c r="D26" s="169"/>
      <c r="E26" s="177"/>
      <c r="F26" s="178"/>
      <c r="G26" s="178">
        <v>0</v>
      </c>
      <c r="H26" s="171"/>
    </row>
    <row r="27" spans="1:8" ht="15.75" thickBot="1">
      <c r="A27" s="166"/>
      <c r="B27" s="124"/>
      <c r="C27" s="124"/>
      <c r="D27" s="169"/>
      <c r="E27" s="124"/>
      <c r="F27" s="181" t="s">
        <v>77</v>
      </c>
      <c r="G27" s="182">
        <f>SUM(G25:G26)</f>
        <v>500</v>
      </c>
      <c r="H27" s="171"/>
    </row>
    <row r="28" spans="1:8">
      <c r="A28" s="166"/>
      <c r="B28" s="124"/>
      <c r="C28" s="124"/>
      <c r="D28" s="169"/>
      <c r="E28" s="124"/>
      <c r="F28" s="173"/>
      <c r="G28" s="173"/>
      <c r="H28" s="171"/>
    </row>
    <row r="29" spans="1:8">
      <c r="A29" s="166"/>
      <c r="B29" s="177" t="s">
        <v>86</v>
      </c>
      <c r="C29" s="124"/>
      <c r="D29" s="169"/>
      <c r="E29" s="175" t="s">
        <v>71</v>
      </c>
      <c r="F29" s="176" t="s">
        <v>84</v>
      </c>
      <c r="G29" s="176" t="s">
        <v>76</v>
      </c>
      <c r="H29" s="171"/>
    </row>
    <row r="30" spans="1:8">
      <c r="A30" s="166"/>
      <c r="B30" s="177"/>
      <c r="C30" s="124"/>
      <c r="D30" s="169"/>
      <c r="E30" s="177"/>
      <c r="F30" s="178"/>
      <c r="G30" s="178">
        <f>+E30*F30</f>
        <v>0</v>
      </c>
      <c r="H30" s="171"/>
    </row>
    <row r="31" spans="1:8">
      <c r="A31" s="166"/>
      <c r="B31" s="177"/>
      <c r="C31" s="124"/>
      <c r="D31" s="169"/>
      <c r="E31" s="177"/>
      <c r="F31" s="178"/>
      <c r="G31" s="178">
        <f>+E31*F31</f>
        <v>0</v>
      </c>
      <c r="H31" s="171"/>
    </row>
    <row r="32" spans="1:8" ht="15.75" thickBot="1">
      <c r="A32" s="166"/>
      <c r="B32" s="177"/>
      <c r="C32" s="124"/>
      <c r="D32" s="169"/>
      <c r="E32" s="177"/>
      <c r="F32" s="178"/>
      <c r="G32" s="178">
        <f>+E32*F32</f>
        <v>0</v>
      </c>
      <c r="H32" s="171"/>
    </row>
    <row r="33" spans="1:8" ht="15.75" thickBot="1">
      <c r="A33" s="166"/>
      <c r="B33" s="124"/>
      <c r="C33" s="124"/>
      <c r="D33" s="169"/>
      <c r="E33" s="124"/>
      <c r="F33" s="181" t="s">
        <v>77</v>
      </c>
      <c r="G33" s="182">
        <f>SUM(G30:G32)</f>
        <v>0</v>
      </c>
      <c r="H33" s="171"/>
    </row>
    <row r="34" spans="1:8" ht="15.75" thickBot="1">
      <c r="A34" s="166"/>
      <c r="B34" s="124"/>
      <c r="C34" s="124"/>
      <c r="D34" s="169"/>
      <c r="E34" s="124"/>
      <c r="F34" s="173"/>
      <c r="G34" s="173"/>
      <c r="H34" s="171"/>
    </row>
    <row r="35" spans="1:8" ht="15.75" thickBot="1">
      <c r="A35" s="166"/>
      <c r="B35" s="124"/>
      <c r="C35" s="124"/>
      <c r="D35" s="169"/>
      <c r="E35" s="124"/>
      <c r="F35" s="181" t="s">
        <v>87</v>
      </c>
      <c r="G35" s="182">
        <f>+G16+G22+G33+G27</f>
        <v>80000.000036909943</v>
      </c>
      <c r="H35" s="171"/>
    </row>
    <row r="36" spans="1:8">
      <c r="A36" s="186"/>
      <c r="B36" s="187"/>
      <c r="C36" s="187"/>
      <c r="D36" s="188"/>
      <c r="E36" s="187"/>
      <c r="F36" s="189"/>
      <c r="G36" s="187"/>
      <c r="H36" s="190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0"/>
  <sheetViews>
    <sheetView workbookViewId="0">
      <selection activeCell="F9" sqref="F9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4.5703125" customWidth="1"/>
    <col min="5" max="5" width="6" customWidth="1"/>
    <col min="6" max="7" width="10.85546875" customWidth="1"/>
    <col min="8" max="8" width="1.42578125" customWidth="1"/>
  </cols>
  <sheetData>
    <row r="1" spans="1:8">
      <c r="A1" s="124"/>
      <c r="B1" s="124"/>
      <c r="C1" s="124"/>
      <c r="D1" s="169"/>
      <c r="E1" s="124"/>
      <c r="F1" s="173"/>
      <c r="G1" s="124"/>
      <c r="H1" s="124"/>
    </row>
    <row r="2" spans="1:8">
      <c r="A2" s="161"/>
      <c r="B2" s="162" t="s">
        <v>72</v>
      </c>
      <c r="C2" s="163"/>
      <c r="D2" s="163"/>
      <c r="E2" s="163"/>
      <c r="F2" s="164"/>
      <c r="G2" s="163"/>
      <c r="H2" s="165"/>
    </row>
    <row r="3" spans="1:8">
      <c r="A3" s="166"/>
      <c r="B3" s="167"/>
      <c r="C3" s="168"/>
      <c r="D3" s="169"/>
      <c r="E3" s="168"/>
      <c r="F3" s="170"/>
      <c r="G3" s="168"/>
      <c r="H3" s="171"/>
    </row>
    <row r="4" spans="1:8">
      <c r="A4" s="166"/>
      <c r="B4" s="153" t="s">
        <v>273</v>
      </c>
      <c r="C4" s="168"/>
      <c r="D4" s="169"/>
      <c r="E4" s="168"/>
      <c r="F4" s="170"/>
      <c r="G4" s="168"/>
      <c r="H4" s="171"/>
    </row>
    <row r="5" spans="1:8">
      <c r="A5" s="166"/>
      <c r="B5" s="191" t="s">
        <v>265</v>
      </c>
      <c r="C5" s="168"/>
      <c r="D5" s="169"/>
      <c r="E5" s="168"/>
      <c r="F5" s="170"/>
      <c r="G5" s="168"/>
      <c r="H5" s="171"/>
    </row>
    <row r="6" spans="1:8">
      <c r="A6" s="166"/>
      <c r="B6" s="124"/>
      <c r="C6" s="124"/>
      <c r="D6" s="169"/>
      <c r="E6" s="124"/>
      <c r="F6" s="173"/>
      <c r="G6" s="124"/>
      <c r="H6" s="171"/>
    </row>
    <row r="7" spans="1:8">
      <c r="A7" s="166"/>
      <c r="B7" s="174" t="s">
        <v>74</v>
      </c>
      <c r="C7" s="124"/>
      <c r="D7" s="175" t="s">
        <v>75</v>
      </c>
      <c r="E7" s="175" t="s">
        <v>71</v>
      </c>
      <c r="F7" s="176" t="s">
        <v>70</v>
      </c>
      <c r="G7" s="175" t="s">
        <v>76</v>
      </c>
      <c r="H7" s="171"/>
    </row>
    <row r="8" spans="1:8">
      <c r="A8" s="166"/>
      <c r="B8" s="177" t="s">
        <v>266</v>
      </c>
      <c r="C8" s="124"/>
      <c r="D8" s="175" t="s">
        <v>18</v>
      </c>
      <c r="E8" s="177">
        <v>1.5</v>
      </c>
      <c r="F8" s="178">
        <v>3483</v>
      </c>
      <c r="G8" s="178">
        <f t="shared" ref="G8:G15" si="0">+E8*F8</f>
        <v>5224.5</v>
      </c>
      <c r="H8" s="171"/>
    </row>
    <row r="9" spans="1:8">
      <c r="A9" s="166"/>
      <c r="B9" s="177" t="s">
        <v>267</v>
      </c>
      <c r="C9" s="124"/>
      <c r="D9" s="175" t="s">
        <v>17</v>
      </c>
      <c r="E9" s="177">
        <v>2</v>
      </c>
      <c r="F9" s="178">
        <v>700</v>
      </c>
      <c r="G9" s="178">
        <f t="shared" si="0"/>
        <v>1400</v>
      </c>
      <c r="H9" s="171"/>
    </row>
    <row r="10" spans="1:8">
      <c r="A10" s="166"/>
      <c r="B10" s="177" t="s">
        <v>268</v>
      </c>
      <c r="C10" s="124"/>
      <c r="D10" s="175" t="s">
        <v>17</v>
      </c>
      <c r="E10" s="177">
        <v>2</v>
      </c>
      <c r="F10" s="178">
        <v>500</v>
      </c>
      <c r="G10" s="178">
        <f t="shared" si="0"/>
        <v>1000</v>
      </c>
      <c r="H10" s="171"/>
    </row>
    <row r="11" spans="1:8">
      <c r="A11" s="166"/>
      <c r="B11" s="177" t="s">
        <v>269</v>
      </c>
      <c r="C11" s="124"/>
      <c r="D11" s="175" t="s">
        <v>222</v>
      </c>
      <c r="E11" s="231">
        <v>1E-3</v>
      </c>
      <c r="F11" s="178">
        <v>320000</v>
      </c>
      <c r="G11" s="178">
        <f t="shared" si="0"/>
        <v>320</v>
      </c>
      <c r="H11" s="171"/>
    </row>
    <row r="12" spans="1:8">
      <c r="A12" s="166"/>
      <c r="B12" s="177" t="s">
        <v>270</v>
      </c>
      <c r="C12" s="124"/>
      <c r="D12" s="175" t="s">
        <v>17</v>
      </c>
      <c r="E12" s="177">
        <v>1</v>
      </c>
      <c r="F12" s="178">
        <v>850</v>
      </c>
      <c r="G12" s="178">
        <f t="shared" si="0"/>
        <v>850</v>
      </c>
      <c r="H12" s="171"/>
    </row>
    <row r="13" spans="1:8">
      <c r="A13" s="166"/>
      <c r="B13" s="177" t="s">
        <v>271</v>
      </c>
      <c r="C13" s="124"/>
      <c r="D13" s="175" t="s">
        <v>17</v>
      </c>
      <c r="E13" s="177">
        <v>1</v>
      </c>
      <c r="F13" s="178">
        <v>500</v>
      </c>
      <c r="G13" s="178">
        <f t="shared" si="0"/>
        <v>500</v>
      </c>
      <c r="H13" s="171"/>
    </row>
    <row r="14" spans="1:8">
      <c r="A14" s="166"/>
      <c r="B14" s="177" t="s">
        <v>173</v>
      </c>
      <c r="C14" s="124"/>
      <c r="D14" s="175" t="s">
        <v>100</v>
      </c>
      <c r="E14" s="177">
        <v>0.01</v>
      </c>
      <c r="F14" s="178">
        <f>+G13+G12+G11+G10+G9+G8</f>
        <v>9294.5</v>
      </c>
      <c r="G14" s="178">
        <f>+E14*F14</f>
        <v>92.945000000000007</v>
      </c>
      <c r="H14" s="171"/>
    </row>
    <row r="15" spans="1:8" ht="15.75" thickBot="1">
      <c r="A15" s="166"/>
      <c r="B15" s="177"/>
      <c r="C15" s="124"/>
      <c r="D15" s="175"/>
      <c r="E15" s="177"/>
      <c r="F15" s="178"/>
      <c r="G15" s="178">
        <f t="shared" si="0"/>
        <v>0</v>
      </c>
      <c r="H15" s="171"/>
    </row>
    <row r="16" spans="1:8" ht="15.75" thickBot="1">
      <c r="A16" s="166"/>
      <c r="B16" s="124"/>
      <c r="C16" s="124"/>
      <c r="D16" s="169"/>
      <c r="E16" s="124"/>
      <c r="F16" s="181" t="s">
        <v>77</v>
      </c>
      <c r="G16" s="182">
        <f>SUM(G8:G15)</f>
        <v>9387.4449999999997</v>
      </c>
      <c r="H16" s="171"/>
    </row>
    <row r="17" spans="1:8">
      <c r="A17" s="166"/>
      <c r="B17" s="124"/>
      <c r="C17" s="124"/>
      <c r="D17" s="169"/>
      <c r="E17" s="124"/>
      <c r="F17" s="181"/>
      <c r="G17" s="173"/>
      <c r="H17" s="171"/>
    </row>
    <row r="18" spans="1:8">
      <c r="A18" s="166"/>
      <c r="B18" s="174" t="s">
        <v>78</v>
      </c>
      <c r="C18" s="168"/>
      <c r="D18" s="175" t="s">
        <v>79</v>
      </c>
      <c r="E18" s="175"/>
      <c r="F18" s="183" t="s">
        <v>80</v>
      </c>
      <c r="G18" s="176" t="s">
        <v>76</v>
      </c>
      <c r="H18" s="171"/>
    </row>
    <row r="19" spans="1:8">
      <c r="A19" s="166"/>
      <c r="B19" s="177" t="s">
        <v>261</v>
      </c>
      <c r="C19" s="124"/>
      <c r="D19" s="232">
        <v>3.5667299659995493</v>
      </c>
      <c r="E19" s="184"/>
      <c r="F19" s="185">
        <f>+'M.O.'!E4</f>
        <v>67666.666666666672</v>
      </c>
      <c r="G19" s="178">
        <f>+F19/D19</f>
        <v>18971.625918337104</v>
      </c>
      <c r="H19" s="171"/>
    </row>
    <row r="20" spans="1:8">
      <c r="A20" s="166"/>
      <c r="B20" s="177" t="s">
        <v>91</v>
      </c>
      <c r="C20" s="124"/>
      <c r="D20" s="232">
        <f>+D19</f>
        <v>3.5667299659995493</v>
      </c>
      <c r="E20" s="184"/>
      <c r="F20" s="185">
        <f>+'M.O.'!E46</f>
        <v>38666.666666666664</v>
      </c>
      <c r="G20" s="178">
        <f>+F20/D20</f>
        <v>10840.929096192631</v>
      </c>
      <c r="H20" s="171"/>
    </row>
    <row r="21" spans="1:8" ht="15.75" thickBot="1">
      <c r="A21" s="166"/>
      <c r="B21" s="177"/>
      <c r="C21" s="124"/>
      <c r="D21" s="175"/>
      <c r="E21" s="184"/>
      <c r="F21" s="185"/>
      <c r="G21" s="178">
        <v>0</v>
      </c>
      <c r="H21" s="171"/>
    </row>
    <row r="22" spans="1:8" ht="15.75" thickBot="1">
      <c r="A22" s="166"/>
      <c r="B22" s="124"/>
      <c r="C22" s="124"/>
      <c r="D22" s="169"/>
      <c r="E22" s="124"/>
      <c r="F22" s="181" t="s">
        <v>77</v>
      </c>
      <c r="G22" s="182">
        <f>SUM(G19:G21)</f>
        <v>29812.555014529735</v>
      </c>
      <c r="H22" s="171"/>
    </row>
    <row r="23" spans="1:8">
      <c r="A23" s="166"/>
      <c r="B23" s="124"/>
      <c r="C23" s="124"/>
      <c r="D23" s="169"/>
      <c r="E23" s="124"/>
      <c r="F23" s="173"/>
      <c r="G23" s="173"/>
      <c r="H23" s="171"/>
    </row>
    <row r="24" spans="1:8">
      <c r="A24" s="166"/>
      <c r="B24" s="177" t="s">
        <v>83</v>
      </c>
      <c r="C24" s="124"/>
      <c r="D24" s="169"/>
      <c r="E24" s="175" t="s">
        <v>79</v>
      </c>
      <c r="F24" s="176" t="s">
        <v>84</v>
      </c>
      <c r="G24" s="176" t="s">
        <v>76</v>
      </c>
      <c r="H24" s="171"/>
    </row>
    <row r="25" spans="1:8">
      <c r="A25" s="166"/>
      <c r="B25" s="177" t="s">
        <v>102</v>
      </c>
      <c r="C25" s="124"/>
      <c r="D25" s="169"/>
      <c r="E25" s="177">
        <v>1</v>
      </c>
      <c r="F25" s="178">
        <v>600</v>
      </c>
      <c r="G25" s="178">
        <f>F25/E25</f>
        <v>600</v>
      </c>
      <c r="H25" s="171"/>
    </row>
    <row r="26" spans="1:8">
      <c r="A26" s="166"/>
      <c r="B26" s="177"/>
      <c r="C26" s="124"/>
      <c r="D26" s="169"/>
      <c r="E26" s="177"/>
      <c r="F26" s="178"/>
      <c r="G26" s="178">
        <v>0</v>
      </c>
      <c r="H26" s="171"/>
    </row>
    <row r="27" spans="1:8">
      <c r="A27" s="166"/>
      <c r="B27" s="177"/>
      <c r="C27" s="124"/>
      <c r="D27" s="169"/>
      <c r="E27" s="177"/>
      <c r="F27" s="178"/>
      <c r="G27" s="178">
        <v>0</v>
      </c>
      <c r="H27" s="171"/>
    </row>
    <row r="28" spans="1:8" ht="15.75" thickBot="1">
      <c r="A28" s="166"/>
      <c r="B28" s="177"/>
      <c r="C28" s="124"/>
      <c r="D28" s="169"/>
      <c r="E28" s="177"/>
      <c r="F28" s="178"/>
      <c r="G28" s="178">
        <v>0</v>
      </c>
      <c r="H28" s="171"/>
    </row>
    <row r="29" spans="1:8" ht="15.75" thickBot="1">
      <c r="A29" s="166"/>
      <c r="B29" s="124"/>
      <c r="C29" s="124"/>
      <c r="D29" s="169"/>
      <c r="E29" s="124"/>
      <c r="F29" s="181" t="s">
        <v>77</v>
      </c>
      <c r="G29" s="182">
        <f>SUM(G25:G28)</f>
        <v>600</v>
      </c>
      <c r="H29" s="171"/>
    </row>
    <row r="30" spans="1:8">
      <c r="A30" s="166"/>
      <c r="B30" s="124"/>
      <c r="C30" s="124"/>
      <c r="D30" s="169"/>
      <c r="E30" s="124"/>
      <c r="F30" s="173"/>
      <c r="G30" s="173"/>
      <c r="H30" s="171"/>
    </row>
    <row r="31" spans="1:8">
      <c r="A31" s="166"/>
      <c r="B31" s="177" t="s">
        <v>86</v>
      </c>
      <c r="C31" s="124"/>
      <c r="D31" s="169"/>
      <c r="E31" s="175" t="s">
        <v>71</v>
      </c>
      <c r="F31" s="176" t="s">
        <v>84</v>
      </c>
      <c r="G31" s="176" t="s">
        <v>76</v>
      </c>
      <c r="H31" s="171"/>
    </row>
    <row r="32" spans="1:8">
      <c r="A32" s="166"/>
      <c r="B32" s="177" t="s">
        <v>272</v>
      </c>
      <c r="C32" s="124"/>
      <c r="D32" s="169"/>
      <c r="E32" s="177">
        <v>1</v>
      </c>
      <c r="F32" s="178">
        <v>200</v>
      </c>
      <c r="G32" s="178">
        <f>+E32*F32</f>
        <v>200</v>
      </c>
      <c r="H32" s="171"/>
    </row>
    <row r="33" spans="1:10">
      <c r="A33" s="166"/>
      <c r="B33" s="177"/>
      <c r="C33" s="124"/>
      <c r="D33" s="169"/>
      <c r="E33" s="177"/>
      <c r="F33" s="178"/>
      <c r="G33" s="178">
        <f>+E33*F33</f>
        <v>0</v>
      </c>
      <c r="H33" s="171"/>
    </row>
    <row r="34" spans="1:10" ht="15.75" thickBot="1">
      <c r="A34" s="166"/>
      <c r="B34" s="177"/>
      <c r="C34" s="124"/>
      <c r="D34" s="169"/>
      <c r="E34" s="177"/>
      <c r="F34" s="178"/>
      <c r="G34" s="178">
        <f>+E34*F34</f>
        <v>0</v>
      </c>
      <c r="H34" s="171"/>
    </row>
    <row r="35" spans="1:10" ht="15.75" thickBot="1">
      <c r="A35" s="166"/>
      <c r="B35" s="124"/>
      <c r="C35" s="124"/>
      <c r="D35" s="169"/>
      <c r="E35" s="124"/>
      <c r="F35" s="181" t="s">
        <v>77</v>
      </c>
      <c r="G35" s="182">
        <f>SUM(G32:G34)</f>
        <v>200</v>
      </c>
      <c r="H35" s="171"/>
    </row>
    <row r="36" spans="1:10" ht="15.75" thickBot="1">
      <c r="A36" s="166"/>
      <c r="B36" s="124"/>
      <c r="C36" s="124"/>
      <c r="D36" s="169"/>
      <c r="E36" s="124"/>
      <c r="F36" s="173"/>
      <c r="G36" s="173"/>
      <c r="H36" s="171"/>
    </row>
    <row r="37" spans="1:10" ht="15.75" thickBot="1">
      <c r="A37" s="166"/>
      <c r="B37" s="124"/>
      <c r="C37" s="124"/>
      <c r="D37" s="169"/>
      <c r="E37" s="124"/>
      <c r="F37" s="181" t="s">
        <v>87</v>
      </c>
      <c r="G37" s="182">
        <f>+G16+G22+G35+G29</f>
        <v>40000.000014529738</v>
      </c>
      <c r="H37" s="171"/>
      <c r="J37">
        <v>40000</v>
      </c>
    </row>
    <row r="38" spans="1:10">
      <c r="A38" s="186"/>
      <c r="B38" s="187"/>
      <c r="C38" s="187"/>
      <c r="D38" s="188"/>
      <c r="E38" s="187"/>
      <c r="F38" s="189"/>
      <c r="G38" s="187"/>
      <c r="H38" s="190"/>
    </row>
    <row r="39" spans="1:10">
      <c r="A39" s="124"/>
      <c r="B39" s="124"/>
      <c r="C39" s="124"/>
      <c r="D39" s="169"/>
      <c r="E39" s="124"/>
      <c r="F39" s="173"/>
      <c r="G39" s="124"/>
      <c r="H39" s="124"/>
    </row>
    <row r="40" spans="1:10">
      <c r="A40" s="124"/>
      <c r="B40" s="124"/>
      <c r="C40" s="124"/>
      <c r="D40" s="169"/>
      <c r="E40" s="124"/>
      <c r="F40" s="173"/>
      <c r="G40" s="124"/>
      <c r="H40" s="12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1"/>
  <sheetViews>
    <sheetView topLeftCell="A13" workbookViewId="0">
      <selection activeCell="K29" sqref="K29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6.85546875" customWidth="1"/>
    <col min="5" max="5" width="5.7109375" customWidth="1"/>
    <col min="6" max="7" width="10.85546875" customWidth="1"/>
    <col min="8" max="8" width="1.42578125" customWidth="1"/>
  </cols>
  <sheetData>
    <row r="1" spans="1:8">
      <c r="A1" s="124"/>
      <c r="B1" s="124"/>
      <c r="C1" s="124"/>
      <c r="D1" s="169"/>
      <c r="E1" s="124"/>
      <c r="F1" s="173"/>
      <c r="G1" s="124"/>
      <c r="H1" s="124"/>
    </row>
    <row r="2" spans="1:8">
      <c r="A2" s="161"/>
      <c r="B2" s="162" t="s">
        <v>72</v>
      </c>
      <c r="C2" s="163"/>
      <c r="D2" s="163"/>
      <c r="E2" s="163"/>
      <c r="F2" s="164"/>
      <c r="G2" s="163"/>
      <c r="H2" s="165"/>
    </row>
    <row r="3" spans="1:8">
      <c r="A3" s="166"/>
      <c r="B3" s="167"/>
      <c r="C3" s="168"/>
      <c r="D3" s="169"/>
      <c r="E3" s="168"/>
      <c r="F3" s="170"/>
      <c r="G3" s="168"/>
      <c r="H3" s="171"/>
    </row>
    <row r="4" spans="1:8">
      <c r="A4" s="166"/>
      <c r="B4" s="153" t="s">
        <v>262</v>
      </c>
      <c r="C4" s="168"/>
      <c r="D4" s="169"/>
      <c r="E4" s="168"/>
      <c r="F4" s="170"/>
      <c r="G4" s="168"/>
      <c r="H4" s="171"/>
    </row>
    <row r="5" spans="1:8">
      <c r="A5" s="166"/>
      <c r="B5" s="191" t="s">
        <v>258</v>
      </c>
      <c r="C5" s="168"/>
      <c r="D5" s="169"/>
      <c r="E5" s="168"/>
      <c r="F5" s="170"/>
      <c r="G5" s="168"/>
      <c r="H5" s="171"/>
    </row>
    <row r="6" spans="1:8">
      <c r="A6" s="166"/>
      <c r="B6" s="124"/>
      <c r="C6" s="124"/>
      <c r="D6" s="169"/>
      <c r="E6" s="124"/>
      <c r="F6" s="173"/>
      <c r="G6" s="124"/>
      <c r="H6" s="171"/>
    </row>
    <row r="7" spans="1:8">
      <c r="A7" s="166"/>
      <c r="B7" s="174" t="s">
        <v>74</v>
      </c>
      <c r="C7" s="124"/>
      <c r="D7" s="175" t="s">
        <v>75</v>
      </c>
      <c r="E7" s="175" t="s">
        <v>71</v>
      </c>
      <c r="F7" s="176" t="s">
        <v>70</v>
      </c>
      <c r="G7" s="175" t="s">
        <v>76</v>
      </c>
      <c r="H7" s="171"/>
    </row>
    <row r="8" spans="1:8">
      <c r="A8" s="166"/>
      <c r="B8" s="177" t="s">
        <v>263</v>
      </c>
      <c r="C8" s="124"/>
      <c r="D8" s="175" t="s">
        <v>18</v>
      </c>
      <c r="E8" s="177">
        <v>1.1000000000000001</v>
      </c>
      <c r="F8" s="178">
        <v>3100</v>
      </c>
      <c r="G8" s="178">
        <f>+E8*F8</f>
        <v>3410.0000000000005</v>
      </c>
      <c r="H8" s="171"/>
    </row>
    <row r="9" spans="1:8">
      <c r="A9" s="166"/>
      <c r="B9" s="177" t="s">
        <v>264</v>
      </c>
      <c r="C9" s="124"/>
      <c r="D9" s="175" t="s">
        <v>17</v>
      </c>
      <c r="E9" s="177">
        <v>0.15</v>
      </c>
      <c r="F9" s="178">
        <v>600</v>
      </c>
      <c r="G9" s="178">
        <f>+E9*F9</f>
        <v>90</v>
      </c>
      <c r="H9" s="171"/>
    </row>
    <row r="10" spans="1:8">
      <c r="A10" s="166"/>
      <c r="B10" s="177" t="s">
        <v>259</v>
      </c>
      <c r="C10" s="124"/>
      <c r="D10" s="175" t="s">
        <v>260</v>
      </c>
      <c r="E10" s="231">
        <v>0.01</v>
      </c>
      <c r="F10" s="178">
        <v>320000</v>
      </c>
      <c r="G10" s="178">
        <f>+E10*F10</f>
        <v>3200</v>
      </c>
      <c r="H10" s="171"/>
    </row>
    <row r="11" spans="1:8" ht="15.75" thickBot="1">
      <c r="A11" s="166"/>
      <c r="B11" s="177" t="s">
        <v>173</v>
      </c>
      <c r="C11" s="177"/>
      <c r="D11" s="175" t="s">
        <v>100</v>
      </c>
      <c r="E11" s="177">
        <v>0.5</v>
      </c>
      <c r="F11" s="178">
        <v>1187</v>
      </c>
      <c r="G11" s="178">
        <f>+E11*F11</f>
        <v>593.5</v>
      </c>
      <c r="H11" s="171"/>
    </row>
    <row r="12" spans="1:8" ht="15.75" thickBot="1">
      <c r="A12" s="166"/>
      <c r="B12" s="124"/>
      <c r="C12" s="124"/>
      <c r="D12" s="169"/>
      <c r="E12" s="124"/>
      <c r="F12" s="181" t="s">
        <v>77</v>
      </c>
      <c r="G12" s="182">
        <f>SUM(G8:G11)</f>
        <v>7293.5</v>
      </c>
      <c r="H12" s="171"/>
    </row>
    <row r="13" spans="1:8">
      <c r="A13" s="166"/>
      <c r="B13" s="124"/>
      <c r="C13" s="124"/>
      <c r="D13" s="169"/>
      <c r="E13" s="124"/>
      <c r="F13" s="181"/>
      <c r="G13" s="173"/>
      <c r="H13" s="171"/>
    </row>
    <row r="14" spans="1:8">
      <c r="A14" s="166"/>
      <c r="B14" s="174" t="s">
        <v>78</v>
      </c>
      <c r="C14" s="168"/>
      <c r="D14" s="175" t="s">
        <v>79</v>
      </c>
      <c r="E14" s="175"/>
      <c r="F14" s="183" t="s">
        <v>80</v>
      </c>
      <c r="G14" s="176" t="s">
        <v>76</v>
      </c>
      <c r="H14" s="171"/>
    </row>
    <row r="15" spans="1:8">
      <c r="A15" s="166"/>
      <c r="B15" s="177" t="s">
        <v>261</v>
      </c>
      <c r="C15" s="124"/>
      <c r="D15" s="232">
        <v>13.979270925740552</v>
      </c>
      <c r="E15" s="184"/>
      <c r="F15" s="185">
        <f>+'M.O.'!E4</f>
        <v>67666.666666666672</v>
      </c>
      <c r="G15" s="178">
        <f>+F15/D15</f>
        <v>4840.5004113676287</v>
      </c>
      <c r="H15" s="171"/>
    </row>
    <row r="16" spans="1:8">
      <c r="A16" s="166"/>
      <c r="B16" s="177" t="s">
        <v>91</v>
      </c>
      <c r="C16" s="124"/>
      <c r="D16" s="232">
        <f>+D15</f>
        <v>13.979270925740552</v>
      </c>
      <c r="E16" s="184"/>
      <c r="F16" s="185">
        <f>+'M.O.'!E46</f>
        <v>38666.666666666664</v>
      </c>
      <c r="G16" s="178">
        <f>+F16/D16</f>
        <v>2766.0002350672157</v>
      </c>
      <c r="H16" s="171"/>
    </row>
    <row r="17" spans="1:8" ht="15.75" thickBot="1">
      <c r="A17" s="166"/>
      <c r="B17" s="177"/>
      <c r="C17" s="124"/>
      <c r="D17" s="175"/>
      <c r="E17" s="184"/>
      <c r="F17" s="185"/>
      <c r="G17" s="178">
        <v>0</v>
      </c>
      <c r="H17" s="171"/>
    </row>
    <row r="18" spans="1:8" ht="15.75" thickBot="1">
      <c r="A18" s="166"/>
      <c r="B18" s="124"/>
      <c r="C18" s="124"/>
      <c r="D18" s="169"/>
      <c r="E18" s="124"/>
      <c r="F18" s="181" t="s">
        <v>77</v>
      </c>
      <c r="G18" s="182">
        <f>SUM(G15:G17)</f>
        <v>7606.5006464348444</v>
      </c>
      <c r="H18" s="171"/>
    </row>
    <row r="19" spans="1:8">
      <c r="A19" s="166"/>
      <c r="B19" s="124"/>
      <c r="C19" s="124"/>
      <c r="D19" s="169"/>
      <c r="E19" s="124"/>
      <c r="F19" s="173"/>
      <c r="G19" s="173"/>
      <c r="H19" s="171"/>
    </row>
    <row r="20" spans="1:8">
      <c r="A20" s="166"/>
      <c r="B20" s="177" t="s">
        <v>83</v>
      </c>
      <c r="C20" s="124"/>
      <c r="D20" s="169"/>
      <c r="E20" s="175" t="s">
        <v>79</v>
      </c>
      <c r="F20" s="176" t="s">
        <v>84</v>
      </c>
      <c r="G20" s="176" t="s">
        <v>76</v>
      </c>
      <c r="H20" s="171"/>
    </row>
    <row r="21" spans="1:8">
      <c r="A21" s="166"/>
      <c r="B21" s="177" t="s">
        <v>102</v>
      </c>
      <c r="C21" s="124"/>
      <c r="D21" s="169"/>
      <c r="E21" s="177">
        <v>1</v>
      </c>
      <c r="F21" s="178">
        <v>100</v>
      </c>
      <c r="G21" s="178">
        <f>F21/E21</f>
        <v>100</v>
      </c>
      <c r="H21" s="171"/>
    </row>
    <row r="22" spans="1:8" ht="15.75" thickBot="1">
      <c r="A22" s="166"/>
      <c r="B22" s="177"/>
      <c r="C22" s="124"/>
      <c r="D22" s="169"/>
      <c r="E22" s="177"/>
      <c r="F22" s="178"/>
      <c r="G22" s="178">
        <v>0</v>
      </c>
      <c r="H22" s="171"/>
    </row>
    <row r="23" spans="1:8" ht="15.75" thickBot="1">
      <c r="A23" s="166"/>
      <c r="B23" s="124"/>
      <c r="C23" s="124"/>
      <c r="D23" s="169"/>
      <c r="E23" s="124"/>
      <c r="F23" s="181" t="s">
        <v>77</v>
      </c>
      <c r="G23" s="182">
        <f>SUM(G21:G22)</f>
        <v>100</v>
      </c>
      <c r="H23" s="171"/>
    </row>
    <row r="24" spans="1:8">
      <c r="A24" s="166"/>
      <c r="B24" s="124"/>
      <c r="C24" s="124"/>
      <c r="D24" s="169"/>
      <c r="E24" s="124"/>
      <c r="F24" s="173"/>
      <c r="G24" s="173"/>
      <c r="H24" s="171"/>
    </row>
    <row r="25" spans="1:8">
      <c r="A25" s="166"/>
      <c r="B25" s="177" t="s">
        <v>86</v>
      </c>
      <c r="C25" s="124"/>
      <c r="D25" s="169"/>
      <c r="E25" s="175" t="s">
        <v>71</v>
      </c>
      <c r="F25" s="176" t="s">
        <v>84</v>
      </c>
      <c r="G25" s="176" t="s">
        <v>76</v>
      </c>
      <c r="H25" s="171"/>
    </row>
    <row r="26" spans="1:8">
      <c r="A26" s="166"/>
      <c r="B26" s="177"/>
      <c r="C26" s="124"/>
      <c r="D26" s="169"/>
      <c r="E26" s="177"/>
      <c r="F26" s="178"/>
      <c r="G26" s="178">
        <f>+E26*F26</f>
        <v>0</v>
      </c>
      <c r="H26" s="171"/>
    </row>
    <row r="27" spans="1:8" ht="15.75" thickBot="1">
      <c r="A27" s="166"/>
      <c r="B27" s="177"/>
      <c r="C27" s="124"/>
      <c r="D27" s="169"/>
      <c r="E27" s="177"/>
      <c r="F27" s="178"/>
      <c r="G27" s="178">
        <f>+E27*F27</f>
        <v>0</v>
      </c>
      <c r="H27" s="171"/>
    </row>
    <row r="28" spans="1:8" ht="15.75" thickBot="1">
      <c r="A28" s="166"/>
      <c r="B28" s="124"/>
      <c r="C28" s="124"/>
      <c r="D28" s="169"/>
      <c r="E28" s="124"/>
      <c r="F28" s="181" t="s">
        <v>77</v>
      </c>
      <c r="G28" s="182">
        <f>SUM(G26:G27)</f>
        <v>0</v>
      </c>
      <c r="H28" s="171"/>
    </row>
    <row r="29" spans="1:8" ht="15.75" thickBot="1">
      <c r="A29" s="166"/>
      <c r="B29" s="124"/>
      <c r="C29" s="124"/>
      <c r="D29" s="169"/>
      <c r="E29" s="124"/>
      <c r="F29" s="173"/>
      <c r="G29" s="173"/>
      <c r="H29" s="171"/>
    </row>
    <row r="30" spans="1:8" ht="15.75" thickBot="1">
      <c r="A30" s="166"/>
      <c r="B30" s="124"/>
      <c r="C30" s="124"/>
      <c r="D30" s="169"/>
      <c r="E30" s="124"/>
      <c r="F30" s="181" t="s">
        <v>87</v>
      </c>
      <c r="G30" s="182">
        <f>+G12+G18+G28+G23</f>
        <v>15000.000646434844</v>
      </c>
      <c r="H30" s="171"/>
    </row>
    <row r="31" spans="1:8">
      <c r="A31" s="186"/>
      <c r="B31" s="187"/>
      <c r="C31" s="187"/>
      <c r="D31" s="188"/>
      <c r="E31" s="187"/>
      <c r="F31" s="189"/>
      <c r="G31" s="187"/>
      <c r="H31" s="190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7"/>
  <sheetViews>
    <sheetView topLeftCell="A25" workbookViewId="0">
      <selection activeCell="J32" sqref="J32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4.5703125" customWidth="1"/>
    <col min="5" max="5" width="5" customWidth="1"/>
    <col min="6" max="7" width="10.85546875" customWidth="1"/>
    <col min="8" max="8" width="1.42578125" customWidth="1"/>
  </cols>
  <sheetData>
    <row r="1" spans="1:8">
      <c r="A1" s="125"/>
      <c r="B1" s="125"/>
      <c r="C1" s="125"/>
      <c r="D1" s="202"/>
      <c r="E1" s="125"/>
      <c r="F1" s="203"/>
      <c r="G1" s="125"/>
      <c r="H1" s="125"/>
    </row>
    <row r="2" spans="1:8">
      <c r="A2" s="204"/>
      <c r="B2" s="162" t="s">
        <v>72</v>
      </c>
      <c r="C2" s="205"/>
      <c r="D2" s="205"/>
      <c r="E2" s="205"/>
      <c r="F2" s="206"/>
      <c r="G2" s="205"/>
      <c r="H2" s="207"/>
    </row>
    <row r="3" spans="1:8">
      <c r="A3" s="208"/>
      <c r="B3" s="167"/>
      <c r="C3" s="209"/>
      <c r="D3" s="202"/>
      <c r="E3" s="209"/>
      <c r="F3" s="210"/>
      <c r="G3" s="209"/>
      <c r="H3" s="211"/>
    </row>
    <row r="4" spans="1:8">
      <c r="A4" s="208"/>
      <c r="B4" s="153" t="s">
        <v>257</v>
      </c>
      <c r="C4" s="209"/>
      <c r="D4" s="202"/>
      <c r="E4" s="209"/>
      <c r="F4" s="210"/>
      <c r="G4" s="209"/>
      <c r="H4" s="211"/>
    </row>
    <row r="5" spans="1:8">
      <c r="A5" s="208"/>
      <c r="B5" s="228" t="s">
        <v>241</v>
      </c>
      <c r="C5" s="209"/>
      <c r="D5" s="202"/>
      <c r="E5" s="209"/>
      <c r="F5" s="210"/>
      <c r="G5" s="209"/>
      <c r="H5" s="211"/>
    </row>
    <row r="6" spans="1:8">
      <c r="A6" s="208"/>
      <c r="B6" s="125"/>
      <c r="C6" s="125"/>
      <c r="D6" s="202"/>
      <c r="E6" s="125"/>
      <c r="F6" s="203"/>
      <c r="G6" s="125"/>
      <c r="H6" s="211"/>
    </row>
    <row r="7" spans="1:8">
      <c r="A7" s="208"/>
      <c r="B7" s="212" t="s">
        <v>74</v>
      </c>
      <c r="C7" s="125"/>
      <c r="D7" s="213" t="s">
        <v>75</v>
      </c>
      <c r="E7" s="213" t="s">
        <v>71</v>
      </c>
      <c r="F7" s="214" t="s">
        <v>70</v>
      </c>
      <c r="G7" s="213" t="s">
        <v>76</v>
      </c>
      <c r="H7" s="211"/>
    </row>
    <row r="8" spans="1:8">
      <c r="A8" s="208"/>
      <c r="B8" s="215" t="s">
        <v>250</v>
      </c>
      <c r="C8" s="125"/>
      <c r="D8" s="213" t="s">
        <v>182</v>
      </c>
      <c r="E8" s="215">
        <v>1</v>
      </c>
      <c r="F8" s="216">
        <v>50000</v>
      </c>
      <c r="G8" s="216">
        <f t="shared" ref="G8:G14" si="0">+E8*F8</f>
        <v>50000</v>
      </c>
      <c r="H8" s="211"/>
    </row>
    <row r="9" spans="1:8">
      <c r="A9" s="208"/>
      <c r="B9" s="215" t="s">
        <v>251</v>
      </c>
      <c r="C9" s="125"/>
      <c r="D9" s="213" t="s">
        <v>182</v>
      </c>
      <c r="E9" s="230">
        <v>4</v>
      </c>
      <c r="F9" s="216">
        <v>12500</v>
      </c>
      <c r="G9" s="216">
        <f t="shared" si="0"/>
        <v>50000</v>
      </c>
      <c r="H9" s="211"/>
    </row>
    <row r="10" spans="1:8">
      <c r="A10" s="208"/>
      <c r="B10" s="215" t="s">
        <v>252</v>
      </c>
      <c r="C10" s="125"/>
      <c r="D10" s="213" t="s">
        <v>16</v>
      </c>
      <c r="E10" s="215">
        <v>40</v>
      </c>
      <c r="F10" s="216">
        <v>1660</v>
      </c>
      <c r="G10" s="216">
        <f t="shared" si="0"/>
        <v>66400</v>
      </c>
      <c r="H10" s="211"/>
    </row>
    <row r="11" spans="1:8">
      <c r="A11" s="208"/>
      <c r="B11" s="215" t="s">
        <v>253</v>
      </c>
      <c r="C11" s="125"/>
      <c r="D11" s="213" t="s">
        <v>16</v>
      </c>
      <c r="E11" s="215">
        <v>40</v>
      </c>
      <c r="F11" s="216">
        <v>818</v>
      </c>
      <c r="G11" s="216">
        <f t="shared" si="0"/>
        <v>32720</v>
      </c>
      <c r="H11" s="211"/>
    </row>
    <row r="12" spans="1:8">
      <c r="A12" s="208"/>
      <c r="B12" s="215" t="s">
        <v>254</v>
      </c>
      <c r="C12" s="125"/>
      <c r="D12" s="213" t="s">
        <v>17</v>
      </c>
      <c r="E12" s="215">
        <v>4</v>
      </c>
      <c r="F12" s="216">
        <v>440</v>
      </c>
      <c r="G12" s="216">
        <f t="shared" si="0"/>
        <v>1760</v>
      </c>
      <c r="H12" s="211"/>
    </row>
    <row r="13" spans="1:8">
      <c r="A13" s="208"/>
      <c r="B13" s="215" t="s">
        <v>255</v>
      </c>
      <c r="C13" s="125"/>
      <c r="D13" s="213" t="s">
        <v>17</v>
      </c>
      <c r="E13" s="215">
        <v>8</v>
      </c>
      <c r="F13" s="216">
        <v>180</v>
      </c>
      <c r="G13" s="216">
        <f t="shared" si="0"/>
        <v>1440</v>
      </c>
      <c r="H13" s="211"/>
    </row>
    <row r="14" spans="1:8">
      <c r="A14" s="208"/>
      <c r="B14" s="215" t="s">
        <v>256</v>
      </c>
      <c r="C14" s="215"/>
      <c r="D14" s="213" t="s">
        <v>222</v>
      </c>
      <c r="E14" s="215">
        <v>1</v>
      </c>
      <c r="F14" s="216">
        <v>400</v>
      </c>
      <c r="G14" s="216">
        <f t="shared" si="0"/>
        <v>400</v>
      </c>
      <c r="H14" s="211"/>
    </row>
    <row r="15" spans="1:8">
      <c r="A15" s="208"/>
      <c r="B15" s="215"/>
      <c r="C15" s="215"/>
      <c r="D15" s="213"/>
      <c r="E15" s="215"/>
      <c r="F15" s="216"/>
      <c r="G15" s="216"/>
      <c r="H15" s="211"/>
    </row>
    <row r="16" spans="1:8" ht="15.75" thickBot="1">
      <c r="A16" s="208"/>
      <c r="B16" s="125"/>
      <c r="C16" s="125"/>
      <c r="D16" s="125"/>
      <c r="E16" s="125"/>
      <c r="F16" s="125"/>
      <c r="G16" s="125"/>
      <c r="H16" s="211"/>
    </row>
    <row r="17" spans="1:8" ht="15.75" thickBot="1">
      <c r="A17" s="208"/>
      <c r="B17" s="125"/>
      <c r="C17" s="125"/>
      <c r="D17" s="202"/>
      <c r="E17" s="125"/>
      <c r="F17" s="218" t="s">
        <v>77</v>
      </c>
      <c r="G17" s="219">
        <f>SUM(G8:G15)</f>
        <v>202720</v>
      </c>
      <c r="H17" s="211"/>
    </row>
    <row r="18" spans="1:8">
      <c r="A18" s="208"/>
      <c r="B18" s="125"/>
      <c r="C18" s="125"/>
      <c r="D18" s="202"/>
      <c r="E18" s="125"/>
      <c r="F18" s="218"/>
      <c r="G18" s="203"/>
      <c r="H18" s="211"/>
    </row>
    <row r="19" spans="1:8">
      <c r="A19" s="208"/>
      <c r="B19" s="212" t="s">
        <v>78</v>
      </c>
      <c r="C19" s="209"/>
      <c r="D19" s="213" t="s">
        <v>79</v>
      </c>
      <c r="E19" s="213"/>
      <c r="F19" s="220" t="s">
        <v>80</v>
      </c>
      <c r="G19" s="214" t="s">
        <v>76</v>
      </c>
      <c r="H19" s="211"/>
    </row>
    <row r="20" spans="1:8">
      <c r="A20" s="208"/>
      <c r="B20" s="215" t="s">
        <v>225</v>
      </c>
      <c r="C20" s="125"/>
      <c r="D20" s="229">
        <v>6.5516533153137786</v>
      </c>
      <c r="E20" s="221"/>
      <c r="F20" s="222">
        <f>+'M.O.'!E4</f>
        <v>67666.666666666672</v>
      </c>
      <c r="G20" s="216">
        <f>+F20/D20</f>
        <v>10328.181820686876</v>
      </c>
      <c r="H20" s="211"/>
    </row>
    <row r="21" spans="1:8">
      <c r="A21" s="208"/>
      <c r="B21" s="215" t="s">
        <v>239</v>
      </c>
      <c r="C21" s="125"/>
      <c r="D21" s="229">
        <f>+D20</f>
        <v>6.5516533153137786</v>
      </c>
      <c r="E21" s="221"/>
      <c r="F21" s="222">
        <f>+'M.O.'!E46</f>
        <v>38666.666666666664</v>
      </c>
      <c r="G21" s="216">
        <f>+F21/D21</f>
        <v>5901.818183249643</v>
      </c>
      <c r="H21" s="211"/>
    </row>
    <row r="22" spans="1:8" ht="15.75" thickBot="1">
      <c r="A22" s="208"/>
      <c r="B22" s="215"/>
      <c r="C22" s="125"/>
      <c r="D22" s="213"/>
      <c r="E22" s="221"/>
      <c r="F22" s="222"/>
      <c r="G22" s="216">
        <v>0</v>
      </c>
      <c r="H22" s="211"/>
    </row>
    <row r="23" spans="1:8" ht="15.75" thickBot="1">
      <c r="A23" s="208"/>
      <c r="B23" s="125"/>
      <c r="C23" s="125"/>
      <c r="D23" s="202"/>
      <c r="E23" s="125"/>
      <c r="F23" s="218" t="s">
        <v>77</v>
      </c>
      <c r="G23" s="219">
        <f>SUM(G20:G22)</f>
        <v>16230.000003936519</v>
      </c>
      <c r="H23" s="211"/>
    </row>
    <row r="24" spans="1:8">
      <c r="A24" s="208"/>
      <c r="B24" s="125"/>
      <c r="C24" s="125"/>
      <c r="D24" s="202"/>
      <c r="E24" s="125"/>
      <c r="F24" s="203"/>
      <c r="G24" s="203"/>
      <c r="H24" s="211"/>
    </row>
    <row r="25" spans="1:8">
      <c r="A25" s="208"/>
      <c r="B25" s="215" t="s">
        <v>83</v>
      </c>
      <c r="C25" s="125"/>
      <c r="D25" s="202"/>
      <c r="E25" s="213" t="s">
        <v>79</v>
      </c>
      <c r="F25" s="214" t="s">
        <v>84</v>
      </c>
      <c r="G25" s="214" t="s">
        <v>76</v>
      </c>
      <c r="H25" s="211"/>
    </row>
    <row r="26" spans="1:8">
      <c r="A26" s="208"/>
      <c r="B26" s="215" t="s">
        <v>85</v>
      </c>
      <c r="C26" s="125"/>
      <c r="D26" s="202"/>
      <c r="E26" s="215">
        <v>1</v>
      </c>
      <c r="F26" s="216">
        <v>1000</v>
      </c>
      <c r="G26" s="216">
        <f>+F26/E26</f>
        <v>1000</v>
      </c>
      <c r="H26" s="211"/>
    </row>
    <row r="27" spans="1:8" ht="15.75" thickBot="1">
      <c r="A27" s="208"/>
      <c r="B27" s="215"/>
      <c r="C27" s="125"/>
      <c r="D27" s="202"/>
      <c r="E27" s="215"/>
      <c r="F27" s="216"/>
      <c r="G27" s="216">
        <v>0</v>
      </c>
      <c r="H27" s="211"/>
    </row>
    <row r="28" spans="1:8" ht="15.75" thickBot="1">
      <c r="A28" s="208"/>
      <c r="B28" s="125"/>
      <c r="C28" s="125"/>
      <c r="D28" s="202"/>
      <c r="E28" s="125"/>
      <c r="F28" s="218" t="s">
        <v>77</v>
      </c>
      <c r="G28" s="219">
        <f>SUM(G26:G27)</f>
        <v>1000</v>
      </c>
      <c r="H28" s="211"/>
    </row>
    <row r="29" spans="1:8">
      <c r="A29" s="208"/>
      <c r="B29" s="125"/>
      <c r="C29" s="125"/>
      <c r="D29" s="202"/>
      <c r="E29" s="125"/>
      <c r="F29" s="203"/>
      <c r="G29" s="203"/>
      <c r="H29" s="211"/>
    </row>
    <row r="30" spans="1:8">
      <c r="A30" s="208"/>
      <c r="B30" s="215" t="s">
        <v>86</v>
      </c>
      <c r="C30" s="125"/>
      <c r="D30" s="202"/>
      <c r="E30" s="213" t="s">
        <v>71</v>
      </c>
      <c r="F30" s="214" t="s">
        <v>84</v>
      </c>
      <c r="G30" s="214" t="s">
        <v>76</v>
      </c>
      <c r="H30" s="211"/>
    </row>
    <row r="31" spans="1:8">
      <c r="A31" s="208"/>
      <c r="B31" s="215" t="s">
        <v>103</v>
      </c>
      <c r="C31" s="125"/>
      <c r="D31" s="202"/>
      <c r="E31" s="215">
        <v>1</v>
      </c>
      <c r="F31" s="216">
        <v>50</v>
      </c>
      <c r="G31" s="216">
        <f>+E31*F31</f>
        <v>50</v>
      </c>
      <c r="H31" s="211"/>
    </row>
    <row r="32" spans="1:8">
      <c r="A32" s="208"/>
      <c r="B32" s="215"/>
      <c r="C32" s="125"/>
      <c r="D32" s="202"/>
      <c r="E32" s="215"/>
      <c r="F32" s="216"/>
      <c r="G32" s="216">
        <f>+E32*F32</f>
        <v>0</v>
      </c>
      <c r="H32" s="211"/>
    </row>
    <row r="33" spans="1:8" ht="15.75" thickBot="1">
      <c r="A33" s="208"/>
      <c r="B33" s="215"/>
      <c r="C33" s="125"/>
      <c r="D33" s="202"/>
      <c r="E33" s="215"/>
      <c r="F33" s="216"/>
      <c r="G33" s="216">
        <f>+E33*F33</f>
        <v>0</v>
      </c>
      <c r="H33" s="211"/>
    </row>
    <row r="34" spans="1:8" ht="15.75" thickBot="1">
      <c r="A34" s="208"/>
      <c r="B34" s="125"/>
      <c r="C34" s="125"/>
      <c r="D34" s="202"/>
      <c r="E34" s="125"/>
      <c r="F34" s="218" t="s">
        <v>77</v>
      </c>
      <c r="G34" s="219">
        <f>SUM(G31:G33)</f>
        <v>50</v>
      </c>
      <c r="H34" s="211"/>
    </row>
    <row r="35" spans="1:8" ht="15.75" thickBot="1">
      <c r="A35" s="208"/>
      <c r="B35" s="125"/>
      <c r="C35" s="125"/>
      <c r="D35" s="202"/>
      <c r="E35" s="125"/>
      <c r="F35" s="203"/>
      <c r="G35" s="203"/>
      <c r="H35" s="211"/>
    </row>
    <row r="36" spans="1:8" ht="15.75" thickBot="1">
      <c r="A36" s="208"/>
      <c r="B36" s="125"/>
      <c r="C36" s="125"/>
      <c r="D36" s="202"/>
      <c r="E36" s="125"/>
      <c r="F36" s="218" t="s">
        <v>87</v>
      </c>
      <c r="G36" s="219">
        <f>+G17+G23+G34+G28</f>
        <v>220000.00000393653</v>
      </c>
      <c r="H36" s="211"/>
    </row>
    <row r="37" spans="1:8">
      <c r="A37" s="223"/>
      <c r="B37" s="224"/>
      <c r="C37" s="224"/>
      <c r="D37" s="225"/>
      <c r="E37" s="224"/>
      <c r="F37" s="226"/>
      <c r="G37" s="224"/>
      <c r="H37" s="227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38"/>
  <sheetViews>
    <sheetView topLeftCell="A25" workbookViewId="0">
      <selection activeCell="I38" sqref="I38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4.5703125" customWidth="1"/>
    <col min="5" max="5" width="5" customWidth="1"/>
    <col min="6" max="7" width="10.85546875" customWidth="1"/>
    <col min="8" max="8" width="1.42578125" customWidth="1"/>
  </cols>
  <sheetData>
    <row r="1" spans="1:8">
      <c r="A1" s="125"/>
      <c r="B1" s="125"/>
      <c r="C1" s="125"/>
      <c r="D1" s="202"/>
      <c r="E1" s="125"/>
      <c r="F1" s="203"/>
      <c r="G1" s="125"/>
      <c r="H1" s="125"/>
    </row>
    <row r="2" spans="1:8">
      <c r="A2" s="204"/>
      <c r="B2" s="162" t="s">
        <v>72</v>
      </c>
      <c r="C2" s="205"/>
      <c r="D2" s="205"/>
      <c r="E2" s="205"/>
      <c r="F2" s="206"/>
      <c r="G2" s="205"/>
      <c r="H2" s="207"/>
    </row>
    <row r="3" spans="1:8">
      <c r="A3" s="208"/>
      <c r="B3" s="167"/>
      <c r="C3" s="209"/>
      <c r="D3" s="202"/>
      <c r="E3" s="209"/>
      <c r="F3" s="210"/>
      <c r="G3" s="209"/>
      <c r="H3" s="211"/>
    </row>
    <row r="4" spans="1:8">
      <c r="A4" s="208"/>
      <c r="B4" s="153" t="s">
        <v>249</v>
      </c>
      <c r="C4" s="209"/>
      <c r="D4" s="202"/>
      <c r="E4" s="209"/>
      <c r="F4" s="210"/>
      <c r="G4" s="209"/>
      <c r="H4" s="211"/>
    </row>
    <row r="5" spans="1:8">
      <c r="A5" s="208"/>
      <c r="B5" s="228" t="s">
        <v>241</v>
      </c>
      <c r="C5" s="209"/>
      <c r="D5" s="202"/>
      <c r="E5" s="209"/>
      <c r="F5" s="210"/>
      <c r="G5" s="209"/>
      <c r="H5" s="211"/>
    </row>
    <row r="6" spans="1:8">
      <c r="A6" s="208"/>
      <c r="B6" s="125"/>
      <c r="C6" s="125"/>
      <c r="D6" s="202"/>
      <c r="E6" s="125"/>
      <c r="F6" s="203"/>
      <c r="G6" s="125"/>
      <c r="H6" s="211"/>
    </row>
    <row r="7" spans="1:8">
      <c r="A7" s="208"/>
      <c r="B7" s="212" t="s">
        <v>74</v>
      </c>
      <c r="C7" s="125"/>
      <c r="D7" s="213" t="s">
        <v>75</v>
      </c>
      <c r="E7" s="213" t="s">
        <v>71</v>
      </c>
      <c r="F7" s="214" t="s">
        <v>70</v>
      </c>
      <c r="G7" s="213" t="s">
        <v>76</v>
      </c>
      <c r="H7" s="211"/>
    </row>
    <row r="8" spans="1:8">
      <c r="A8" s="208"/>
      <c r="B8" s="215" t="s">
        <v>232</v>
      </c>
      <c r="C8" s="125"/>
      <c r="D8" s="213" t="s">
        <v>182</v>
      </c>
      <c r="E8" s="215">
        <v>1</v>
      </c>
      <c r="F8" s="216">
        <v>1300</v>
      </c>
      <c r="G8" s="216">
        <f t="shared" ref="G8:G14" si="0">+E8*F8</f>
        <v>1300</v>
      </c>
      <c r="H8" s="211"/>
    </row>
    <row r="9" spans="1:8">
      <c r="A9" s="208"/>
      <c r="B9" s="215" t="s">
        <v>244</v>
      </c>
      <c r="C9" s="125"/>
      <c r="D9" s="213" t="s">
        <v>182</v>
      </c>
      <c r="E9" s="230">
        <v>1</v>
      </c>
      <c r="F9" s="216">
        <v>41900</v>
      </c>
      <c r="G9" s="216">
        <f t="shared" si="0"/>
        <v>41900</v>
      </c>
      <c r="H9" s="211"/>
    </row>
    <row r="10" spans="1:8">
      <c r="A10" s="208"/>
      <c r="B10" s="215" t="s">
        <v>230</v>
      </c>
      <c r="C10" s="125"/>
      <c r="D10" s="213" t="s">
        <v>16</v>
      </c>
      <c r="E10" s="215">
        <v>12</v>
      </c>
      <c r="F10" s="216">
        <v>1767</v>
      </c>
      <c r="G10" s="216">
        <f t="shared" si="0"/>
        <v>21204</v>
      </c>
      <c r="H10" s="211"/>
    </row>
    <row r="11" spans="1:8">
      <c r="A11" s="208"/>
      <c r="B11" s="215" t="s">
        <v>245</v>
      </c>
      <c r="C11" s="125"/>
      <c r="D11" s="213" t="s">
        <v>16</v>
      </c>
      <c r="E11" s="215">
        <v>24.5</v>
      </c>
      <c r="F11" s="216">
        <v>2100</v>
      </c>
      <c r="G11" s="216">
        <f t="shared" si="0"/>
        <v>51450</v>
      </c>
      <c r="H11" s="211"/>
    </row>
    <row r="12" spans="1:8">
      <c r="A12" s="208"/>
      <c r="B12" s="215" t="s">
        <v>246</v>
      </c>
      <c r="C12" s="125"/>
      <c r="D12" s="213" t="s">
        <v>17</v>
      </c>
      <c r="E12" s="215">
        <v>2</v>
      </c>
      <c r="F12" s="216">
        <v>1000</v>
      </c>
      <c r="G12" s="216">
        <f t="shared" si="0"/>
        <v>2000</v>
      </c>
      <c r="H12" s="211"/>
    </row>
    <row r="13" spans="1:8">
      <c r="A13" s="208"/>
      <c r="B13" s="215" t="s">
        <v>247</v>
      </c>
      <c r="C13" s="125"/>
      <c r="D13" s="213" t="s">
        <v>17</v>
      </c>
      <c r="E13" s="215">
        <v>1</v>
      </c>
      <c r="F13" s="216">
        <v>500</v>
      </c>
      <c r="G13" s="216">
        <f t="shared" si="0"/>
        <v>500</v>
      </c>
      <c r="H13" s="211"/>
    </row>
    <row r="14" spans="1:8">
      <c r="A14" s="208"/>
      <c r="B14" s="215" t="s">
        <v>248</v>
      </c>
      <c r="C14" s="215"/>
      <c r="D14" s="213" t="s">
        <v>222</v>
      </c>
      <c r="E14" s="215">
        <v>1</v>
      </c>
      <c r="F14" s="216">
        <v>650</v>
      </c>
      <c r="G14" s="216">
        <f t="shared" si="0"/>
        <v>650</v>
      </c>
      <c r="H14" s="211"/>
    </row>
    <row r="15" spans="1:8" ht="15.75" thickBot="1">
      <c r="A15" s="208"/>
      <c r="B15" s="215"/>
      <c r="C15" s="215"/>
      <c r="D15" s="213"/>
      <c r="E15" s="215"/>
      <c r="F15" s="216"/>
      <c r="G15" s="216"/>
      <c r="H15" s="211"/>
    </row>
    <row r="16" spans="1:8" ht="15.75" thickBot="1">
      <c r="A16" s="208"/>
      <c r="B16" s="125"/>
      <c r="C16" s="125"/>
      <c r="D16" s="202"/>
      <c r="E16" s="125"/>
      <c r="F16" s="218" t="s">
        <v>77</v>
      </c>
      <c r="G16" s="219">
        <f>SUM(G8:G15)</f>
        <v>119004</v>
      </c>
      <c r="H16" s="211"/>
    </row>
    <row r="17" spans="1:8">
      <c r="A17" s="208"/>
      <c r="B17" s="125"/>
      <c r="C17" s="125"/>
      <c r="D17" s="202"/>
      <c r="E17" s="125"/>
      <c r="F17" s="218"/>
      <c r="G17" s="203"/>
      <c r="H17" s="211"/>
    </row>
    <row r="18" spans="1:8">
      <c r="A18" s="208"/>
      <c r="B18" s="212" t="s">
        <v>78</v>
      </c>
      <c r="C18" s="209"/>
      <c r="D18" s="213" t="s">
        <v>79</v>
      </c>
      <c r="E18" s="213"/>
      <c r="F18" s="220" t="s">
        <v>80</v>
      </c>
      <c r="G18" s="214" t="s">
        <v>76</v>
      </c>
      <c r="H18" s="211"/>
    </row>
    <row r="19" spans="1:8">
      <c r="A19" s="208"/>
      <c r="B19" s="215" t="s">
        <v>225</v>
      </c>
      <c r="C19" s="125"/>
      <c r="D19" s="229">
        <v>6.6474950986980224</v>
      </c>
      <c r="E19" s="221"/>
      <c r="F19" s="222">
        <f>+'M.O.'!E4</f>
        <v>67666.666666666672</v>
      </c>
      <c r="G19" s="216">
        <f>+F19/D19</f>
        <v>10179.272893321855</v>
      </c>
      <c r="H19" s="211"/>
    </row>
    <row r="20" spans="1:8">
      <c r="A20" s="208"/>
      <c r="B20" s="215" t="s">
        <v>239</v>
      </c>
      <c r="C20" s="125"/>
      <c r="D20" s="229">
        <f>+D19</f>
        <v>6.6474950986980224</v>
      </c>
      <c r="E20" s="221"/>
      <c r="F20" s="222">
        <f>+'M.O.'!E46</f>
        <v>38666.666666666664</v>
      </c>
      <c r="G20" s="216">
        <f>+F20/D20</f>
        <v>5816.7273676124878</v>
      </c>
      <c r="H20" s="211"/>
    </row>
    <row r="21" spans="1:8" ht="15.75" thickBot="1">
      <c r="A21" s="208"/>
      <c r="B21" s="215"/>
      <c r="C21" s="125"/>
      <c r="D21" s="213"/>
      <c r="E21" s="221"/>
      <c r="F21" s="222"/>
      <c r="G21" s="216">
        <v>0</v>
      </c>
      <c r="H21" s="211"/>
    </row>
    <row r="22" spans="1:8" ht="15.75" thickBot="1">
      <c r="A22" s="208"/>
      <c r="B22" s="125"/>
      <c r="C22" s="125"/>
      <c r="D22" s="202"/>
      <c r="E22" s="125"/>
      <c r="F22" s="218" t="s">
        <v>77</v>
      </c>
      <c r="G22" s="219">
        <f>SUM(G19:G21)</f>
        <v>15996.000260934343</v>
      </c>
      <c r="H22" s="211"/>
    </row>
    <row r="23" spans="1:8">
      <c r="A23" s="208"/>
      <c r="B23" s="125"/>
      <c r="C23" s="125"/>
      <c r="D23" s="202"/>
      <c r="E23" s="125"/>
      <c r="F23" s="203"/>
      <c r="G23" s="203"/>
      <c r="H23" s="211"/>
    </row>
    <row r="24" spans="1:8">
      <c r="A24" s="208"/>
      <c r="B24" s="215" t="s">
        <v>83</v>
      </c>
      <c r="C24" s="125"/>
      <c r="D24" s="202"/>
      <c r="E24" s="213" t="s">
        <v>79</v>
      </c>
      <c r="F24" s="214" t="s">
        <v>84</v>
      </c>
      <c r="G24" s="214" t="s">
        <v>76</v>
      </c>
      <c r="H24" s="211"/>
    </row>
    <row r="25" spans="1:8">
      <c r="A25" s="208"/>
      <c r="B25" s="215" t="s">
        <v>85</v>
      </c>
      <c r="C25" s="125"/>
      <c r="D25" s="202"/>
      <c r="E25" s="215">
        <v>1</v>
      </c>
      <c r="F25" s="216">
        <v>500</v>
      </c>
      <c r="G25" s="216">
        <f>+F25/E25</f>
        <v>500</v>
      </c>
      <c r="H25" s="211"/>
    </row>
    <row r="26" spans="1:8">
      <c r="A26" s="208"/>
      <c r="B26" s="215"/>
      <c r="C26" s="125"/>
      <c r="D26" s="202"/>
      <c r="E26" s="215"/>
      <c r="F26" s="216"/>
      <c r="G26" s="216">
        <v>0</v>
      </c>
      <c r="H26" s="211"/>
    </row>
    <row r="27" spans="1:8">
      <c r="A27" s="208"/>
      <c r="B27" s="215"/>
      <c r="C27" s="125"/>
      <c r="D27" s="202"/>
      <c r="E27" s="215"/>
      <c r="F27" s="216"/>
      <c r="G27" s="216">
        <v>0</v>
      </c>
      <c r="H27" s="211"/>
    </row>
    <row r="28" spans="1:8" ht="15.75" thickBot="1">
      <c r="A28" s="208"/>
      <c r="B28" s="215"/>
      <c r="C28" s="125"/>
      <c r="D28" s="202"/>
      <c r="E28" s="215"/>
      <c r="F28" s="216"/>
      <c r="G28" s="216">
        <v>0</v>
      </c>
      <c r="H28" s="211"/>
    </row>
    <row r="29" spans="1:8" ht="15.75" thickBot="1">
      <c r="A29" s="208"/>
      <c r="B29" s="125"/>
      <c r="C29" s="125"/>
      <c r="D29" s="202"/>
      <c r="E29" s="125"/>
      <c r="F29" s="218" t="s">
        <v>77</v>
      </c>
      <c r="G29" s="219">
        <f>SUM(G25:G28)</f>
        <v>500</v>
      </c>
      <c r="H29" s="211"/>
    </row>
    <row r="30" spans="1:8">
      <c r="A30" s="208"/>
      <c r="B30" s="125"/>
      <c r="C30" s="125"/>
      <c r="D30" s="202"/>
      <c r="E30" s="125"/>
      <c r="F30" s="203"/>
      <c r="G30" s="203"/>
      <c r="H30" s="211"/>
    </row>
    <row r="31" spans="1:8">
      <c r="A31" s="208"/>
      <c r="B31" s="215" t="s">
        <v>86</v>
      </c>
      <c r="C31" s="125"/>
      <c r="D31" s="202"/>
      <c r="E31" s="213" t="s">
        <v>71</v>
      </c>
      <c r="F31" s="214" t="s">
        <v>84</v>
      </c>
      <c r="G31" s="214" t="s">
        <v>76</v>
      </c>
      <c r="H31" s="211"/>
    </row>
    <row r="32" spans="1:8">
      <c r="A32" s="208"/>
      <c r="B32" s="215" t="s">
        <v>103</v>
      </c>
      <c r="C32" s="125"/>
      <c r="D32" s="202"/>
      <c r="E32" s="215">
        <v>1</v>
      </c>
      <c r="F32" s="216">
        <f>+'[4]Salida luces'!F26</f>
        <v>500</v>
      </c>
      <c r="G32" s="216">
        <f>+E32*F32</f>
        <v>500</v>
      </c>
      <c r="H32" s="211"/>
    </row>
    <row r="33" spans="1:8">
      <c r="A33" s="208"/>
      <c r="B33" s="215"/>
      <c r="C33" s="125"/>
      <c r="D33" s="202"/>
      <c r="E33" s="215"/>
      <c r="F33" s="216"/>
      <c r="G33" s="216">
        <f>+E33*F33</f>
        <v>0</v>
      </c>
      <c r="H33" s="211"/>
    </row>
    <row r="34" spans="1:8" ht="15.75" thickBot="1">
      <c r="A34" s="208"/>
      <c r="B34" s="215"/>
      <c r="C34" s="125"/>
      <c r="D34" s="202"/>
      <c r="E34" s="215"/>
      <c r="F34" s="216"/>
      <c r="G34" s="216">
        <f>+E34*F34</f>
        <v>0</v>
      </c>
      <c r="H34" s="211"/>
    </row>
    <row r="35" spans="1:8" ht="15.75" thickBot="1">
      <c r="A35" s="208"/>
      <c r="B35" s="125"/>
      <c r="C35" s="125"/>
      <c r="D35" s="202"/>
      <c r="E35" s="125"/>
      <c r="F35" s="218" t="s">
        <v>77</v>
      </c>
      <c r="G35" s="219">
        <f>SUM(G32:G34)</f>
        <v>500</v>
      </c>
      <c r="H35" s="211"/>
    </row>
    <row r="36" spans="1:8" ht="15.75" thickBot="1">
      <c r="A36" s="208"/>
      <c r="B36" s="125"/>
      <c r="C36" s="125"/>
      <c r="D36" s="202"/>
      <c r="E36" s="125"/>
      <c r="F36" s="203"/>
      <c r="G36" s="203"/>
      <c r="H36" s="211"/>
    </row>
    <row r="37" spans="1:8" ht="15.75" thickBot="1">
      <c r="A37" s="208"/>
      <c r="B37" s="125"/>
      <c r="C37" s="125"/>
      <c r="D37" s="202"/>
      <c r="E37" s="125"/>
      <c r="F37" s="218" t="s">
        <v>87</v>
      </c>
      <c r="G37" s="219">
        <f>+G16+G22+G35+G29</f>
        <v>136000.00026093435</v>
      </c>
      <c r="H37" s="211"/>
    </row>
    <row r="38" spans="1:8">
      <c r="A38" s="223"/>
      <c r="B38" s="224"/>
      <c r="C38" s="224"/>
      <c r="D38" s="225"/>
      <c r="E38" s="224"/>
      <c r="F38" s="226"/>
      <c r="G38" s="224"/>
      <c r="H38" s="22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36"/>
  <sheetViews>
    <sheetView topLeftCell="A25" workbookViewId="0">
      <selection activeCell="F21" sqref="F21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4.5703125" customWidth="1"/>
    <col min="5" max="5" width="6.7109375" customWidth="1"/>
    <col min="6" max="7" width="10.85546875" customWidth="1"/>
    <col min="8" max="8" width="1.42578125" customWidth="1"/>
  </cols>
  <sheetData>
    <row r="1" spans="1:8">
      <c r="A1" s="125"/>
      <c r="B1" s="125"/>
      <c r="C1" s="125"/>
      <c r="D1" s="202"/>
      <c r="E1" s="125"/>
      <c r="F1" s="203"/>
      <c r="G1" s="125"/>
      <c r="H1" s="125"/>
    </row>
    <row r="2" spans="1:8">
      <c r="A2" s="204"/>
      <c r="B2" s="162" t="s">
        <v>72</v>
      </c>
      <c r="C2" s="205"/>
      <c r="D2" s="205"/>
      <c r="E2" s="205"/>
      <c r="F2" s="206"/>
      <c r="G2" s="205"/>
      <c r="H2" s="207"/>
    </row>
    <row r="3" spans="1:8">
      <c r="A3" s="208"/>
      <c r="B3" s="167"/>
      <c r="C3" s="209"/>
      <c r="D3" s="202"/>
      <c r="E3" s="209"/>
      <c r="F3" s="210"/>
      <c r="G3" s="209"/>
      <c r="H3" s="211"/>
    </row>
    <row r="4" spans="1:8">
      <c r="A4" s="208"/>
      <c r="B4" s="153" t="s">
        <v>242</v>
      </c>
      <c r="C4" s="209"/>
      <c r="D4" s="202"/>
      <c r="E4" s="209"/>
      <c r="F4" s="210"/>
      <c r="G4" s="209"/>
      <c r="H4" s="211"/>
    </row>
    <row r="5" spans="1:8">
      <c r="A5" s="208"/>
      <c r="B5" s="228" t="s">
        <v>241</v>
      </c>
      <c r="C5" s="209"/>
      <c r="D5" s="202"/>
      <c r="E5" s="209"/>
      <c r="F5" s="210"/>
      <c r="G5" s="209"/>
      <c r="H5" s="211"/>
    </row>
    <row r="6" spans="1:8">
      <c r="A6" s="208"/>
      <c r="B6" s="125"/>
      <c r="C6" s="125"/>
      <c r="D6" s="202"/>
      <c r="E6" s="125"/>
      <c r="F6" s="203"/>
      <c r="G6" s="125"/>
      <c r="H6" s="211"/>
    </row>
    <row r="7" spans="1:8">
      <c r="A7" s="208"/>
      <c r="B7" s="212" t="s">
        <v>74</v>
      </c>
      <c r="C7" s="125"/>
      <c r="D7" s="213" t="s">
        <v>75</v>
      </c>
      <c r="E7" s="213" t="s">
        <v>71</v>
      </c>
      <c r="F7" s="214" t="s">
        <v>70</v>
      </c>
      <c r="G7" s="213" t="s">
        <v>76</v>
      </c>
      <c r="H7" s="211"/>
    </row>
    <row r="8" spans="1:8">
      <c r="A8" s="208"/>
      <c r="B8" s="215" t="s">
        <v>229</v>
      </c>
      <c r="C8" s="125"/>
      <c r="D8" s="213" t="s">
        <v>17</v>
      </c>
      <c r="E8" s="215">
        <v>1</v>
      </c>
      <c r="F8" s="216">
        <v>2300</v>
      </c>
      <c r="G8" s="216">
        <f t="shared" ref="G8:G15" si="0">+E8*F8</f>
        <v>2300</v>
      </c>
      <c r="H8" s="211"/>
    </row>
    <row r="9" spans="1:8">
      <c r="A9" s="208"/>
      <c r="B9" s="215" t="s">
        <v>230</v>
      </c>
      <c r="C9" s="125"/>
      <c r="D9" s="213" t="s">
        <v>16</v>
      </c>
      <c r="E9" s="217">
        <v>6</v>
      </c>
      <c r="F9" s="216">
        <v>1767</v>
      </c>
      <c r="G9" s="216">
        <f t="shared" si="0"/>
        <v>10602</v>
      </c>
      <c r="H9" s="211"/>
    </row>
    <row r="10" spans="1:8">
      <c r="A10" s="208"/>
      <c r="B10" s="215" t="s">
        <v>231</v>
      </c>
      <c r="C10" s="125"/>
      <c r="D10" s="213" t="s">
        <v>17</v>
      </c>
      <c r="E10" s="215">
        <v>1</v>
      </c>
      <c r="F10" s="216">
        <v>500</v>
      </c>
      <c r="G10" s="216">
        <f t="shared" si="0"/>
        <v>500</v>
      </c>
      <c r="H10" s="211"/>
    </row>
    <row r="11" spans="1:8">
      <c r="A11" s="208"/>
      <c r="B11" s="215" t="s">
        <v>232</v>
      </c>
      <c r="C11" s="125"/>
      <c r="D11" s="213" t="s">
        <v>17</v>
      </c>
      <c r="E11" s="215">
        <v>1</v>
      </c>
      <c r="F11" s="216">
        <v>1300</v>
      </c>
      <c r="G11" s="216">
        <f t="shared" si="0"/>
        <v>1300</v>
      </c>
      <c r="H11" s="211"/>
    </row>
    <row r="12" spans="1:8">
      <c r="A12" s="208"/>
      <c r="B12" s="215" t="s">
        <v>243</v>
      </c>
      <c r="C12" s="125"/>
      <c r="D12" s="213" t="s">
        <v>17</v>
      </c>
      <c r="E12" s="215">
        <v>1</v>
      </c>
      <c r="F12" s="216">
        <v>22900</v>
      </c>
      <c r="G12" s="216">
        <f t="shared" si="0"/>
        <v>22900</v>
      </c>
      <c r="H12" s="211"/>
    </row>
    <row r="13" spans="1:8">
      <c r="A13" s="208"/>
      <c r="B13" s="215" t="s">
        <v>234</v>
      </c>
      <c r="C13" s="125"/>
      <c r="D13" s="213" t="s">
        <v>16</v>
      </c>
      <c r="E13" s="215">
        <v>12</v>
      </c>
      <c r="F13" s="216">
        <v>2100</v>
      </c>
      <c r="G13" s="216">
        <f t="shared" si="0"/>
        <v>25200</v>
      </c>
      <c r="H13" s="211"/>
    </row>
    <row r="14" spans="1:8">
      <c r="A14" s="208"/>
      <c r="B14" s="215" t="s">
        <v>221</v>
      </c>
      <c r="C14" s="215"/>
      <c r="D14" s="213" t="s">
        <v>236</v>
      </c>
      <c r="E14" s="215">
        <v>1</v>
      </c>
      <c r="F14" s="216">
        <v>650</v>
      </c>
      <c r="G14" s="216">
        <f t="shared" si="0"/>
        <v>650</v>
      </c>
      <c r="H14" s="211"/>
    </row>
    <row r="15" spans="1:8" ht="15.75" thickBot="1">
      <c r="A15" s="208"/>
      <c r="B15" s="215" t="s">
        <v>237</v>
      </c>
      <c r="C15" s="215"/>
      <c r="D15" s="213" t="s">
        <v>17</v>
      </c>
      <c r="E15" s="215">
        <v>0.1</v>
      </c>
      <c r="F15" s="216">
        <v>1000</v>
      </c>
      <c r="G15" s="216">
        <f t="shared" si="0"/>
        <v>100</v>
      </c>
      <c r="H15" s="211"/>
    </row>
    <row r="16" spans="1:8" ht="15.75" thickBot="1">
      <c r="A16" s="208"/>
      <c r="B16" s="125"/>
      <c r="C16" s="125"/>
      <c r="D16" s="202"/>
      <c r="E16" s="125"/>
      <c r="F16" s="218" t="s">
        <v>77</v>
      </c>
      <c r="G16" s="219">
        <f>SUM(G8:G15)</f>
        <v>63552</v>
      </c>
      <c r="H16" s="211"/>
    </row>
    <row r="17" spans="1:8">
      <c r="A17" s="208"/>
      <c r="B17" s="125"/>
      <c r="C17" s="125"/>
      <c r="D17" s="202"/>
      <c r="E17" s="125"/>
      <c r="F17" s="218"/>
      <c r="G17" s="203"/>
      <c r="H17" s="211"/>
    </row>
    <row r="18" spans="1:8">
      <c r="A18" s="208"/>
      <c r="B18" s="212" t="s">
        <v>78</v>
      </c>
      <c r="C18" s="209"/>
      <c r="D18" s="213" t="s">
        <v>79</v>
      </c>
      <c r="E18" s="213"/>
      <c r="F18" s="220" t="s">
        <v>80</v>
      </c>
      <c r="G18" s="214" t="s">
        <v>76</v>
      </c>
      <c r="H18" s="211"/>
    </row>
    <row r="19" spans="1:8">
      <c r="A19" s="208"/>
      <c r="B19" s="215" t="s">
        <v>238</v>
      </c>
      <c r="C19" s="125"/>
      <c r="D19" s="229">
        <v>2.3533751394177789</v>
      </c>
      <c r="E19" s="221"/>
      <c r="F19" s="222">
        <f>+'M.O.'!E4</f>
        <v>67666.666666666672</v>
      </c>
      <c r="G19" s="216">
        <f>+F19/D19</f>
        <v>28753.030289683138</v>
      </c>
      <c r="H19" s="211"/>
    </row>
    <row r="20" spans="1:8">
      <c r="A20" s="208"/>
      <c r="B20" s="215" t="s">
        <v>239</v>
      </c>
      <c r="C20" s="125"/>
      <c r="D20" s="229">
        <f>+D19</f>
        <v>2.3533751394177789</v>
      </c>
      <c r="E20" s="221"/>
      <c r="F20" s="222">
        <f>+'M.O.'!E46</f>
        <v>38666.666666666664</v>
      </c>
      <c r="G20" s="216">
        <f>+F20/D20</f>
        <v>16430.303022676075</v>
      </c>
      <c r="H20" s="211"/>
    </row>
    <row r="21" spans="1:8" ht="15.75" thickBot="1">
      <c r="A21" s="208"/>
      <c r="B21" s="215"/>
      <c r="C21" s="125"/>
      <c r="D21" s="213"/>
      <c r="E21" s="221"/>
      <c r="F21" s="222"/>
      <c r="G21" s="216">
        <v>0</v>
      </c>
      <c r="H21" s="211"/>
    </row>
    <row r="22" spans="1:8" ht="15.75" thickBot="1">
      <c r="A22" s="208"/>
      <c r="B22" s="125"/>
      <c r="C22" s="125"/>
      <c r="D22" s="202"/>
      <c r="E22" s="125"/>
      <c r="F22" s="218" t="s">
        <v>77</v>
      </c>
      <c r="G22" s="219">
        <f>SUM(G19:G21)</f>
        <v>45183.333312359217</v>
      </c>
      <c r="H22" s="211"/>
    </row>
    <row r="23" spans="1:8">
      <c r="A23" s="208"/>
      <c r="B23" s="125"/>
      <c r="C23" s="125"/>
      <c r="D23" s="202"/>
      <c r="E23" s="125"/>
      <c r="F23" s="203"/>
      <c r="G23" s="203"/>
      <c r="H23" s="211"/>
    </row>
    <row r="24" spans="1:8">
      <c r="A24" s="208"/>
      <c r="B24" s="215" t="s">
        <v>83</v>
      </c>
      <c r="C24" s="125"/>
      <c r="D24" s="202"/>
      <c r="E24" s="213" t="s">
        <v>79</v>
      </c>
      <c r="F24" s="214" t="s">
        <v>84</v>
      </c>
      <c r="G24" s="214" t="s">
        <v>76</v>
      </c>
      <c r="H24" s="211"/>
    </row>
    <row r="25" spans="1:8">
      <c r="A25" s="208"/>
      <c r="B25" s="215" t="s">
        <v>85</v>
      </c>
      <c r="C25" s="125"/>
      <c r="D25" s="202"/>
      <c r="E25" s="215">
        <v>1.2024289958980625</v>
      </c>
      <c r="F25" s="216">
        <v>198</v>
      </c>
      <c r="G25" s="216">
        <f>+F25/E25</f>
        <v>164.6666877424384</v>
      </c>
      <c r="H25" s="211"/>
    </row>
    <row r="26" spans="1:8" ht="15.75" thickBot="1">
      <c r="A26" s="208"/>
      <c r="B26" s="215"/>
      <c r="C26" s="125"/>
      <c r="D26" s="202"/>
      <c r="E26" s="215"/>
      <c r="F26" s="216"/>
      <c r="G26" s="216">
        <v>0</v>
      </c>
      <c r="H26" s="211"/>
    </row>
    <row r="27" spans="1:8" ht="15.75" thickBot="1">
      <c r="A27" s="208"/>
      <c r="B27" s="125"/>
      <c r="C27" s="125"/>
      <c r="D27" s="202"/>
      <c r="E27" s="125"/>
      <c r="F27" s="218" t="s">
        <v>77</v>
      </c>
      <c r="G27" s="219">
        <f>SUM(G25:G26)</f>
        <v>164.6666877424384</v>
      </c>
      <c r="H27" s="211"/>
    </row>
    <row r="28" spans="1:8">
      <c r="A28" s="208"/>
      <c r="B28" s="125"/>
      <c r="C28" s="125"/>
      <c r="D28" s="202"/>
      <c r="E28" s="125"/>
      <c r="F28" s="203"/>
      <c r="G28" s="203"/>
      <c r="H28" s="211"/>
    </row>
    <row r="29" spans="1:8">
      <c r="A29" s="208"/>
      <c r="B29" s="215" t="s">
        <v>86</v>
      </c>
      <c r="C29" s="125"/>
      <c r="D29" s="202"/>
      <c r="E29" s="213" t="s">
        <v>71</v>
      </c>
      <c r="F29" s="214" t="s">
        <v>84</v>
      </c>
      <c r="G29" s="214" t="s">
        <v>76</v>
      </c>
      <c r="H29" s="211"/>
    </row>
    <row r="30" spans="1:8">
      <c r="A30" s="208"/>
      <c r="B30" s="215" t="s">
        <v>103</v>
      </c>
      <c r="C30" s="125"/>
      <c r="D30" s="202"/>
      <c r="E30" s="215">
        <v>1</v>
      </c>
      <c r="F30" s="216">
        <v>100</v>
      </c>
      <c r="G30" s="216">
        <f>+E30*F30</f>
        <v>100</v>
      </c>
      <c r="H30" s="211"/>
    </row>
    <row r="31" spans="1:8">
      <c r="A31" s="208"/>
      <c r="B31" s="215"/>
      <c r="C31" s="125"/>
      <c r="D31" s="202"/>
      <c r="E31" s="215"/>
      <c r="F31" s="216"/>
      <c r="G31" s="216">
        <f>+E31*F31</f>
        <v>0</v>
      </c>
      <c r="H31" s="211"/>
    </row>
    <row r="32" spans="1:8" ht="15.75" thickBot="1">
      <c r="A32" s="208"/>
      <c r="B32" s="215"/>
      <c r="C32" s="125"/>
      <c r="D32" s="202"/>
      <c r="E32" s="215"/>
      <c r="F32" s="216"/>
      <c r="G32" s="216">
        <f>+E32*F32</f>
        <v>0</v>
      </c>
      <c r="H32" s="211"/>
    </row>
    <row r="33" spans="1:10" ht="15.75" thickBot="1">
      <c r="A33" s="208"/>
      <c r="B33" s="125"/>
      <c r="C33" s="125"/>
      <c r="D33" s="202"/>
      <c r="E33" s="125"/>
      <c r="F33" s="218" t="s">
        <v>77</v>
      </c>
      <c r="G33" s="219">
        <f>SUM(G30:G32)</f>
        <v>100</v>
      </c>
      <c r="H33" s="211"/>
    </row>
    <row r="34" spans="1:10" ht="15.75" thickBot="1">
      <c r="A34" s="208"/>
      <c r="B34" s="125"/>
      <c r="C34" s="125"/>
      <c r="D34" s="202"/>
      <c r="E34" s="125"/>
      <c r="F34" s="203"/>
      <c r="G34" s="203"/>
      <c r="H34" s="211"/>
    </row>
    <row r="35" spans="1:10" ht="15.75" thickBot="1">
      <c r="A35" s="208"/>
      <c r="B35" s="125"/>
      <c r="C35" s="125"/>
      <c r="D35" s="202"/>
      <c r="E35" s="125"/>
      <c r="F35" s="218" t="s">
        <v>87</v>
      </c>
      <c r="G35" s="219">
        <f>+G16+G22+G33+G27</f>
        <v>109000.00000010166</v>
      </c>
      <c r="H35" s="211"/>
      <c r="J35" s="144"/>
    </row>
    <row r="36" spans="1:10">
      <c r="A36" s="223"/>
      <c r="B36" s="224"/>
      <c r="C36" s="224"/>
      <c r="D36" s="225"/>
      <c r="E36" s="224"/>
      <c r="F36" s="226"/>
      <c r="G36" s="224"/>
      <c r="H36" s="22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83"/>
  <sheetViews>
    <sheetView topLeftCell="A61" zoomScale="80" zoomScaleNormal="80" workbookViewId="0">
      <selection activeCell="D23" sqref="D23"/>
    </sheetView>
  </sheetViews>
  <sheetFormatPr baseColWidth="10" defaultRowHeight="15"/>
  <cols>
    <col min="1" max="1" width="26.28515625" customWidth="1"/>
    <col min="2" max="2" width="5.7109375" customWidth="1"/>
    <col min="3" max="3" width="6.28515625" customWidth="1"/>
    <col min="4" max="4" width="17.5703125" customWidth="1"/>
    <col min="5" max="5" width="14.5703125" customWidth="1"/>
  </cols>
  <sheetData>
    <row r="3" spans="1:5">
      <c r="D3" s="118" t="s">
        <v>123</v>
      </c>
      <c r="E3" s="118" t="s">
        <v>124</v>
      </c>
    </row>
    <row r="4" spans="1:5">
      <c r="A4" s="119" t="s">
        <v>125</v>
      </c>
      <c r="B4" s="120"/>
      <c r="C4" s="120"/>
      <c r="D4" s="121">
        <f>1160000*1.75</f>
        <v>2030000</v>
      </c>
      <c r="E4" s="130">
        <f>+D4/30</f>
        <v>67666.666666666672</v>
      </c>
    </row>
    <row r="5" spans="1:5">
      <c r="A5" s="118" t="s">
        <v>126</v>
      </c>
      <c r="D5" s="122">
        <v>0</v>
      </c>
      <c r="E5" s="122">
        <f>+D5/30</f>
        <v>0</v>
      </c>
    </row>
    <row r="6" spans="1:5">
      <c r="E6" s="122"/>
    </row>
    <row r="7" spans="1:5">
      <c r="A7" s="118" t="s">
        <v>127</v>
      </c>
      <c r="E7" s="122"/>
    </row>
    <row r="8" spans="1:5">
      <c r="A8" t="s">
        <v>128</v>
      </c>
      <c r="D8" s="122">
        <f>+D4/2</f>
        <v>1015000</v>
      </c>
      <c r="E8" s="122">
        <f>+D8/360</f>
        <v>2819.4444444444443</v>
      </c>
    </row>
    <row r="9" spans="1:5">
      <c r="A9" t="s">
        <v>129</v>
      </c>
      <c r="D9" s="123">
        <f>+D4</f>
        <v>2030000</v>
      </c>
      <c r="E9" s="122">
        <f>+D9/360</f>
        <v>5638.8888888888887</v>
      </c>
    </row>
    <row r="10" spans="1:5">
      <c r="A10" t="s">
        <v>130</v>
      </c>
      <c r="D10" s="123">
        <f>+D4</f>
        <v>2030000</v>
      </c>
      <c r="E10" s="122">
        <f>+D10/360</f>
        <v>5638.8888888888887</v>
      </c>
    </row>
    <row r="11" spans="1:5">
      <c r="A11" t="s">
        <v>131</v>
      </c>
      <c r="D11" s="122">
        <f>+D4*12*0.01</f>
        <v>243600</v>
      </c>
      <c r="E11" s="122">
        <f>+D11/360</f>
        <v>676.66666666666663</v>
      </c>
    </row>
    <row r="13" spans="1:5">
      <c r="A13" s="118" t="s">
        <v>132</v>
      </c>
    </row>
    <row r="14" spans="1:5">
      <c r="A14" t="s">
        <v>133</v>
      </c>
      <c r="D14" s="122">
        <f>+D4*0.12</f>
        <v>243600</v>
      </c>
      <c r="E14" s="122">
        <f>+D14/30</f>
        <v>8120</v>
      </c>
    </row>
    <row r="15" spans="1:5">
      <c r="A15" t="s">
        <v>134</v>
      </c>
      <c r="D15" s="122">
        <f>+D4*0.02436</f>
        <v>49450.8</v>
      </c>
      <c r="E15" s="122">
        <f>+D15/30</f>
        <v>1648.3600000000001</v>
      </c>
    </row>
    <row r="16" spans="1:5">
      <c r="A16" t="s">
        <v>135</v>
      </c>
      <c r="D16" s="122">
        <f>+D4*0.11625</f>
        <v>235987.5</v>
      </c>
      <c r="E16" s="122">
        <f>+D16/30</f>
        <v>7866.25</v>
      </c>
    </row>
    <row r="18" spans="1:5">
      <c r="A18" s="118" t="s">
        <v>136</v>
      </c>
    </row>
    <row r="19" spans="1:5">
      <c r="A19" t="s">
        <v>137</v>
      </c>
      <c r="D19" s="122">
        <f>+D4*0.02</f>
        <v>40600</v>
      </c>
      <c r="E19" s="122">
        <f>+D19/30</f>
        <v>1353.3333333333333</v>
      </c>
    </row>
    <row r="20" spans="1:5">
      <c r="A20" t="s">
        <v>138</v>
      </c>
      <c r="D20" s="122">
        <f>+D4*0.03</f>
        <v>60900</v>
      </c>
      <c r="E20" s="122">
        <f>+D20/30</f>
        <v>2030</v>
      </c>
    </row>
    <row r="21" spans="1:5">
      <c r="A21" t="s">
        <v>139</v>
      </c>
      <c r="D21" s="122">
        <f>+D4*0.04</f>
        <v>81200</v>
      </c>
      <c r="E21" s="122">
        <f>+D21/30</f>
        <v>2706.6666666666665</v>
      </c>
    </row>
    <row r="23" spans="1:5">
      <c r="A23" s="118" t="s">
        <v>140</v>
      </c>
    </row>
    <row r="24" spans="1:5">
      <c r="A24" s="124" t="s">
        <v>141</v>
      </c>
      <c r="D24" s="122">
        <f>+(D4/30/8)*1.25*5</f>
        <v>52864.583333333343</v>
      </c>
      <c r="E24" s="122">
        <f>+D24/30</f>
        <v>1762.1527777777781</v>
      </c>
    </row>
    <row r="25" spans="1:5">
      <c r="A25" s="125" t="s">
        <v>142</v>
      </c>
      <c r="D25" s="122">
        <f>+(D4/30/8)*1.35*2</f>
        <v>22837.500000000004</v>
      </c>
      <c r="E25" s="122">
        <f>+D25/30</f>
        <v>761.25000000000011</v>
      </c>
    </row>
    <row r="26" spans="1:5">
      <c r="A26" s="124" t="s">
        <v>143</v>
      </c>
      <c r="D26" s="122">
        <f>+(D4/30/8)*1.75*5</f>
        <v>74010.416666666672</v>
      </c>
      <c r="E26" s="122">
        <f>+D26/30</f>
        <v>2467.0138888888891</v>
      </c>
    </row>
    <row r="27" spans="1:5">
      <c r="A27" s="125" t="s">
        <v>144</v>
      </c>
      <c r="D27" s="122">
        <f>(D4/30)*4</f>
        <v>270666.66666666669</v>
      </c>
      <c r="E27" s="122">
        <f>+D27/30</f>
        <v>9022.2222222222226</v>
      </c>
    </row>
    <row r="28" spans="1:5">
      <c r="A28" s="124"/>
      <c r="D28" s="122"/>
      <c r="E28" s="122"/>
    </row>
    <row r="29" spans="1:5">
      <c r="A29" s="118" t="s">
        <v>145</v>
      </c>
      <c r="D29" s="122"/>
      <c r="E29" s="122"/>
    </row>
    <row r="30" spans="1:5">
      <c r="A30" s="124" t="s">
        <v>146</v>
      </c>
      <c r="D30" s="126">
        <f>10800*1*1.16</f>
        <v>12528</v>
      </c>
      <c r="E30" s="126">
        <f>+D30/360</f>
        <v>34.799999999999997</v>
      </c>
    </row>
    <row r="31" spans="1:5">
      <c r="A31" s="125" t="s">
        <v>147</v>
      </c>
      <c r="D31" s="126">
        <f>27500*6</f>
        <v>165000</v>
      </c>
      <c r="E31" s="126">
        <f>+D31/360</f>
        <v>458.33333333333331</v>
      </c>
    </row>
    <row r="32" spans="1:5">
      <c r="A32" s="125" t="s">
        <v>148</v>
      </c>
      <c r="D32" s="126">
        <f>23900*6</f>
        <v>143400</v>
      </c>
      <c r="E32" s="126">
        <f t="shared" ref="E32:E39" si="0">+D32/360</f>
        <v>398.33333333333331</v>
      </c>
    </row>
    <row r="33" spans="1:5">
      <c r="A33" s="124" t="s">
        <v>149</v>
      </c>
      <c r="D33" s="126">
        <f>16500*2*1.16</f>
        <v>38280</v>
      </c>
      <c r="E33" s="126">
        <f t="shared" si="0"/>
        <v>106.33333333333333</v>
      </c>
    </row>
    <row r="34" spans="1:5">
      <c r="A34" s="125" t="s">
        <v>150</v>
      </c>
      <c r="D34" s="126">
        <f>44000*2*1.16</f>
        <v>102080</v>
      </c>
      <c r="E34" s="126">
        <f t="shared" si="0"/>
        <v>283.55555555555554</v>
      </c>
    </row>
    <row r="35" spans="1:5">
      <c r="A35" s="124" t="s">
        <v>151</v>
      </c>
      <c r="D35" s="126">
        <f>3*7000*2*1.16</f>
        <v>48720</v>
      </c>
      <c r="E35" s="126">
        <f t="shared" si="0"/>
        <v>135.33333333333334</v>
      </c>
    </row>
    <row r="36" spans="1:5">
      <c r="A36" t="s">
        <v>152</v>
      </c>
      <c r="D36" s="126">
        <f>6000*12*1.16</f>
        <v>83520</v>
      </c>
      <c r="E36" s="126">
        <f t="shared" si="0"/>
        <v>232</v>
      </c>
    </row>
    <row r="37" spans="1:5">
      <c r="A37" t="s">
        <v>153</v>
      </c>
      <c r="D37" s="126">
        <f>2000*12*1.16</f>
        <v>27839.999999999996</v>
      </c>
      <c r="E37" s="126">
        <f>+D37/360</f>
        <v>77.333333333333329</v>
      </c>
    </row>
    <row r="38" spans="1:5">
      <c r="A38" t="s">
        <v>154</v>
      </c>
      <c r="D38" s="126">
        <v>38880</v>
      </c>
      <c r="E38" s="126">
        <f t="shared" si="0"/>
        <v>108</v>
      </c>
    </row>
    <row r="39" spans="1:5">
      <c r="A39" t="s">
        <v>155</v>
      </c>
      <c r="D39" s="126">
        <v>15000</v>
      </c>
      <c r="E39" s="126">
        <f t="shared" si="0"/>
        <v>41.666666666666664</v>
      </c>
    </row>
    <row r="40" spans="1:5">
      <c r="A40" t="s">
        <v>156</v>
      </c>
      <c r="D40" s="126">
        <f>1000*1.16*288/100</f>
        <v>3340.8</v>
      </c>
      <c r="E40" s="126">
        <f>+D40/360</f>
        <v>9.2800000000000011</v>
      </c>
    </row>
    <row r="41" spans="1:5">
      <c r="D41" s="123"/>
      <c r="E41" s="126"/>
    </row>
    <row r="45" spans="1:5">
      <c r="D45" s="118" t="s">
        <v>123</v>
      </c>
      <c r="E45" s="118" t="s">
        <v>124</v>
      </c>
    </row>
    <row r="46" spans="1:5">
      <c r="A46" s="119" t="s">
        <v>157</v>
      </c>
      <c r="B46" s="120"/>
      <c r="C46" s="120"/>
      <c r="D46" s="121">
        <v>1160000</v>
      </c>
      <c r="E46" s="130">
        <f>+D46/30</f>
        <v>38666.666666666664</v>
      </c>
    </row>
    <row r="47" spans="1:5">
      <c r="A47" s="118" t="s">
        <v>126</v>
      </c>
      <c r="D47" s="122">
        <f>0.12*D46</f>
        <v>139200</v>
      </c>
      <c r="E47" s="122">
        <f>+D47/30</f>
        <v>4640</v>
      </c>
    </row>
    <row r="48" spans="1:5">
      <c r="E48" s="122"/>
    </row>
    <row r="49" spans="1:5">
      <c r="A49" s="118" t="s">
        <v>127</v>
      </c>
      <c r="E49" s="122"/>
    </row>
    <row r="50" spans="1:5">
      <c r="A50" t="s">
        <v>128</v>
      </c>
      <c r="D50" s="122">
        <f>+D46/2</f>
        <v>580000</v>
      </c>
      <c r="E50" s="122">
        <f>+D50/360</f>
        <v>1611.1111111111111</v>
      </c>
    </row>
    <row r="51" spans="1:5">
      <c r="A51" t="s">
        <v>129</v>
      </c>
      <c r="D51" s="123">
        <f>+D46</f>
        <v>1160000</v>
      </c>
      <c r="E51" s="122">
        <f>+D51/360</f>
        <v>3222.2222222222222</v>
      </c>
    </row>
    <row r="52" spans="1:5">
      <c r="A52" t="s">
        <v>130</v>
      </c>
      <c r="D52" s="123">
        <f>+D46</f>
        <v>1160000</v>
      </c>
      <c r="E52" s="122">
        <f>+D52/360</f>
        <v>3222.2222222222222</v>
      </c>
    </row>
    <row r="53" spans="1:5">
      <c r="A53" t="s">
        <v>131</v>
      </c>
      <c r="D53" s="122">
        <f>+D46*12*0.01</f>
        <v>139200</v>
      </c>
      <c r="E53" s="122">
        <f>+D53/360</f>
        <v>386.66666666666669</v>
      </c>
    </row>
    <row r="55" spans="1:5">
      <c r="A55" s="118" t="s">
        <v>132</v>
      </c>
    </row>
    <row r="56" spans="1:5">
      <c r="A56" t="s">
        <v>133</v>
      </c>
      <c r="D56" s="122">
        <f>+D46*0.085</f>
        <v>98600</v>
      </c>
      <c r="E56" s="122">
        <f>+D56/30</f>
        <v>3286.6666666666665</v>
      </c>
    </row>
    <row r="57" spans="1:5">
      <c r="A57" t="s">
        <v>134</v>
      </c>
      <c r="D57" s="122">
        <f>+D46*0.0435</f>
        <v>50460</v>
      </c>
      <c r="E57" s="122">
        <f>+D57/30</f>
        <v>1682</v>
      </c>
    </row>
    <row r="58" spans="1:5">
      <c r="A58" t="s">
        <v>135</v>
      </c>
      <c r="D58" s="122">
        <f>+D46*0.12</f>
        <v>139200</v>
      </c>
      <c r="E58" s="122">
        <f>+D58/30</f>
        <v>4640</v>
      </c>
    </row>
    <row r="60" spans="1:5">
      <c r="A60" s="118" t="s">
        <v>136</v>
      </c>
    </row>
    <row r="61" spans="1:5">
      <c r="A61" t="s">
        <v>137</v>
      </c>
      <c r="D61" s="122">
        <f>+D46*0.02</f>
        <v>23200</v>
      </c>
      <c r="E61" s="122">
        <f>+D61/30</f>
        <v>773.33333333333337</v>
      </c>
    </row>
    <row r="62" spans="1:5">
      <c r="A62" t="s">
        <v>138</v>
      </c>
      <c r="D62" s="122">
        <f>+D46*0.03</f>
        <v>34800</v>
      </c>
      <c r="E62" s="122">
        <f>+D62/30</f>
        <v>1160</v>
      </c>
    </row>
    <row r="63" spans="1:5">
      <c r="A63" t="s">
        <v>139</v>
      </c>
      <c r="D63" s="122">
        <f>+D46*0.04</f>
        <v>46400</v>
      </c>
      <c r="E63" s="122">
        <f>+D63/30</f>
        <v>1546.6666666666667</v>
      </c>
    </row>
    <row r="65" spans="1:5">
      <c r="A65" s="118" t="s">
        <v>140</v>
      </c>
    </row>
    <row r="66" spans="1:5">
      <c r="A66" s="124" t="s">
        <v>141</v>
      </c>
      <c r="D66" s="122">
        <f>+(D46/30/8)*1.25*5</f>
        <v>30208.333333333328</v>
      </c>
      <c r="E66" s="122">
        <f>+D66/30</f>
        <v>1006.9444444444442</v>
      </c>
    </row>
    <row r="67" spans="1:5">
      <c r="A67" s="125" t="s">
        <v>142</v>
      </c>
      <c r="D67" s="122">
        <f>+(D46/30/8)*1.35*2</f>
        <v>13050</v>
      </c>
      <c r="E67" s="122">
        <f>+D67/30</f>
        <v>435</v>
      </c>
    </row>
    <row r="68" spans="1:5">
      <c r="A68" s="124" t="s">
        <v>143</v>
      </c>
      <c r="D68" s="122">
        <f>+(D46/30/8)*1.75*5</f>
        <v>42291.666666666657</v>
      </c>
      <c r="E68" s="122">
        <f>+D68/30</f>
        <v>1409.7222222222219</v>
      </c>
    </row>
    <row r="69" spans="1:5">
      <c r="A69" s="125" t="s">
        <v>144</v>
      </c>
      <c r="D69" s="122">
        <f>(D46/30)*4</f>
        <v>154666.66666666666</v>
      </c>
      <c r="E69" s="122">
        <f>+D69/30</f>
        <v>5155.5555555555557</v>
      </c>
    </row>
    <row r="70" spans="1:5">
      <c r="A70" s="124"/>
      <c r="D70" s="122"/>
      <c r="E70" s="122"/>
    </row>
    <row r="71" spans="1:5">
      <c r="A71" s="118" t="s">
        <v>158</v>
      </c>
      <c r="D71" s="122"/>
      <c r="E71" s="122"/>
    </row>
    <row r="72" spans="1:5">
      <c r="A72" s="124" t="s">
        <v>146</v>
      </c>
      <c r="D72" s="126">
        <f>10800*1*1.16</f>
        <v>12528</v>
      </c>
      <c r="E72" s="126">
        <f>+D72/360</f>
        <v>34.799999999999997</v>
      </c>
    </row>
    <row r="73" spans="1:5">
      <c r="A73" s="125" t="s">
        <v>147</v>
      </c>
      <c r="D73" s="126">
        <f>27500*6</f>
        <v>165000</v>
      </c>
      <c r="E73" s="126">
        <f>+D73/360</f>
        <v>458.33333333333331</v>
      </c>
    </row>
    <row r="74" spans="1:5">
      <c r="A74" s="125" t="s">
        <v>148</v>
      </c>
      <c r="D74" s="126">
        <f>23900*6</f>
        <v>143400</v>
      </c>
      <c r="E74" s="126">
        <f t="shared" ref="E74:E81" si="1">+D74/360</f>
        <v>398.33333333333331</v>
      </c>
    </row>
    <row r="75" spans="1:5">
      <c r="A75" s="124" t="s">
        <v>149</v>
      </c>
      <c r="D75" s="126">
        <f>16500*2*1.16</f>
        <v>38280</v>
      </c>
      <c r="E75" s="126">
        <f t="shared" si="1"/>
        <v>106.33333333333333</v>
      </c>
    </row>
    <row r="76" spans="1:5">
      <c r="A76" s="125" t="s">
        <v>150</v>
      </c>
      <c r="D76" s="126">
        <f>44000*2*1.16</f>
        <v>102080</v>
      </c>
      <c r="E76" s="126">
        <f t="shared" si="1"/>
        <v>283.55555555555554</v>
      </c>
    </row>
    <row r="77" spans="1:5">
      <c r="A77" s="124" t="s">
        <v>151</v>
      </c>
      <c r="D77" s="126">
        <f>3*7000*2*1.16</f>
        <v>48720</v>
      </c>
      <c r="E77" s="126">
        <f t="shared" si="1"/>
        <v>135.33333333333334</v>
      </c>
    </row>
    <row r="78" spans="1:5">
      <c r="A78" t="s">
        <v>152</v>
      </c>
      <c r="D78" s="126">
        <f>6000*12*1.16</f>
        <v>83520</v>
      </c>
      <c r="E78" s="126">
        <f t="shared" si="1"/>
        <v>232</v>
      </c>
    </row>
    <row r="79" spans="1:5">
      <c r="A79" t="s">
        <v>153</v>
      </c>
      <c r="D79" s="126">
        <f>2000*12*1.16</f>
        <v>27839.999999999996</v>
      </c>
      <c r="E79" s="126">
        <f>+D79/360</f>
        <v>77.333333333333329</v>
      </c>
    </row>
    <row r="80" spans="1:5">
      <c r="A80" t="s">
        <v>154</v>
      </c>
      <c r="D80" s="126">
        <v>38880</v>
      </c>
      <c r="E80" s="126">
        <f>+D80/360</f>
        <v>108</v>
      </c>
    </row>
    <row r="81" spans="1:5">
      <c r="A81" t="s">
        <v>155</v>
      </c>
      <c r="D81" s="126">
        <v>15000</v>
      </c>
      <c r="E81" s="126">
        <f t="shared" si="1"/>
        <v>41.666666666666664</v>
      </c>
    </row>
    <row r="82" spans="1:5">
      <c r="A82" t="s">
        <v>156</v>
      </c>
      <c r="D82" s="126">
        <f>1000*1.16*288/100</f>
        <v>3340.8</v>
      </c>
      <c r="E82" s="126">
        <f>+D82/360</f>
        <v>9.2800000000000011</v>
      </c>
    </row>
    <row r="83" spans="1:5">
      <c r="D83" s="123"/>
      <c r="E83" s="126"/>
    </row>
  </sheetData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37"/>
  <sheetViews>
    <sheetView topLeftCell="A25" workbookViewId="0">
      <selection activeCell="F41" sqref="F40:F41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4.5703125" customWidth="1"/>
    <col min="5" max="5" width="6.7109375" customWidth="1"/>
    <col min="6" max="7" width="10.85546875" customWidth="1"/>
    <col min="8" max="8" width="1.42578125" customWidth="1"/>
  </cols>
  <sheetData>
    <row r="1" spans="1:8">
      <c r="A1" s="125"/>
      <c r="B1" s="125"/>
      <c r="C1" s="125"/>
      <c r="D1" s="202"/>
      <c r="E1" s="125"/>
      <c r="F1" s="203"/>
      <c r="G1" s="125"/>
      <c r="H1" s="125"/>
    </row>
    <row r="2" spans="1:8">
      <c r="A2" s="204"/>
      <c r="B2" s="162" t="s">
        <v>72</v>
      </c>
      <c r="C2" s="205"/>
      <c r="D2" s="205"/>
      <c r="E2" s="205"/>
      <c r="F2" s="206"/>
      <c r="G2" s="205"/>
      <c r="H2" s="207"/>
    </row>
    <row r="3" spans="1:8">
      <c r="A3" s="208"/>
      <c r="B3" s="167"/>
      <c r="C3" s="209"/>
      <c r="D3" s="202"/>
      <c r="E3" s="209"/>
      <c r="F3" s="210"/>
      <c r="G3" s="209"/>
      <c r="H3" s="211"/>
    </row>
    <row r="4" spans="1:8">
      <c r="A4" s="208"/>
      <c r="B4" s="153" t="s">
        <v>240</v>
      </c>
      <c r="C4" s="209"/>
      <c r="D4" s="202"/>
      <c r="E4" s="209"/>
      <c r="F4" s="210"/>
      <c r="G4" s="209"/>
      <c r="H4" s="211"/>
    </row>
    <row r="5" spans="1:8">
      <c r="A5" s="208"/>
      <c r="B5" s="228" t="s">
        <v>241</v>
      </c>
      <c r="C5" s="209"/>
      <c r="D5" s="202"/>
      <c r="E5" s="209"/>
      <c r="F5" s="210"/>
      <c r="G5" s="209"/>
      <c r="H5" s="211"/>
    </row>
    <row r="6" spans="1:8">
      <c r="A6" s="208"/>
      <c r="B6" s="125"/>
      <c r="C6" s="125"/>
      <c r="D6" s="202"/>
      <c r="E6" s="125"/>
      <c r="F6" s="203"/>
      <c r="G6" s="125"/>
      <c r="H6" s="211"/>
    </row>
    <row r="7" spans="1:8">
      <c r="A7" s="208"/>
      <c r="B7" s="212" t="s">
        <v>74</v>
      </c>
      <c r="C7" s="125"/>
      <c r="D7" s="213" t="s">
        <v>75</v>
      </c>
      <c r="E7" s="213" t="s">
        <v>71</v>
      </c>
      <c r="F7" s="214" t="s">
        <v>70</v>
      </c>
      <c r="G7" s="213" t="s">
        <v>76</v>
      </c>
      <c r="H7" s="211"/>
    </row>
    <row r="8" spans="1:8">
      <c r="A8" s="208"/>
      <c r="B8" s="215" t="s">
        <v>229</v>
      </c>
      <c r="C8" s="125"/>
      <c r="D8" s="213" t="s">
        <v>17</v>
      </c>
      <c r="E8" s="215">
        <v>1</v>
      </c>
      <c r="F8" s="216">
        <v>2300</v>
      </c>
      <c r="G8" s="216">
        <f t="shared" ref="G8:G16" si="0">+E8*F8</f>
        <v>2300</v>
      </c>
      <c r="H8" s="211"/>
    </row>
    <row r="9" spans="1:8">
      <c r="A9" s="208"/>
      <c r="B9" s="215" t="s">
        <v>230</v>
      </c>
      <c r="C9" s="125"/>
      <c r="D9" s="213" t="s">
        <v>16</v>
      </c>
      <c r="E9" s="217">
        <v>6</v>
      </c>
      <c r="F9" s="216">
        <v>1767</v>
      </c>
      <c r="G9" s="216">
        <f t="shared" si="0"/>
        <v>10602</v>
      </c>
      <c r="H9" s="211"/>
    </row>
    <row r="10" spans="1:8">
      <c r="A10" s="208"/>
      <c r="B10" s="215" t="s">
        <v>231</v>
      </c>
      <c r="C10" s="125"/>
      <c r="D10" s="213" t="s">
        <v>17</v>
      </c>
      <c r="E10" s="215">
        <v>1</v>
      </c>
      <c r="F10" s="216">
        <v>500</v>
      </c>
      <c r="G10" s="216">
        <f t="shared" si="0"/>
        <v>500</v>
      </c>
      <c r="H10" s="211"/>
    </row>
    <row r="11" spans="1:8">
      <c r="A11" s="208"/>
      <c r="B11" s="215" t="s">
        <v>232</v>
      </c>
      <c r="C11" s="125"/>
      <c r="D11" s="213" t="s">
        <v>17</v>
      </c>
      <c r="E11" s="215">
        <v>1</v>
      </c>
      <c r="F11" s="216">
        <v>1300</v>
      </c>
      <c r="G11" s="216">
        <f t="shared" si="0"/>
        <v>1300</v>
      </c>
      <c r="H11" s="211"/>
    </row>
    <row r="12" spans="1:8">
      <c r="A12" s="208"/>
      <c r="B12" s="215" t="s">
        <v>233</v>
      </c>
      <c r="C12" s="125"/>
      <c r="D12" s="213" t="s">
        <v>17</v>
      </c>
      <c r="E12" s="215">
        <v>1</v>
      </c>
      <c r="F12" s="216">
        <v>9000</v>
      </c>
      <c r="G12" s="216">
        <f t="shared" si="0"/>
        <v>9000</v>
      </c>
      <c r="H12" s="211"/>
    </row>
    <row r="13" spans="1:8">
      <c r="A13" s="208"/>
      <c r="B13" s="215" t="s">
        <v>234</v>
      </c>
      <c r="C13" s="125"/>
      <c r="D13" s="213" t="s">
        <v>16</v>
      </c>
      <c r="E13" s="215">
        <v>12</v>
      </c>
      <c r="F13" s="216">
        <v>2100</v>
      </c>
      <c r="G13" s="216">
        <f t="shared" si="0"/>
        <v>25200</v>
      </c>
      <c r="H13" s="211"/>
    </row>
    <row r="14" spans="1:8">
      <c r="A14" s="208"/>
      <c r="B14" s="215" t="s">
        <v>235</v>
      </c>
      <c r="C14" s="125"/>
      <c r="D14" s="213" t="s">
        <v>17</v>
      </c>
      <c r="E14" s="215">
        <v>1</v>
      </c>
      <c r="F14" s="216">
        <v>3500</v>
      </c>
      <c r="G14" s="216">
        <f t="shared" si="0"/>
        <v>3500</v>
      </c>
      <c r="H14" s="211"/>
    </row>
    <row r="15" spans="1:8">
      <c r="A15" s="208"/>
      <c r="B15" s="215" t="s">
        <v>221</v>
      </c>
      <c r="C15" s="215"/>
      <c r="D15" s="213" t="s">
        <v>236</v>
      </c>
      <c r="E15" s="215">
        <v>1</v>
      </c>
      <c r="F15" s="216">
        <v>650</v>
      </c>
      <c r="G15" s="216">
        <f t="shared" si="0"/>
        <v>650</v>
      </c>
      <c r="H15" s="211"/>
    </row>
    <row r="16" spans="1:8" ht="15.75" thickBot="1">
      <c r="A16" s="208"/>
      <c r="B16" s="215" t="s">
        <v>237</v>
      </c>
      <c r="C16" s="215"/>
      <c r="D16" s="213" t="s">
        <v>17</v>
      </c>
      <c r="E16" s="215">
        <v>0.1</v>
      </c>
      <c r="F16" s="216">
        <v>1000</v>
      </c>
      <c r="G16" s="216">
        <f t="shared" si="0"/>
        <v>100</v>
      </c>
      <c r="H16" s="211"/>
    </row>
    <row r="17" spans="1:8" ht="15.75" thickBot="1">
      <c r="A17" s="208"/>
      <c r="B17" s="125"/>
      <c r="C17" s="125"/>
      <c r="D17" s="202"/>
      <c r="E17" s="125"/>
      <c r="F17" s="218" t="s">
        <v>77</v>
      </c>
      <c r="G17" s="219">
        <f>SUM(G8:G16)</f>
        <v>53152</v>
      </c>
      <c r="H17" s="211"/>
    </row>
    <row r="18" spans="1:8">
      <c r="A18" s="208"/>
      <c r="B18" s="125"/>
      <c r="C18" s="125"/>
      <c r="D18" s="202"/>
      <c r="E18" s="125"/>
      <c r="F18" s="218"/>
      <c r="G18" s="203"/>
      <c r="H18" s="211"/>
    </row>
    <row r="19" spans="1:8">
      <c r="A19" s="208"/>
      <c r="B19" s="212" t="s">
        <v>78</v>
      </c>
      <c r="C19" s="209"/>
      <c r="D19" s="213" t="s">
        <v>79</v>
      </c>
      <c r="E19" s="213"/>
      <c r="F19" s="220" t="s">
        <v>80</v>
      </c>
      <c r="G19" s="214" t="s">
        <v>76</v>
      </c>
      <c r="H19" s="211"/>
    </row>
    <row r="20" spans="1:8">
      <c r="A20" s="208"/>
      <c r="B20" s="215" t="s">
        <v>238</v>
      </c>
      <c r="C20" s="125"/>
      <c r="D20" s="213">
        <v>4</v>
      </c>
      <c r="E20" s="221"/>
      <c r="F20" s="222">
        <f>+'M.O.'!E4</f>
        <v>67666.666666666672</v>
      </c>
      <c r="G20" s="216">
        <f>+F20/D20</f>
        <v>16916.666666666668</v>
      </c>
      <c r="H20" s="211"/>
    </row>
    <row r="21" spans="1:8">
      <c r="A21" s="208"/>
      <c r="B21" s="215" t="s">
        <v>239</v>
      </c>
      <c r="C21" s="125"/>
      <c r="D21" s="213">
        <v>4</v>
      </c>
      <c r="E21" s="221"/>
      <c r="F21" s="222">
        <f>+'M.O.'!E46</f>
        <v>38666.666666666664</v>
      </c>
      <c r="G21" s="216">
        <f>+F21/D21</f>
        <v>9666.6666666666661</v>
      </c>
      <c r="H21" s="211"/>
    </row>
    <row r="22" spans="1:8" ht="15.75" thickBot="1">
      <c r="A22" s="208"/>
      <c r="B22" s="215"/>
      <c r="C22" s="125"/>
      <c r="D22" s="213"/>
      <c r="E22" s="221"/>
      <c r="F22" s="222"/>
      <c r="G22" s="216">
        <v>0</v>
      </c>
      <c r="H22" s="211"/>
    </row>
    <row r="23" spans="1:8" ht="15.75" thickBot="1">
      <c r="A23" s="208"/>
      <c r="B23" s="125"/>
      <c r="C23" s="125"/>
      <c r="D23" s="202"/>
      <c r="E23" s="125"/>
      <c r="F23" s="218" t="s">
        <v>77</v>
      </c>
      <c r="G23" s="219">
        <f>SUM(G20:G22)</f>
        <v>26583.333333333336</v>
      </c>
      <c r="H23" s="211"/>
    </row>
    <row r="24" spans="1:8">
      <c r="A24" s="208"/>
      <c r="B24" s="125"/>
      <c r="C24" s="125"/>
      <c r="D24" s="202"/>
      <c r="E24" s="125"/>
      <c r="F24" s="203"/>
      <c r="G24" s="203"/>
      <c r="H24" s="211"/>
    </row>
    <row r="25" spans="1:8">
      <c r="A25" s="208"/>
      <c r="B25" s="215" t="s">
        <v>83</v>
      </c>
      <c r="C25" s="125"/>
      <c r="D25" s="202"/>
      <c r="E25" s="213" t="s">
        <v>79</v>
      </c>
      <c r="F25" s="214" t="s">
        <v>84</v>
      </c>
      <c r="G25" s="214" t="s">
        <v>76</v>
      </c>
      <c r="H25" s="211"/>
    </row>
    <row r="26" spans="1:8">
      <c r="A26" s="208"/>
      <c r="B26" s="215" t="s">
        <v>85</v>
      </c>
      <c r="C26" s="125"/>
      <c r="D26" s="202"/>
      <c r="E26" s="215">
        <v>1.2024289958980625</v>
      </c>
      <c r="F26" s="216">
        <v>198</v>
      </c>
      <c r="G26" s="216">
        <f>+F26/E26</f>
        <v>164.6666877424384</v>
      </c>
      <c r="H26" s="211"/>
    </row>
    <row r="27" spans="1:8" ht="15.75" thickBot="1">
      <c r="A27" s="208"/>
      <c r="B27" s="215"/>
      <c r="C27" s="125"/>
      <c r="D27" s="202"/>
      <c r="E27" s="215"/>
      <c r="F27" s="216"/>
      <c r="G27" s="216">
        <v>0</v>
      </c>
      <c r="H27" s="211"/>
    </row>
    <row r="28" spans="1:8" ht="15.75" thickBot="1">
      <c r="A28" s="208"/>
      <c r="B28" s="125"/>
      <c r="C28" s="125"/>
      <c r="D28" s="202"/>
      <c r="E28" s="125"/>
      <c r="F28" s="218" t="s">
        <v>77</v>
      </c>
      <c r="G28" s="219">
        <f>SUM(G26:G27)</f>
        <v>164.6666877424384</v>
      </c>
      <c r="H28" s="211"/>
    </row>
    <row r="29" spans="1:8">
      <c r="A29" s="208"/>
      <c r="B29" s="125"/>
      <c r="C29" s="125"/>
      <c r="D29" s="202"/>
      <c r="E29" s="125"/>
      <c r="F29" s="203"/>
      <c r="G29" s="203"/>
      <c r="H29" s="211"/>
    </row>
    <row r="30" spans="1:8">
      <c r="A30" s="208"/>
      <c r="B30" s="215" t="s">
        <v>86</v>
      </c>
      <c r="C30" s="125"/>
      <c r="D30" s="202"/>
      <c r="E30" s="213" t="s">
        <v>71</v>
      </c>
      <c r="F30" s="214" t="s">
        <v>84</v>
      </c>
      <c r="G30" s="214" t="s">
        <v>76</v>
      </c>
      <c r="H30" s="211"/>
    </row>
    <row r="31" spans="1:8">
      <c r="A31" s="208"/>
      <c r="B31" s="215" t="s">
        <v>103</v>
      </c>
      <c r="C31" s="125"/>
      <c r="D31" s="202"/>
      <c r="E31" s="215">
        <v>1</v>
      </c>
      <c r="F31" s="216">
        <v>100</v>
      </c>
      <c r="G31" s="216">
        <f>+E31*F31</f>
        <v>100</v>
      </c>
      <c r="H31" s="211"/>
    </row>
    <row r="32" spans="1:8">
      <c r="A32" s="208"/>
      <c r="B32" s="215"/>
      <c r="C32" s="125"/>
      <c r="D32" s="202"/>
      <c r="E32" s="215"/>
      <c r="F32" s="216"/>
      <c r="G32" s="216">
        <f>+E32*F32</f>
        <v>0</v>
      </c>
      <c r="H32" s="211"/>
    </row>
    <row r="33" spans="1:10" ht="15.75" thickBot="1">
      <c r="A33" s="208"/>
      <c r="B33" s="215"/>
      <c r="C33" s="125"/>
      <c r="D33" s="202"/>
      <c r="E33" s="215"/>
      <c r="F33" s="216"/>
      <c r="G33" s="216">
        <f>+E33*F33</f>
        <v>0</v>
      </c>
      <c r="H33" s="211"/>
    </row>
    <row r="34" spans="1:10" ht="15.75" thickBot="1">
      <c r="A34" s="208"/>
      <c r="B34" s="125"/>
      <c r="C34" s="125"/>
      <c r="D34" s="202"/>
      <c r="E34" s="125"/>
      <c r="F34" s="218" t="s">
        <v>77</v>
      </c>
      <c r="G34" s="219">
        <f>SUM(G31:G33)</f>
        <v>100</v>
      </c>
      <c r="H34" s="211"/>
    </row>
    <row r="35" spans="1:10" ht="15.75" thickBot="1">
      <c r="A35" s="208"/>
      <c r="B35" s="125"/>
      <c r="C35" s="125"/>
      <c r="D35" s="202"/>
      <c r="E35" s="125"/>
      <c r="F35" s="203"/>
      <c r="G35" s="203"/>
      <c r="H35" s="211"/>
    </row>
    <row r="36" spans="1:10" ht="15.75" thickBot="1">
      <c r="A36" s="208"/>
      <c r="B36" s="125"/>
      <c r="C36" s="125"/>
      <c r="D36" s="202"/>
      <c r="E36" s="125"/>
      <c r="F36" s="218" t="s">
        <v>87</v>
      </c>
      <c r="G36" s="219">
        <f>+G17+G23+G34+G28</f>
        <v>80000.000021075786</v>
      </c>
      <c r="H36" s="211"/>
      <c r="J36" s="144"/>
    </row>
    <row r="37" spans="1:10">
      <c r="A37" s="223"/>
      <c r="B37" s="224"/>
      <c r="C37" s="224"/>
      <c r="D37" s="225"/>
      <c r="E37" s="224"/>
      <c r="F37" s="226"/>
      <c r="G37" s="224"/>
      <c r="H37" s="227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3"/>
  <sheetViews>
    <sheetView workbookViewId="0">
      <selection activeCell="I9" sqref="I9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5.140625" customWidth="1"/>
    <col min="5" max="5" width="5" customWidth="1"/>
    <col min="6" max="7" width="10.85546875" customWidth="1"/>
    <col min="8" max="8" width="1.42578125" customWidth="1"/>
  </cols>
  <sheetData>
    <row r="1" spans="1:8">
      <c r="A1" s="124"/>
      <c r="B1" s="124"/>
      <c r="C1" s="124"/>
      <c r="D1" s="169"/>
      <c r="E1" s="124"/>
      <c r="F1" s="173"/>
      <c r="G1" s="124"/>
      <c r="H1" s="124"/>
    </row>
    <row r="2" spans="1:8">
      <c r="A2" s="161"/>
      <c r="B2" s="162" t="s">
        <v>72</v>
      </c>
      <c r="C2" s="163"/>
      <c r="D2" s="163"/>
      <c r="E2" s="163"/>
      <c r="F2" s="164"/>
      <c r="G2" s="163"/>
      <c r="H2" s="165"/>
    </row>
    <row r="3" spans="1:8">
      <c r="A3" s="166"/>
      <c r="B3" s="167"/>
      <c r="C3" s="168"/>
      <c r="D3" s="169"/>
      <c r="E3" s="168"/>
      <c r="F3" s="170"/>
      <c r="G3" s="168"/>
      <c r="H3" s="171"/>
    </row>
    <row r="4" spans="1:8">
      <c r="A4" s="166"/>
      <c r="B4" s="153" t="s">
        <v>227</v>
      </c>
      <c r="C4" s="168"/>
      <c r="D4" s="169"/>
      <c r="E4" s="168"/>
      <c r="F4" s="170"/>
      <c r="G4" s="168"/>
      <c r="H4" s="171"/>
    </row>
    <row r="5" spans="1:8">
      <c r="A5" s="166"/>
      <c r="B5" s="191" t="s">
        <v>218</v>
      </c>
      <c r="C5" s="168"/>
      <c r="D5" s="169"/>
      <c r="E5" s="168"/>
      <c r="F5" s="170"/>
      <c r="G5" s="168"/>
      <c r="H5" s="171"/>
    </row>
    <row r="6" spans="1:8">
      <c r="A6" s="166"/>
      <c r="B6" s="124"/>
      <c r="C6" s="124"/>
      <c r="D6" s="169"/>
      <c r="E6" s="124"/>
      <c r="F6" s="173"/>
      <c r="G6" s="124"/>
      <c r="H6" s="171"/>
    </row>
    <row r="7" spans="1:8">
      <c r="A7" s="166"/>
      <c r="B7" s="174" t="s">
        <v>74</v>
      </c>
      <c r="C7" s="124"/>
      <c r="D7" s="175" t="s">
        <v>75</v>
      </c>
      <c r="E7" s="175" t="s">
        <v>71</v>
      </c>
      <c r="F7" s="176" t="s">
        <v>70</v>
      </c>
      <c r="G7" s="175" t="s">
        <v>76</v>
      </c>
      <c r="H7" s="171"/>
    </row>
    <row r="8" spans="1:8">
      <c r="A8" s="166"/>
      <c r="B8" s="177" t="s">
        <v>219</v>
      </c>
      <c r="C8" s="124"/>
      <c r="D8" s="175" t="s">
        <v>16</v>
      </c>
      <c r="E8" s="177">
        <v>1</v>
      </c>
      <c r="F8" s="178">
        <v>2500</v>
      </c>
      <c r="G8" s="178">
        <f t="shared" ref="G8:G12" si="0">+E8*F8</f>
        <v>2500</v>
      </c>
      <c r="H8" s="171"/>
    </row>
    <row r="9" spans="1:8">
      <c r="A9" s="166"/>
      <c r="B9" s="177" t="s">
        <v>228</v>
      </c>
      <c r="C9" s="124"/>
      <c r="D9" s="175" t="s">
        <v>16</v>
      </c>
      <c r="E9" s="177">
        <v>2</v>
      </c>
      <c r="F9" s="178">
        <v>3000</v>
      </c>
      <c r="G9" s="178">
        <f t="shared" si="0"/>
        <v>6000</v>
      </c>
      <c r="H9" s="171"/>
    </row>
    <row r="10" spans="1:8">
      <c r="A10" s="166"/>
      <c r="B10" s="177" t="s">
        <v>220</v>
      </c>
      <c r="C10" s="124"/>
      <c r="D10" s="175" t="s">
        <v>17</v>
      </c>
      <c r="E10" s="177">
        <v>2</v>
      </c>
      <c r="F10" s="178">
        <v>1800</v>
      </c>
      <c r="G10" s="178">
        <f t="shared" si="0"/>
        <v>3600</v>
      </c>
      <c r="H10" s="171"/>
    </row>
    <row r="11" spans="1:8">
      <c r="A11" s="166"/>
      <c r="B11" s="177" t="s">
        <v>221</v>
      </c>
      <c r="C11" s="124"/>
      <c r="D11" s="175" t="s">
        <v>222</v>
      </c>
      <c r="E11" s="177">
        <v>1</v>
      </c>
      <c r="F11" s="178">
        <v>50</v>
      </c>
      <c r="G11" s="178">
        <f t="shared" si="0"/>
        <v>50</v>
      </c>
      <c r="H11" s="171"/>
    </row>
    <row r="12" spans="1:8" ht="15.75" thickBot="1">
      <c r="A12" s="166"/>
      <c r="B12" s="177" t="s">
        <v>223</v>
      </c>
      <c r="C12" s="124"/>
      <c r="D12" s="175" t="s">
        <v>224</v>
      </c>
      <c r="E12" s="177">
        <v>7.0000000000000001E-3</v>
      </c>
      <c r="F12" s="178">
        <f>+[4]Materiales!C172</f>
        <v>320000</v>
      </c>
      <c r="G12" s="178">
        <f t="shared" si="0"/>
        <v>2240</v>
      </c>
      <c r="H12" s="171"/>
    </row>
    <row r="13" spans="1:8" ht="15.75" thickBot="1">
      <c r="A13" s="166"/>
      <c r="B13" s="124"/>
      <c r="C13" s="124"/>
      <c r="D13" s="169"/>
      <c r="E13" s="124"/>
      <c r="F13" s="181" t="s">
        <v>77</v>
      </c>
      <c r="G13" s="182">
        <f>SUM(G8:G12)</f>
        <v>14390</v>
      </c>
      <c r="H13" s="171"/>
    </row>
    <row r="14" spans="1:8">
      <c r="A14" s="166"/>
      <c r="B14" s="124"/>
      <c r="C14" s="124"/>
      <c r="D14" s="169"/>
      <c r="E14" s="124"/>
      <c r="F14" s="181"/>
      <c r="G14" s="173"/>
      <c r="H14" s="171"/>
    </row>
    <row r="15" spans="1:8">
      <c r="A15" s="166"/>
      <c r="B15" s="174" t="s">
        <v>78</v>
      </c>
      <c r="C15" s="168"/>
      <c r="D15" s="175" t="s">
        <v>79</v>
      </c>
      <c r="E15" s="175"/>
      <c r="F15" s="183" t="s">
        <v>80</v>
      </c>
      <c r="G15" s="176" t="s">
        <v>76</v>
      </c>
      <c r="H15" s="171"/>
    </row>
    <row r="16" spans="1:8">
      <c r="A16" s="166"/>
      <c r="B16" s="177" t="s">
        <v>225</v>
      </c>
      <c r="C16" s="124"/>
      <c r="D16" s="192">
        <v>8</v>
      </c>
      <c r="E16" s="184"/>
      <c r="F16" s="185">
        <f>+'M.O.'!E4</f>
        <v>67666.666666666672</v>
      </c>
      <c r="G16" s="178">
        <f>+F16/D16</f>
        <v>8458.3333333333339</v>
      </c>
      <c r="H16" s="171"/>
    </row>
    <row r="17" spans="1:10">
      <c r="A17" s="166"/>
      <c r="B17" s="177" t="s">
        <v>91</v>
      </c>
      <c r="C17" s="124"/>
      <c r="D17" s="192">
        <f>+D16</f>
        <v>8</v>
      </c>
      <c r="E17" s="184"/>
      <c r="F17" s="185">
        <f>+'M.O.'!E46</f>
        <v>38666.666666666664</v>
      </c>
      <c r="G17" s="178">
        <f>+F17/D17</f>
        <v>4833.333333333333</v>
      </c>
      <c r="H17" s="171"/>
    </row>
    <row r="18" spans="1:10" ht="15.75" thickBot="1">
      <c r="A18" s="166"/>
      <c r="B18" s="177"/>
      <c r="C18" s="124"/>
      <c r="D18" s="175"/>
      <c r="E18" s="184"/>
      <c r="F18" s="185"/>
      <c r="G18" s="178">
        <v>0</v>
      </c>
      <c r="H18" s="171"/>
    </row>
    <row r="19" spans="1:10" ht="15.75" thickBot="1">
      <c r="A19" s="166"/>
      <c r="B19" s="124"/>
      <c r="C19" s="124"/>
      <c r="D19" s="169"/>
      <c r="E19" s="124"/>
      <c r="F19" s="181" t="s">
        <v>77</v>
      </c>
      <c r="G19" s="182">
        <f>SUM(G16:G18)</f>
        <v>13291.666666666668</v>
      </c>
      <c r="H19" s="171"/>
    </row>
    <row r="20" spans="1:10">
      <c r="A20" s="166"/>
      <c r="B20" s="124"/>
      <c r="C20" s="124"/>
      <c r="D20" s="169"/>
      <c r="E20" s="124"/>
      <c r="F20" s="173"/>
      <c r="G20" s="173"/>
      <c r="H20" s="171"/>
    </row>
    <row r="21" spans="1:10">
      <c r="A21" s="166"/>
      <c r="B21" s="177" t="s">
        <v>83</v>
      </c>
      <c r="C21" s="124"/>
      <c r="D21" s="169"/>
      <c r="E21" s="175" t="s">
        <v>79</v>
      </c>
      <c r="F21" s="176" t="s">
        <v>84</v>
      </c>
      <c r="G21" s="176" t="s">
        <v>76</v>
      </c>
      <c r="H21" s="171"/>
    </row>
    <row r="22" spans="1:10">
      <c r="A22" s="166"/>
      <c r="B22" s="177" t="s">
        <v>226</v>
      </c>
      <c r="C22" s="124"/>
      <c r="D22" s="169"/>
      <c r="E22" s="177">
        <v>1</v>
      </c>
      <c r="F22" s="178">
        <v>218</v>
      </c>
      <c r="G22" s="178">
        <f>+F22/E22</f>
        <v>218</v>
      </c>
      <c r="H22" s="171"/>
    </row>
    <row r="23" spans="1:10" ht="15.75" thickBot="1">
      <c r="A23" s="166"/>
      <c r="B23" s="177"/>
      <c r="C23" s="124"/>
      <c r="D23" s="169"/>
      <c r="E23" s="177"/>
      <c r="F23" s="178"/>
      <c r="G23" s="178">
        <v>0</v>
      </c>
      <c r="H23" s="171"/>
    </row>
    <row r="24" spans="1:10" ht="15.75" thickBot="1">
      <c r="A24" s="166"/>
      <c r="B24" s="124"/>
      <c r="C24" s="124"/>
      <c r="D24" s="169"/>
      <c r="E24" s="124"/>
      <c r="F24" s="181" t="s">
        <v>77</v>
      </c>
      <c r="G24" s="182">
        <f>SUM(G22:G23)</f>
        <v>218</v>
      </c>
      <c r="H24" s="171"/>
    </row>
    <row r="25" spans="1:10">
      <c r="A25" s="166"/>
      <c r="B25" s="124"/>
      <c r="C25" s="124"/>
      <c r="D25" s="169"/>
      <c r="E25" s="124"/>
      <c r="F25" s="173"/>
      <c r="G25" s="173"/>
      <c r="H25" s="171"/>
    </row>
    <row r="26" spans="1:10">
      <c r="A26" s="166"/>
      <c r="B26" s="177" t="s">
        <v>86</v>
      </c>
      <c r="C26" s="124"/>
      <c r="D26" s="169"/>
      <c r="E26" s="175" t="s">
        <v>71</v>
      </c>
      <c r="F26" s="176" t="s">
        <v>84</v>
      </c>
      <c r="G26" s="176" t="s">
        <v>76</v>
      </c>
      <c r="H26" s="171"/>
    </row>
    <row r="27" spans="1:10">
      <c r="A27" s="166"/>
      <c r="B27" s="177" t="s">
        <v>103</v>
      </c>
      <c r="C27" s="124"/>
      <c r="D27" s="169"/>
      <c r="E27" s="177">
        <v>1</v>
      </c>
      <c r="F27" s="178">
        <v>100</v>
      </c>
      <c r="G27" s="178">
        <f>+F27/E27</f>
        <v>100</v>
      </c>
      <c r="H27" s="171"/>
    </row>
    <row r="28" spans="1:10">
      <c r="A28" s="166"/>
      <c r="B28" s="177"/>
      <c r="C28" s="124"/>
      <c r="D28" s="169"/>
      <c r="E28" s="177"/>
      <c r="F28" s="178"/>
      <c r="G28" s="178">
        <f>+E28*F28</f>
        <v>0</v>
      </c>
      <c r="H28" s="171"/>
    </row>
    <row r="29" spans="1:10" ht="15.75" thickBot="1">
      <c r="A29" s="166"/>
      <c r="B29" s="177"/>
      <c r="C29" s="124"/>
      <c r="D29" s="169"/>
      <c r="E29" s="177"/>
      <c r="F29" s="178"/>
      <c r="G29" s="178">
        <f>+E29*F29</f>
        <v>0</v>
      </c>
      <c r="H29" s="171"/>
    </row>
    <row r="30" spans="1:10" ht="15.75" thickBot="1">
      <c r="A30" s="166"/>
      <c r="B30" s="124"/>
      <c r="C30" s="124"/>
      <c r="D30" s="169"/>
      <c r="E30" s="124"/>
      <c r="F30" s="181" t="s">
        <v>77</v>
      </c>
      <c r="G30" s="182">
        <f>SUM(G27:G29)</f>
        <v>100</v>
      </c>
      <c r="H30" s="171"/>
    </row>
    <row r="31" spans="1:10" ht="15.75" thickBot="1">
      <c r="A31" s="166"/>
      <c r="B31" s="124"/>
      <c r="C31" s="124"/>
      <c r="D31" s="169"/>
      <c r="E31" s="124"/>
      <c r="F31" s="173"/>
      <c r="G31" s="173"/>
      <c r="H31" s="171"/>
    </row>
    <row r="32" spans="1:10" ht="15.75" thickBot="1">
      <c r="A32" s="166"/>
      <c r="B32" s="124"/>
      <c r="C32" s="124"/>
      <c r="D32" s="169"/>
      <c r="E32" s="124"/>
      <c r="F32" s="181" t="s">
        <v>87</v>
      </c>
      <c r="G32" s="182">
        <f>+G13+G19+G30+G24</f>
        <v>27999.666666666668</v>
      </c>
      <c r="H32" s="171"/>
      <c r="J32">
        <v>28000</v>
      </c>
    </row>
    <row r="33" spans="1:8">
      <c r="A33" s="186"/>
      <c r="B33" s="187"/>
      <c r="C33" s="187"/>
      <c r="D33" s="188"/>
      <c r="E33" s="187"/>
      <c r="F33" s="189"/>
      <c r="G33" s="187"/>
      <c r="H33" s="190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35"/>
  <sheetViews>
    <sheetView topLeftCell="A9" workbookViewId="0">
      <selection activeCell="E4" sqref="E4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4.5703125" customWidth="1"/>
    <col min="5" max="5" width="5" customWidth="1"/>
    <col min="6" max="7" width="10.85546875" customWidth="1"/>
    <col min="8" max="8" width="1.42578125" customWidth="1"/>
  </cols>
  <sheetData>
    <row r="1" spans="1:8">
      <c r="D1" s="18"/>
    </row>
    <row r="2" spans="1:8">
      <c r="A2" s="131"/>
      <c r="B2" s="162" t="s">
        <v>209</v>
      </c>
      <c r="C2" s="133"/>
      <c r="D2" s="133"/>
      <c r="E2" s="133"/>
      <c r="F2" s="133"/>
      <c r="G2" s="133"/>
      <c r="H2" s="134"/>
    </row>
    <row r="3" spans="1:8">
      <c r="A3" s="135"/>
      <c r="B3" s="200"/>
      <c r="C3" s="137"/>
      <c r="D3" s="18"/>
      <c r="E3" s="137"/>
      <c r="F3" s="137"/>
      <c r="G3" s="137"/>
      <c r="H3" s="138"/>
    </row>
    <row r="4" spans="1:8">
      <c r="A4" s="135"/>
      <c r="B4" s="153" t="s">
        <v>343</v>
      </c>
      <c r="C4" s="137"/>
      <c r="D4" s="18"/>
      <c r="E4" s="137"/>
      <c r="F4" s="137"/>
      <c r="G4" s="137"/>
      <c r="H4" s="138"/>
    </row>
    <row r="5" spans="1:8">
      <c r="A5" s="135"/>
      <c r="B5" s="154" t="s">
        <v>204</v>
      </c>
      <c r="C5" s="137"/>
      <c r="D5" s="18"/>
      <c r="E5" s="137"/>
      <c r="F5" s="137"/>
      <c r="G5" s="137"/>
      <c r="H5" s="138"/>
    </row>
    <row r="6" spans="1:8">
      <c r="A6" s="135"/>
      <c r="D6" s="18"/>
      <c r="H6" s="138"/>
    </row>
    <row r="7" spans="1:8">
      <c r="A7" s="135"/>
      <c r="B7" s="139" t="s">
        <v>74</v>
      </c>
      <c r="D7" s="140" t="s">
        <v>75</v>
      </c>
      <c r="E7" s="140" t="s">
        <v>71</v>
      </c>
      <c r="F7" s="140" t="s">
        <v>70</v>
      </c>
      <c r="G7" s="140" t="s">
        <v>76</v>
      </c>
      <c r="H7" s="138"/>
    </row>
    <row r="8" spans="1:8">
      <c r="A8" s="135"/>
      <c r="B8" s="139" t="s">
        <v>210</v>
      </c>
      <c r="D8" s="140" t="s">
        <v>0</v>
      </c>
      <c r="E8" s="140">
        <v>1.02</v>
      </c>
      <c r="F8" s="141">
        <f>+[4]Materiales!C113</f>
        <v>38700</v>
      </c>
      <c r="G8" s="141">
        <f>+E8*F8</f>
        <v>39474</v>
      </c>
      <c r="H8" s="138"/>
    </row>
    <row r="9" spans="1:8">
      <c r="A9" s="135"/>
      <c r="B9" s="139" t="s">
        <v>211</v>
      </c>
      <c r="D9" s="140" t="s">
        <v>17</v>
      </c>
      <c r="E9" s="140">
        <v>2</v>
      </c>
      <c r="F9" s="141">
        <f>+[4]Materiales!C142</f>
        <v>269</v>
      </c>
      <c r="G9" s="141">
        <f>+E9*F9</f>
        <v>538</v>
      </c>
      <c r="H9" s="138"/>
    </row>
    <row r="10" spans="1:8">
      <c r="A10" s="135"/>
      <c r="B10" s="139" t="s">
        <v>212</v>
      </c>
      <c r="D10" s="140" t="s">
        <v>17</v>
      </c>
      <c r="E10" s="140">
        <v>2</v>
      </c>
      <c r="F10" s="141">
        <f>+[4]Materiales!C100</f>
        <v>1000</v>
      </c>
      <c r="G10" s="141">
        <f>+E10*F10</f>
        <v>2000</v>
      </c>
      <c r="H10" s="138"/>
    </row>
    <row r="11" spans="1:8">
      <c r="A11" s="135"/>
      <c r="B11" s="51" t="s">
        <v>213</v>
      </c>
      <c r="D11" s="140" t="s">
        <v>214</v>
      </c>
      <c r="E11" s="51">
        <v>3</v>
      </c>
      <c r="F11" s="141">
        <v>1700</v>
      </c>
      <c r="G11" s="141">
        <f>+E11*F11</f>
        <v>5100</v>
      </c>
      <c r="H11" s="138"/>
    </row>
    <row r="12" spans="1:8" ht="15.75" thickBot="1">
      <c r="A12" s="135"/>
      <c r="B12" s="51" t="s">
        <v>184</v>
      </c>
      <c r="D12" s="140" t="s">
        <v>94</v>
      </c>
      <c r="E12" s="51">
        <v>0.05</v>
      </c>
      <c r="F12" s="141">
        <f>+[4]Materiales!C153</f>
        <v>17800</v>
      </c>
      <c r="G12" s="141">
        <f>+E12*F12</f>
        <v>890</v>
      </c>
      <c r="H12" s="138"/>
    </row>
    <row r="13" spans="1:8" ht="15.75" thickBot="1">
      <c r="A13" s="135"/>
      <c r="D13" s="18"/>
      <c r="F13" s="142" t="s">
        <v>77</v>
      </c>
      <c r="G13" s="143">
        <f>SUM(G8:G12)</f>
        <v>48002</v>
      </c>
      <c r="H13" s="138"/>
    </row>
    <row r="14" spans="1:8">
      <c r="A14" s="135"/>
      <c r="D14" s="18"/>
      <c r="F14" s="142"/>
      <c r="G14" s="144"/>
      <c r="H14" s="138"/>
    </row>
    <row r="15" spans="1:8">
      <c r="A15" s="135"/>
      <c r="B15" s="139" t="s">
        <v>78</v>
      </c>
      <c r="C15" s="137"/>
      <c r="D15" s="140" t="s">
        <v>79</v>
      </c>
      <c r="E15" s="140"/>
      <c r="F15" s="145" t="s">
        <v>215</v>
      </c>
      <c r="G15" s="146" t="s">
        <v>76</v>
      </c>
      <c r="H15" s="138"/>
    </row>
    <row r="16" spans="1:8">
      <c r="A16" s="135"/>
      <c r="B16" s="51" t="s">
        <v>81</v>
      </c>
      <c r="D16" s="160">
        <v>11.260985082333674</v>
      </c>
      <c r="E16" s="147"/>
      <c r="F16" s="148">
        <f>+'M.O.'!E4</f>
        <v>67666.666666666672</v>
      </c>
      <c r="G16" s="141">
        <f>+F16/D16</f>
        <v>6008.9473675640238</v>
      </c>
      <c r="H16" s="138"/>
    </row>
    <row r="17" spans="1:8">
      <c r="A17" s="135"/>
      <c r="B17" s="51" t="s">
        <v>216</v>
      </c>
      <c r="D17" s="160">
        <f>+D16</f>
        <v>11.260985082333674</v>
      </c>
      <c r="E17" s="147"/>
      <c r="F17" s="148">
        <f>3*'M.O.'!E46</f>
        <v>116000</v>
      </c>
      <c r="G17" s="141">
        <f>+F17/D17</f>
        <v>10301.052630109754</v>
      </c>
      <c r="H17" s="138"/>
    </row>
    <row r="18" spans="1:8" ht="15.75" thickBot="1">
      <c r="A18" s="135"/>
      <c r="B18" s="51"/>
      <c r="D18" s="140"/>
      <c r="E18" s="147"/>
      <c r="F18" s="148"/>
      <c r="G18" s="141">
        <v>0</v>
      </c>
      <c r="H18" s="138"/>
    </row>
    <row r="19" spans="1:8" ht="15.75" thickBot="1">
      <c r="A19" s="135"/>
      <c r="D19" s="18"/>
      <c r="F19" s="142" t="s">
        <v>77</v>
      </c>
      <c r="G19" s="143">
        <f>SUM(G16:G18)</f>
        <v>16309.999997673778</v>
      </c>
      <c r="H19" s="138"/>
    </row>
    <row r="20" spans="1:8">
      <c r="A20" s="135"/>
      <c r="D20" s="18"/>
      <c r="F20" s="144"/>
      <c r="G20" s="144"/>
      <c r="H20" s="138"/>
    </row>
    <row r="21" spans="1:8">
      <c r="A21" s="135"/>
      <c r="B21" s="51" t="s">
        <v>83</v>
      </c>
      <c r="D21" s="18"/>
      <c r="E21" s="140" t="s">
        <v>79</v>
      </c>
      <c r="F21" s="146" t="s">
        <v>84</v>
      </c>
      <c r="G21" s="146" t="s">
        <v>76</v>
      </c>
      <c r="H21" s="138"/>
    </row>
    <row r="22" spans="1:8">
      <c r="A22" s="135"/>
      <c r="B22" s="51" t="s">
        <v>217</v>
      </c>
      <c r="D22" s="18"/>
      <c r="E22" s="51">
        <v>1</v>
      </c>
      <c r="F22" s="141">
        <v>1000</v>
      </c>
      <c r="G22" s="141">
        <f>+F22/E22</f>
        <v>1000</v>
      </c>
      <c r="H22" s="138"/>
    </row>
    <row r="23" spans="1:8">
      <c r="A23" s="135"/>
      <c r="B23" s="51"/>
      <c r="D23" s="18"/>
      <c r="E23" s="51"/>
      <c r="F23" s="141"/>
      <c r="G23" s="141">
        <v>0</v>
      </c>
      <c r="H23" s="138"/>
    </row>
    <row r="24" spans="1:8">
      <c r="A24" s="135"/>
      <c r="B24" s="51"/>
      <c r="D24" s="18"/>
      <c r="E24" s="51"/>
      <c r="F24" s="141"/>
      <c r="G24" s="141">
        <v>0</v>
      </c>
      <c r="H24" s="138"/>
    </row>
    <row r="25" spans="1:8" ht="15.75" thickBot="1">
      <c r="A25" s="135"/>
      <c r="B25" s="51"/>
      <c r="D25" s="18"/>
      <c r="E25" s="51"/>
      <c r="F25" s="141"/>
      <c r="G25" s="141">
        <v>0</v>
      </c>
      <c r="H25" s="138"/>
    </row>
    <row r="26" spans="1:8" ht="15.75" thickBot="1">
      <c r="A26" s="135"/>
      <c r="D26" s="18"/>
      <c r="F26" s="142" t="s">
        <v>77</v>
      </c>
      <c r="G26" s="143">
        <f>SUM(G22:G25)</f>
        <v>1000</v>
      </c>
      <c r="H26" s="138"/>
    </row>
    <row r="27" spans="1:8">
      <c r="A27" s="135"/>
      <c r="D27" s="18"/>
      <c r="F27" s="144"/>
      <c r="G27" s="144"/>
      <c r="H27" s="138"/>
    </row>
    <row r="28" spans="1:8">
      <c r="A28" s="135"/>
      <c r="B28" s="51" t="s">
        <v>86</v>
      </c>
      <c r="D28" s="18"/>
      <c r="E28" s="140" t="s">
        <v>71</v>
      </c>
      <c r="F28" s="146" t="s">
        <v>84</v>
      </c>
      <c r="G28" s="146" t="s">
        <v>76</v>
      </c>
      <c r="H28" s="138"/>
    </row>
    <row r="29" spans="1:8">
      <c r="A29" s="135"/>
      <c r="B29" s="51"/>
      <c r="D29" s="18"/>
      <c r="E29" s="51"/>
      <c r="F29" s="201"/>
      <c r="G29" s="141">
        <f>+E29*F29</f>
        <v>0</v>
      </c>
      <c r="H29" s="138"/>
    </row>
    <row r="30" spans="1:8">
      <c r="A30" s="135"/>
      <c r="B30" s="51"/>
      <c r="D30" s="18"/>
      <c r="E30" s="51"/>
      <c r="F30" s="141"/>
      <c r="G30" s="141">
        <f>+E30*F30</f>
        <v>0</v>
      </c>
      <c r="H30" s="138"/>
    </row>
    <row r="31" spans="1:8" ht="15.75" thickBot="1">
      <c r="A31" s="135"/>
      <c r="B31" s="51"/>
      <c r="D31" s="18"/>
      <c r="E31" s="51"/>
      <c r="F31" s="141"/>
      <c r="G31" s="141">
        <f>+E31*F31</f>
        <v>0</v>
      </c>
      <c r="H31" s="138"/>
    </row>
    <row r="32" spans="1:8" ht="15.75" thickBot="1">
      <c r="A32" s="135"/>
      <c r="D32" s="18"/>
      <c r="F32" s="142" t="s">
        <v>77</v>
      </c>
      <c r="G32" s="143">
        <f>SUM(G29:G31)</f>
        <v>0</v>
      </c>
      <c r="H32" s="138"/>
    </row>
    <row r="33" spans="1:8" ht="15.75" thickBot="1">
      <c r="A33" s="135"/>
      <c r="D33" s="18"/>
      <c r="F33" s="144"/>
      <c r="G33" s="144"/>
      <c r="H33" s="138"/>
    </row>
    <row r="34" spans="1:8" ht="15.75" thickBot="1">
      <c r="A34" s="135"/>
      <c r="D34" s="18"/>
      <c r="F34" s="142" t="s">
        <v>87</v>
      </c>
      <c r="G34" s="143">
        <f>+G13+G19+G32+G26</f>
        <v>65311.999997673774</v>
      </c>
      <c r="H34" s="138"/>
    </row>
    <row r="35" spans="1:8">
      <c r="A35" s="149"/>
      <c r="B35" s="150"/>
      <c r="C35" s="150"/>
      <c r="D35" s="151"/>
      <c r="E35" s="150"/>
      <c r="F35" s="150"/>
      <c r="G35" s="150"/>
      <c r="H35" s="152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34"/>
  <sheetViews>
    <sheetView topLeftCell="A4" zoomScale="110" zoomScaleNormal="110" workbookViewId="0">
      <selection activeCell="B5" sqref="B5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5.5703125" customWidth="1"/>
    <col min="5" max="5" width="6.28515625" customWidth="1"/>
    <col min="6" max="7" width="10.85546875" customWidth="1"/>
    <col min="8" max="8" width="1.42578125" customWidth="1"/>
    <col min="10" max="10" width="12.140625" bestFit="1" customWidth="1"/>
  </cols>
  <sheetData>
    <row r="1" spans="1:8">
      <c r="D1" s="18"/>
      <c r="F1" s="144"/>
    </row>
    <row r="2" spans="1:8">
      <c r="A2" s="131"/>
      <c r="B2" s="132" t="s">
        <v>72</v>
      </c>
      <c r="C2" s="133"/>
      <c r="D2" s="133"/>
      <c r="E2" s="133"/>
      <c r="F2" s="155"/>
      <c r="G2" s="133"/>
      <c r="H2" s="134"/>
    </row>
    <row r="3" spans="1:8">
      <c r="A3" s="135"/>
      <c r="B3" s="136"/>
      <c r="C3" s="137"/>
      <c r="D3" s="18"/>
      <c r="E3" s="137"/>
      <c r="F3" s="156"/>
      <c r="G3" s="137"/>
      <c r="H3" s="138"/>
    </row>
    <row r="4" spans="1:8">
      <c r="A4" s="135"/>
      <c r="B4" s="153" t="s">
        <v>206</v>
      </c>
      <c r="C4" s="137"/>
      <c r="D4" s="18"/>
      <c r="E4" s="137"/>
      <c r="F4" s="156"/>
      <c r="G4" s="137"/>
      <c r="H4" s="138"/>
    </row>
    <row r="5" spans="1:8">
      <c r="A5" s="135"/>
      <c r="B5" s="154" t="s">
        <v>198</v>
      </c>
      <c r="C5" s="137"/>
      <c r="D5" s="18"/>
      <c r="E5" s="137"/>
      <c r="F5" s="156"/>
      <c r="G5" s="137"/>
      <c r="H5" s="138"/>
    </row>
    <row r="6" spans="1:8">
      <c r="A6" s="135"/>
      <c r="D6" s="18"/>
      <c r="F6" s="144"/>
      <c r="H6" s="138"/>
    </row>
    <row r="7" spans="1:8">
      <c r="A7" s="135"/>
      <c r="B7" s="139" t="s">
        <v>74</v>
      </c>
      <c r="D7" s="140" t="s">
        <v>75</v>
      </c>
      <c r="E7" s="140" t="s">
        <v>71</v>
      </c>
      <c r="F7" s="146" t="s">
        <v>70</v>
      </c>
      <c r="G7" s="140" t="s">
        <v>76</v>
      </c>
      <c r="H7" s="138"/>
    </row>
    <row r="8" spans="1:8" ht="45">
      <c r="A8" s="135"/>
      <c r="B8" s="194" t="s">
        <v>208</v>
      </c>
      <c r="D8" s="198" t="s">
        <v>17</v>
      </c>
      <c r="E8" s="199">
        <v>1.01</v>
      </c>
      <c r="F8" s="197">
        <f>284000/6</f>
        <v>47333.333333333336</v>
      </c>
      <c r="G8" s="197">
        <f>+E8*F8</f>
        <v>47806.666666666672</v>
      </c>
      <c r="H8" s="138"/>
    </row>
    <row r="9" spans="1:8">
      <c r="A9" s="135"/>
      <c r="B9" s="51"/>
      <c r="D9" s="140"/>
      <c r="E9" s="51"/>
      <c r="F9" s="141"/>
      <c r="G9" s="141">
        <f>+E9*F9</f>
        <v>0</v>
      </c>
      <c r="H9" s="138"/>
    </row>
    <row r="10" spans="1:8">
      <c r="A10" s="135"/>
      <c r="B10" s="51"/>
      <c r="D10" s="140"/>
      <c r="E10" s="51"/>
      <c r="F10" s="141"/>
      <c r="G10" s="141">
        <f>+E10*F10</f>
        <v>0</v>
      </c>
      <c r="H10" s="138"/>
    </row>
    <row r="11" spans="1:8" ht="15.75" thickBot="1">
      <c r="A11" s="135"/>
      <c r="B11" s="51" t="s">
        <v>173</v>
      </c>
      <c r="D11" s="140" t="s">
        <v>100</v>
      </c>
      <c r="E11" s="51">
        <v>0.05</v>
      </c>
      <c r="F11" s="141">
        <f>SUM(G8:G10)</f>
        <v>47806.666666666672</v>
      </c>
      <c r="G11" s="141">
        <f>+E11*F11</f>
        <v>2390.3333333333335</v>
      </c>
      <c r="H11" s="138"/>
    </row>
    <row r="12" spans="1:8" ht="15.75" thickBot="1">
      <c r="A12" s="135"/>
      <c r="D12" s="18"/>
      <c r="F12" s="142" t="s">
        <v>77</v>
      </c>
      <c r="G12" s="143">
        <f>SUM(G8:G11)</f>
        <v>50197.000000000007</v>
      </c>
      <c r="H12" s="138"/>
    </row>
    <row r="13" spans="1:8">
      <c r="A13" s="135"/>
      <c r="D13" s="18"/>
      <c r="F13" s="142"/>
      <c r="G13" s="144"/>
      <c r="H13" s="138"/>
    </row>
    <row r="14" spans="1:8">
      <c r="A14" s="135"/>
      <c r="B14" s="139" t="s">
        <v>78</v>
      </c>
      <c r="C14" s="137"/>
      <c r="D14" s="140" t="s">
        <v>79</v>
      </c>
      <c r="E14" s="140"/>
      <c r="F14" s="145" t="s">
        <v>80</v>
      </c>
      <c r="G14" s="146" t="s">
        <v>76</v>
      </c>
      <c r="H14" s="138"/>
    </row>
    <row r="15" spans="1:8">
      <c r="A15" s="135"/>
      <c r="B15" s="51" t="s">
        <v>81</v>
      </c>
      <c r="D15" s="160">
        <v>16.513951441123474</v>
      </c>
      <c r="E15" s="147"/>
      <c r="F15" s="148">
        <f>+'M.O.'!E4</f>
        <v>67666.666666666672</v>
      </c>
      <c r="G15" s="141">
        <f>+F15/D15</f>
        <v>4097.5454546972551</v>
      </c>
      <c r="H15" s="138"/>
    </row>
    <row r="16" spans="1:8">
      <c r="A16" s="135"/>
      <c r="B16" s="51" t="s">
        <v>91</v>
      </c>
      <c r="D16" s="160">
        <f>+D15</f>
        <v>16.513951441123474</v>
      </c>
      <c r="E16" s="147"/>
      <c r="F16" s="148">
        <f>+'M.O.'!E46</f>
        <v>38666.666666666664</v>
      </c>
      <c r="G16" s="141">
        <f>+F16/D16</f>
        <v>2341.4545455412881</v>
      </c>
      <c r="H16" s="138"/>
    </row>
    <row r="17" spans="1:12" ht="15.75" thickBot="1">
      <c r="A17" s="135"/>
      <c r="B17" s="51"/>
      <c r="D17" s="140"/>
      <c r="E17" s="147"/>
      <c r="F17" s="148"/>
      <c r="G17" s="141">
        <v>0</v>
      </c>
      <c r="H17" s="138"/>
    </row>
    <row r="18" spans="1:12" ht="15.75" thickBot="1">
      <c r="A18" s="135"/>
      <c r="D18" s="18"/>
      <c r="F18" s="142" t="s">
        <v>77</v>
      </c>
      <c r="G18" s="143">
        <f>SUM(G15:G17)</f>
        <v>6439.0000002385432</v>
      </c>
      <c r="H18" s="138"/>
    </row>
    <row r="19" spans="1:12">
      <c r="A19" s="135"/>
      <c r="D19" s="18"/>
      <c r="F19" s="144"/>
      <c r="G19" s="144"/>
      <c r="H19" s="138"/>
    </row>
    <row r="20" spans="1:12">
      <c r="A20" s="135"/>
      <c r="B20" s="51" t="s">
        <v>83</v>
      </c>
      <c r="D20" s="18"/>
      <c r="E20" s="140" t="s">
        <v>79</v>
      </c>
      <c r="F20" s="146" t="s">
        <v>84</v>
      </c>
      <c r="G20" s="146" t="s">
        <v>76</v>
      </c>
      <c r="H20" s="138"/>
    </row>
    <row r="21" spans="1:12">
      <c r="A21" s="135"/>
      <c r="B21" s="51" t="s">
        <v>102</v>
      </c>
      <c r="D21" s="18"/>
      <c r="E21" s="51">
        <v>1</v>
      </c>
      <c r="F21" s="141">
        <v>1240</v>
      </c>
      <c r="G21" s="141">
        <f>+F21/E21</f>
        <v>1240</v>
      </c>
      <c r="H21" s="138"/>
    </row>
    <row r="22" spans="1:12" ht="15.75" thickBot="1">
      <c r="A22" s="135"/>
      <c r="B22" s="51"/>
      <c r="D22" s="18"/>
      <c r="E22" s="51"/>
      <c r="F22" s="141"/>
      <c r="G22" s="141">
        <v>0</v>
      </c>
      <c r="H22" s="138"/>
    </row>
    <row r="23" spans="1:12" ht="15.75" thickBot="1">
      <c r="A23" s="135"/>
      <c r="D23" s="18"/>
      <c r="F23" s="142" t="s">
        <v>77</v>
      </c>
      <c r="G23" s="143">
        <f>SUM(G21:G22)</f>
        <v>1240</v>
      </c>
      <c r="H23" s="138"/>
    </row>
    <row r="24" spans="1:12">
      <c r="A24" s="135"/>
      <c r="D24" s="18"/>
      <c r="F24" s="144"/>
      <c r="G24" s="144"/>
      <c r="H24" s="138"/>
    </row>
    <row r="25" spans="1:12">
      <c r="A25" s="135"/>
      <c r="B25" s="51" t="s">
        <v>86</v>
      </c>
      <c r="D25" s="18"/>
      <c r="E25" s="140" t="s">
        <v>71</v>
      </c>
      <c r="F25" s="146" t="s">
        <v>84</v>
      </c>
      <c r="G25" s="146" t="s">
        <v>76</v>
      </c>
      <c r="H25" s="138"/>
    </row>
    <row r="26" spans="1:12">
      <c r="A26" s="135"/>
      <c r="B26" s="51" t="s">
        <v>207</v>
      </c>
      <c r="D26" s="18"/>
      <c r="E26" s="51">
        <v>1</v>
      </c>
      <c r="F26" s="141">
        <v>500</v>
      </c>
      <c r="G26" s="141">
        <f>+F26/E26</f>
        <v>500</v>
      </c>
      <c r="H26" s="138"/>
    </row>
    <row r="27" spans="1:12">
      <c r="A27" s="135"/>
      <c r="B27" s="51"/>
      <c r="D27" s="18"/>
      <c r="E27" s="51"/>
      <c r="F27" s="141"/>
      <c r="G27" s="141">
        <f>+E27*F27</f>
        <v>0</v>
      </c>
      <c r="H27" s="138"/>
    </row>
    <row r="28" spans="1:12" ht="15.75" thickBot="1">
      <c r="A28" s="135"/>
      <c r="B28" s="51"/>
      <c r="D28" s="18"/>
      <c r="E28" s="51"/>
      <c r="F28" s="141"/>
      <c r="G28" s="141">
        <f>+E28*F28</f>
        <v>0</v>
      </c>
      <c r="H28" s="138"/>
    </row>
    <row r="29" spans="1:12" ht="15.75" thickBot="1">
      <c r="A29" s="135"/>
      <c r="D29" s="18"/>
      <c r="F29" s="142" t="s">
        <v>77</v>
      </c>
      <c r="G29" s="143">
        <f>SUM(G26:G28)</f>
        <v>500</v>
      </c>
      <c r="H29" s="138"/>
      <c r="L29" s="144"/>
    </row>
    <row r="30" spans="1:12" ht="15.75" thickBot="1">
      <c r="A30" s="135"/>
      <c r="D30" s="18"/>
      <c r="F30" s="144"/>
      <c r="G30" s="144"/>
      <c r="H30" s="138"/>
    </row>
    <row r="31" spans="1:12" ht="15.75" thickBot="1">
      <c r="A31" s="135"/>
      <c r="D31" s="18"/>
      <c r="F31" s="142" t="s">
        <v>87</v>
      </c>
      <c r="G31" s="143">
        <f>+G29+G23+G18+G12</f>
        <v>58376.00000023855</v>
      </c>
      <c r="H31" s="138"/>
      <c r="J31" s="50"/>
    </row>
    <row r="32" spans="1:12">
      <c r="A32" s="149"/>
      <c r="B32" s="150"/>
      <c r="C32" s="150"/>
      <c r="D32" s="151"/>
      <c r="E32" s="150"/>
      <c r="F32" s="159"/>
      <c r="G32" s="150"/>
      <c r="H32" s="152"/>
    </row>
    <row r="33" spans="4:6">
      <c r="D33" s="18"/>
      <c r="F33" s="144"/>
    </row>
    <row r="34" spans="4:6">
      <c r="D34" s="18"/>
      <c r="F34" s="144"/>
    </row>
  </sheetData>
  <dataConsolidate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33"/>
  <sheetViews>
    <sheetView workbookViewId="0">
      <selection activeCell="I19" sqref="I19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4.5703125" customWidth="1"/>
    <col min="5" max="5" width="5" customWidth="1"/>
    <col min="6" max="7" width="10.85546875" customWidth="1"/>
    <col min="8" max="8" width="1.42578125" customWidth="1"/>
  </cols>
  <sheetData>
    <row r="1" spans="1:8">
      <c r="A1" s="124"/>
      <c r="B1" s="124"/>
      <c r="C1" s="124"/>
      <c r="D1" s="169"/>
      <c r="E1" s="124"/>
      <c r="F1" s="124"/>
      <c r="G1" s="124"/>
      <c r="H1" s="124"/>
    </row>
    <row r="2" spans="1:8">
      <c r="A2" s="161"/>
      <c r="B2" s="162" t="s">
        <v>72</v>
      </c>
      <c r="C2" s="163"/>
      <c r="D2" s="163"/>
      <c r="E2" s="163"/>
      <c r="F2" s="163"/>
      <c r="G2" s="163"/>
      <c r="H2" s="165"/>
    </row>
    <row r="3" spans="1:8">
      <c r="A3" s="166"/>
      <c r="B3" s="167"/>
      <c r="C3" s="168"/>
      <c r="D3" s="169"/>
      <c r="E3" s="168"/>
      <c r="F3" s="168"/>
      <c r="G3" s="168"/>
      <c r="H3" s="171"/>
    </row>
    <row r="4" spans="1:8">
      <c r="A4" s="166"/>
      <c r="B4" s="153" t="s">
        <v>203</v>
      </c>
      <c r="C4" s="168"/>
      <c r="D4" s="169"/>
      <c r="E4" s="168"/>
      <c r="F4" s="168"/>
      <c r="G4" s="168"/>
      <c r="H4" s="171"/>
    </row>
    <row r="5" spans="1:8">
      <c r="A5" s="166"/>
      <c r="B5" s="191" t="s">
        <v>204</v>
      </c>
      <c r="C5" s="168"/>
      <c r="D5" s="169"/>
      <c r="E5" s="168"/>
      <c r="F5" s="168"/>
      <c r="G5" s="168"/>
      <c r="H5" s="171"/>
    </row>
    <row r="6" spans="1:8">
      <c r="A6" s="166"/>
      <c r="B6" s="124"/>
      <c r="C6" s="124"/>
      <c r="D6" s="169"/>
      <c r="E6" s="124"/>
      <c r="F6" s="124"/>
      <c r="G6" s="124"/>
      <c r="H6" s="171"/>
    </row>
    <row r="7" spans="1:8">
      <c r="A7" s="166"/>
      <c r="B7" s="174" t="s">
        <v>74</v>
      </c>
      <c r="C7" s="124"/>
      <c r="D7" s="175" t="s">
        <v>75</v>
      </c>
      <c r="E7" s="175" t="s">
        <v>71</v>
      </c>
      <c r="F7" s="175" t="s">
        <v>70</v>
      </c>
      <c r="G7" s="175" t="s">
        <v>76</v>
      </c>
      <c r="H7" s="171"/>
    </row>
    <row r="8" spans="1:8">
      <c r="A8" s="166"/>
      <c r="B8" s="177" t="s">
        <v>205</v>
      </c>
      <c r="C8" s="124"/>
      <c r="D8" s="175" t="s">
        <v>200</v>
      </c>
      <c r="E8" s="177">
        <v>0.09</v>
      </c>
      <c r="F8" s="178">
        <f>350000/5</f>
        <v>70000</v>
      </c>
      <c r="G8" s="178">
        <f>+E8*F8</f>
        <v>6300</v>
      </c>
      <c r="H8" s="171"/>
    </row>
    <row r="9" spans="1:8">
      <c r="A9" s="166"/>
      <c r="B9" s="177" t="s">
        <v>173</v>
      </c>
      <c r="C9" s="177"/>
      <c r="D9" s="175" t="s">
        <v>100</v>
      </c>
      <c r="E9" s="177">
        <v>0.02</v>
      </c>
      <c r="F9" s="178">
        <f>G8</f>
        <v>6300</v>
      </c>
      <c r="G9" s="178">
        <f>+E9*F9</f>
        <v>126</v>
      </c>
      <c r="H9" s="171"/>
    </row>
    <row r="10" spans="1:8" ht="15.75" thickBot="1">
      <c r="A10" s="166"/>
      <c r="B10" s="177"/>
      <c r="C10" s="124"/>
      <c r="D10" s="175"/>
      <c r="E10" s="177"/>
      <c r="F10" s="178"/>
      <c r="G10" s="178">
        <f>+E10*F10</f>
        <v>0</v>
      </c>
      <c r="H10" s="171"/>
    </row>
    <row r="11" spans="1:8" ht="15.75" thickBot="1">
      <c r="A11" s="166"/>
      <c r="B11" s="124"/>
      <c r="C11" s="124"/>
      <c r="D11" s="169"/>
      <c r="E11" s="124"/>
      <c r="F11" s="181" t="s">
        <v>77</v>
      </c>
      <c r="G11" s="182">
        <f>SUM(G8:G10)</f>
        <v>6426</v>
      </c>
      <c r="H11" s="171"/>
    </row>
    <row r="12" spans="1:8">
      <c r="A12" s="166"/>
      <c r="B12" s="124"/>
      <c r="C12" s="124"/>
      <c r="D12" s="169"/>
      <c r="E12" s="124"/>
      <c r="F12" s="181"/>
      <c r="G12" s="173"/>
      <c r="H12" s="171"/>
    </row>
    <row r="13" spans="1:8">
      <c r="A13" s="166"/>
      <c r="B13" s="174" t="s">
        <v>78</v>
      </c>
      <c r="C13" s="168"/>
      <c r="D13" s="175" t="s">
        <v>79</v>
      </c>
      <c r="E13" s="175"/>
      <c r="F13" s="183" t="s">
        <v>80</v>
      </c>
      <c r="G13" s="176" t="s">
        <v>76</v>
      </c>
      <c r="H13" s="171"/>
    </row>
    <row r="14" spans="1:8">
      <c r="A14" s="166"/>
      <c r="B14" s="177" t="s">
        <v>201</v>
      </c>
      <c r="C14" s="124"/>
      <c r="D14" s="192">
        <v>14.793764822692861</v>
      </c>
      <c r="E14" s="184"/>
      <c r="F14" s="185">
        <f>+'M.O.'!E4</f>
        <v>67666.666666666672</v>
      </c>
      <c r="G14" s="178">
        <f>+F14/D14</f>
        <v>4573.9990785083692</v>
      </c>
      <c r="H14" s="171"/>
    </row>
    <row r="15" spans="1:8">
      <c r="A15" s="166"/>
      <c r="B15" s="177"/>
      <c r="C15" s="124"/>
      <c r="D15" s="175"/>
      <c r="E15" s="184"/>
      <c r="F15" s="185"/>
      <c r="G15" s="178">
        <v>0</v>
      </c>
      <c r="H15" s="171"/>
    </row>
    <row r="16" spans="1:8" ht="15.75" thickBot="1">
      <c r="A16" s="166"/>
      <c r="B16" s="177"/>
      <c r="C16" s="124"/>
      <c r="D16" s="175"/>
      <c r="E16" s="184"/>
      <c r="F16" s="185"/>
      <c r="G16" s="178">
        <v>0</v>
      </c>
      <c r="H16" s="171"/>
    </row>
    <row r="17" spans="1:8" ht="15.75" thickBot="1">
      <c r="A17" s="166"/>
      <c r="B17" s="124"/>
      <c r="C17" s="124"/>
      <c r="D17" s="169"/>
      <c r="E17" s="124"/>
      <c r="F17" s="181" t="s">
        <v>77</v>
      </c>
      <c r="G17" s="182">
        <f>SUM(G14:G16)</f>
        <v>4573.9990785083692</v>
      </c>
      <c r="H17" s="171"/>
    </row>
    <row r="18" spans="1:8">
      <c r="A18" s="166"/>
      <c r="B18" s="124"/>
      <c r="C18" s="124"/>
      <c r="D18" s="169"/>
      <c r="E18" s="124"/>
      <c r="F18" s="173"/>
      <c r="G18" s="173"/>
      <c r="H18" s="171"/>
    </row>
    <row r="19" spans="1:8">
      <c r="A19" s="166"/>
      <c r="B19" s="177" t="s">
        <v>83</v>
      </c>
      <c r="C19" s="124"/>
      <c r="D19" s="169"/>
      <c r="E19" s="175" t="s">
        <v>79</v>
      </c>
      <c r="F19" s="176" t="s">
        <v>84</v>
      </c>
      <c r="G19" s="176" t="s">
        <v>76</v>
      </c>
      <c r="H19" s="171"/>
    </row>
    <row r="20" spans="1:8">
      <c r="A20" s="166"/>
      <c r="B20" s="177" t="s">
        <v>119</v>
      </c>
      <c r="C20" s="124"/>
      <c r="D20" s="169"/>
      <c r="E20" s="177">
        <v>1</v>
      </c>
      <c r="F20" s="178">
        <v>500</v>
      </c>
      <c r="G20" s="178">
        <f>+F20/E20</f>
        <v>500</v>
      </c>
      <c r="H20" s="171"/>
    </row>
    <row r="21" spans="1:8">
      <c r="A21" s="166"/>
      <c r="B21" s="177" t="s">
        <v>56</v>
      </c>
      <c r="C21" s="124"/>
      <c r="D21" s="169"/>
      <c r="E21" s="177">
        <v>1</v>
      </c>
      <c r="F21" s="178">
        <f>+'[4]Equipos y Herramientas'!C5</f>
        <v>1000</v>
      </c>
      <c r="G21" s="178">
        <f>+F21/E21</f>
        <v>1000</v>
      </c>
      <c r="H21" s="171"/>
    </row>
    <row r="22" spans="1:8">
      <c r="A22" s="166"/>
      <c r="B22" s="177"/>
      <c r="C22" s="124"/>
      <c r="D22" s="169"/>
      <c r="E22" s="177"/>
      <c r="F22" s="178"/>
      <c r="G22" s="178"/>
      <c r="H22" s="171"/>
    </row>
    <row r="23" spans="1:8" ht="15.75" thickBot="1">
      <c r="A23" s="166"/>
      <c r="B23" s="177"/>
      <c r="C23" s="124"/>
      <c r="D23" s="169"/>
      <c r="E23" s="177"/>
      <c r="F23" s="178"/>
      <c r="G23" s="178">
        <v>0</v>
      </c>
      <c r="H23" s="171"/>
    </row>
    <row r="24" spans="1:8" ht="15.75" thickBot="1">
      <c r="A24" s="166"/>
      <c r="B24" s="124"/>
      <c r="C24" s="124"/>
      <c r="D24" s="169"/>
      <c r="E24" s="124"/>
      <c r="F24" s="181" t="s">
        <v>77</v>
      </c>
      <c r="G24" s="182">
        <f>SUM(G20:G23)</f>
        <v>1500</v>
      </c>
      <c r="H24" s="171"/>
    </row>
    <row r="25" spans="1:8">
      <c r="A25" s="166"/>
      <c r="B25" s="124"/>
      <c r="C25" s="124"/>
      <c r="D25" s="169"/>
      <c r="E25" s="124"/>
      <c r="F25" s="173"/>
      <c r="G25" s="173"/>
      <c r="H25" s="171"/>
    </row>
    <row r="26" spans="1:8">
      <c r="A26" s="166"/>
      <c r="B26" s="177" t="s">
        <v>86</v>
      </c>
      <c r="C26" s="124"/>
      <c r="D26" s="169"/>
      <c r="E26" s="175" t="s">
        <v>71</v>
      </c>
      <c r="F26" s="176" t="s">
        <v>84</v>
      </c>
      <c r="G26" s="176" t="s">
        <v>76</v>
      </c>
      <c r="H26" s="171"/>
    </row>
    <row r="27" spans="1:8">
      <c r="A27" s="166"/>
      <c r="B27" s="177" t="s">
        <v>202</v>
      </c>
      <c r="C27" s="124"/>
      <c r="D27" s="169"/>
      <c r="E27" s="177">
        <v>1</v>
      </c>
      <c r="F27" s="178">
        <v>500</v>
      </c>
      <c r="G27" s="178">
        <f>+E27*F27</f>
        <v>500</v>
      </c>
      <c r="H27" s="171"/>
    </row>
    <row r="28" spans="1:8">
      <c r="A28" s="166"/>
      <c r="B28" s="177"/>
      <c r="C28" s="124"/>
      <c r="D28" s="169"/>
      <c r="E28" s="177"/>
      <c r="F28" s="178"/>
      <c r="G28" s="178">
        <f>+E28*F28</f>
        <v>0</v>
      </c>
      <c r="H28" s="171"/>
    </row>
    <row r="29" spans="1:8" ht="15.75" thickBot="1">
      <c r="A29" s="166"/>
      <c r="B29" s="177"/>
      <c r="C29" s="124"/>
      <c r="D29" s="169"/>
      <c r="E29" s="177"/>
      <c r="F29" s="178"/>
      <c r="G29" s="178">
        <f>+E29*F29</f>
        <v>0</v>
      </c>
      <c r="H29" s="171"/>
    </row>
    <row r="30" spans="1:8" ht="15.75" thickBot="1">
      <c r="A30" s="166"/>
      <c r="B30" s="124"/>
      <c r="C30" s="124"/>
      <c r="D30" s="169"/>
      <c r="E30" s="124"/>
      <c r="F30" s="181" t="s">
        <v>77</v>
      </c>
      <c r="G30" s="182">
        <f>SUM(G27:G29)</f>
        <v>500</v>
      </c>
      <c r="H30" s="171"/>
    </row>
    <row r="31" spans="1:8" ht="15.75" thickBot="1">
      <c r="A31" s="166"/>
      <c r="B31" s="124"/>
      <c r="C31" s="124"/>
      <c r="D31" s="169"/>
      <c r="E31" s="124"/>
      <c r="F31" s="173"/>
      <c r="G31" s="173"/>
      <c r="H31" s="171"/>
    </row>
    <row r="32" spans="1:8" ht="15.75" thickBot="1">
      <c r="A32" s="166"/>
      <c r="B32" s="124"/>
      <c r="C32" s="124"/>
      <c r="D32" s="169"/>
      <c r="E32" s="124"/>
      <c r="F32" s="181" t="s">
        <v>87</v>
      </c>
      <c r="G32" s="182">
        <f>+G11+G17+G30+G24</f>
        <v>12999.999078508368</v>
      </c>
      <c r="H32" s="171"/>
    </row>
    <row r="33" spans="1:8">
      <c r="A33" s="186"/>
      <c r="B33" s="187"/>
      <c r="C33" s="187"/>
      <c r="D33" s="188"/>
      <c r="E33" s="187"/>
      <c r="F33" s="187"/>
      <c r="G33" s="187"/>
      <c r="H33" s="190"/>
    </row>
  </sheetData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35"/>
  <sheetViews>
    <sheetView view="pageBreakPreview" topLeftCell="A25" zoomScale="90" zoomScaleNormal="100" zoomScaleSheetLayoutView="90" workbookViewId="0">
      <selection activeCell="E12" sqref="E12"/>
    </sheetView>
  </sheetViews>
  <sheetFormatPr baseColWidth="10" defaultRowHeight="15"/>
  <cols>
    <col min="1" max="1" width="1.5703125" customWidth="1"/>
    <col min="2" max="2" width="32.140625" customWidth="1"/>
    <col min="4" max="4" width="8.140625" bestFit="1" customWidth="1"/>
    <col min="5" max="5" width="11.140625" customWidth="1"/>
    <col min="7" max="7" width="1.85546875" customWidth="1"/>
    <col min="9" max="9" width="8.85546875" bestFit="1" customWidth="1"/>
  </cols>
  <sheetData>
    <row r="1" spans="1:7">
      <c r="C1" s="18"/>
      <c r="E1" s="144"/>
    </row>
    <row r="2" spans="1:7">
      <c r="A2" s="131"/>
      <c r="B2" s="193" t="s">
        <v>72</v>
      </c>
      <c r="C2" s="133"/>
      <c r="D2" s="133"/>
      <c r="E2" s="155"/>
      <c r="F2" s="133"/>
      <c r="G2" s="134"/>
    </row>
    <row r="3" spans="1:7">
      <c r="A3" s="135"/>
      <c r="B3" s="136"/>
      <c r="C3" s="18"/>
      <c r="D3" s="137"/>
      <c r="E3" s="156"/>
      <c r="F3" s="137"/>
      <c r="G3" s="138"/>
    </row>
    <row r="4" spans="1:7">
      <c r="A4" s="135"/>
      <c r="B4" s="153" t="s">
        <v>196</v>
      </c>
      <c r="C4" s="18"/>
      <c r="D4" s="137"/>
      <c r="E4" s="156"/>
      <c r="F4" s="137"/>
      <c r="G4" s="138"/>
    </row>
    <row r="5" spans="1:7">
      <c r="A5" s="135"/>
      <c r="B5" s="154" t="s">
        <v>122</v>
      </c>
      <c r="C5" s="18"/>
      <c r="D5" s="137"/>
      <c r="E5" s="156"/>
      <c r="F5" s="137"/>
      <c r="G5" s="138"/>
    </row>
    <row r="6" spans="1:7">
      <c r="A6" s="135"/>
      <c r="C6" s="18"/>
      <c r="E6" s="144"/>
      <c r="G6" s="138"/>
    </row>
    <row r="7" spans="1:7">
      <c r="A7" s="135"/>
      <c r="B7" s="139" t="s">
        <v>74</v>
      </c>
      <c r="C7" s="140" t="s">
        <v>75</v>
      </c>
      <c r="D7" s="140" t="s">
        <v>71</v>
      </c>
      <c r="E7" s="146" t="s">
        <v>70</v>
      </c>
      <c r="F7" s="140" t="s">
        <v>76</v>
      </c>
      <c r="G7" s="138"/>
    </row>
    <row r="8" spans="1:7">
      <c r="A8" s="135"/>
      <c r="B8" s="51" t="s">
        <v>110</v>
      </c>
      <c r="C8" s="140" t="s">
        <v>94</v>
      </c>
      <c r="D8" s="51">
        <f>0.1*1*1*350</f>
        <v>35</v>
      </c>
      <c r="E8" s="141">
        <f>+'[4]Viga cim 0,30x0,35'!O8</f>
        <v>550</v>
      </c>
      <c r="F8" s="141">
        <f t="shared" ref="F8:F13" si="0">+D8*E8</f>
        <v>19250</v>
      </c>
      <c r="G8" s="138"/>
    </row>
    <row r="9" spans="1:7">
      <c r="A9" s="135"/>
      <c r="B9" s="51" t="s">
        <v>95</v>
      </c>
      <c r="C9" s="140" t="s">
        <v>1</v>
      </c>
      <c r="D9" s="158">
        <f>0.1*1*1*0.57</f>
        <v>5.6999999999999995E-2</v>
      </c>
      <c r="E9" s="141">
        <v>50000</v>
      </c>
      <c r="F9" s="141">
        <f t="shared" si="0"/>
        <v>2849.9999999999995</v>
      </c>
      <c r="G9" s="138"/>
    </row>
    <row r="10" spans="1:7">
      <c r="A10" s="135"/>
      <c r="B10" s="51" t="s">
        <v>96</v>
      </c>
      <c r="C10" s="140" t="s">
        <v>1</v>
      </c>
      <c r="D10" s="51">
        <f>0.1*1*1*0.83</f>
        <v>8.3000000000000004E-2</v>
      </c>
      <c r="E10" s="141">
        <v>95000</v>
      </c>
      <c r="F10" s="141">
        <f t="shared" si="0"/>
        <v>7885</v>
      </c>
      <c r="G10" s="138"/>
    </row>
    <row r="11" spans="1:7">
      <c r="A11" s="135"/>
      <c r="B11" s="51" t="s">
        <v>344</v>
      </c>
      <c r="C11" s="140" t="s">
        <v>94</v>
      </c>
      <c r="D11" s="157">
        <v>5</v>
      </c>
      <c r="E11" s="141">
        <v>5000</v>
      </c>
      <c r="F11" s="141">
        <f t="shared" si="0"/>
        <v>25000</v>
      </c>
      <c r="G11" s="138"/>
    </row>
    <row r="12" spans="1:7">
      <c r="A12" s="135"/>
      <c r="B12" s="51" t="s">
        <v>345</v>
      </c>
      <c r="C12" s="140" t="s">
        <v>346</v>
      </c>
      <c r="D12" s="51">
        <v>0.05</v>
      </c>
      <c r="E12" s="141">
        <v>6500</v>
      </c>
      <c r="F12" s="141">
        <f>+D12*E12</f>
        <v>325</v>
      </c>
      <c r="G12" s="138"/>
    </row>
    <row r="13" spans="1:7" ht="15.75" thickBot="1">
      <c r="A13" s="135"/>
      <c r="B13" s="51" t="s">
        <v>173</v>
      </c>
      <c r="C13" s="140" t="s">
        <v>100</v>
      </c>
      <c r="D13" s="51">
        <v>0.02</v>
      </c>
      <c r="E13" s="141">
        <f>SUM(F8:F12)</f>
        <v>55310</v>
      </c>
      <c r="F13" s="141">
        <f t="shared" si="0"/>
        <v>1106.2</v>
      </c>
      <c r="G13" s="138"/>
    </row>
    <row r="14" spans="1:7" ht="15.75" thickBot="1">
      <c r="A14" s="135"/>
      <c r="C14" s="18"/>
      <c r="E14" s="142" t="s">
        <v>77</v>
      </c>
      <c r="F14" s="143">
        <f>SUM(F8:F13)</f>
        <v>56416.2</v>
      </c>
      <c r="G14" s="138"/>
    </row>
    <row r="15" spans="1:7">
      <c r="A15" s="135"/>
      <c r="C15" s="18"/>
      <c r="E15" s="142"/>
      <c r="F15" s="144"/>
      <c r="G15" s="138"/>
    </row>
    <row r="16" spans="1:7">
      <c r="A16" s="135"/>
      <c r="B16" s="139" t="s">
        <v>78</v>
      </c>
      <c r="C16" s="140" t="s">
        <v>79</v>
      </c>
      <c r="D16" s="140"/>
      <c r="E16" s="145" t="s">
        <v>80</v>
      </c>
      <c r="F16" s="146" t="s">
        <v>76</v>
      </c>
      <c r="G16" s="138"/>
    </row>
    <row r="17" spans="1:7">
      <c r="A17" s="135"/>
      <c r="B17" s="51" t="s">
        <v>81</v>
      </c>
      <c r="C17" s="140">
        <v>10</v>
      </c>
      <c r="D17" s="147"/>
      <c r="E17" s="148">
        <f>+'M.O.'!E4</f>
        <v>67666.666666666672</v>
      </c>
      <c r="F17" s="141">
        <f>+E17/C17</f>
        <v>6766.666666666667</v>
      </c>
      <c r="G17" s="138"/>
    </row>
    <row r="18" spans="1:7">
      <c r="A18" s="135"/>
      <c r="B18" s="51" t="s">
        <v>91</v>
      </c>
      <c r="C18" s="140">
        <f>+C17</f>
        <v>10</v>
      </c>
      <c r="D18" s="147"/>
      <c r="E18" s="148">
        <f>+'M.O.'!E46</f>
        <v>38666.666666666664</v>
      </c>
      <c r="F18" s="141">
        <f>+E18/C18</f>
        <v>3866.6666666666665</v>
      </c>
      <c r="G18" s="138"/>
    </row>
    <row r="19" spans="1:7" ht="15.75" thickBot="1">
      <c r="A19" s="135"/>
      <c r="B19" s="51"/>
      <c r="C19" s="140"/>
      <c r="D19" s="147"/>
      <c r="E19" s="148"/>
      <c r="F19" s="141">
        <v>0</v>
      </c>
      <c r="G19" s="138"/>
    </row>
    <row r="20" spans="1:7" ht="15.75" thickBot="1">
      <c r="A20" s="135"/>
      <c r="C20" s="18"/>
      <c r="E20" s="142" t="s">
        <v>77</v>
      </c>
      <c r="F20" s="143">
        <f>SUM(F17:F19)</f>
        <v>10633.333333333334</v>
      </c>
      <c r="G20" s="138"/>
    </row>
    <row r="21" spans="1:7">
      <c r="A21" s="135"/>
      <c r="C21" s="18"/>
      <c r="E21" s="144"/>
      <c r="F21" s="144"/>
      <c r="G21" s="138"/>
    </row>
    <row r="22" spans="1:7">
      <c r="A22" s="135"/>
      <c r="B22" s="51" t="s">
        <v>83</v>
      </c>
      <c r="C22" s="18"/>
      <c r="D22" s="140" t="s">
        <v>79</v>
      </c>
      <c r="E22" s="146" t="s">
        <v>84</v>
      </c>
      <c r="F22" s="146" t="s">
        <v>76</v>
      </c>
      <c r="G22" s="138"/>
    </row>
    <row r="23" spans="1:7" ht="105">
      <c r="A23" s="135"/>
      <c r="B23" s="195" t="s">
        <v>197</v>
      </c>
      <c r="C23" s="18"/>
      <c r="D23" s="196">
        <v>12</v>
      </c>
      <c r="E23" s="197">
        <v>70000</v>
      </c>
      <c r="F23" s="197">
        <f>+E23/D23</f>
        <v>5833.333333333333</v>
      </c>
      <c r="G23" s="138"/>
    </row>
    <row r="24" spans="1:7">
      <c r="A24" s="135"/>
      <c r="B24" s="51" t="s">
        <v>191</v>
      </c>
      <c r="C24" s="18"/>
      <c r="D24" s="51">
        <v>1</v>
      </c>
      <c r="E24" s="141">
        <v>50</v>
      </c>
      <c r="F24" s="141">
        <f>+E24/D24</f>
        <v>50</v>
      </c>
      <c r="G24" s="138"/>
    </row>
    <row r="25" spans="1:7" ht="15.75" thickBot="1">
      <c r="A25" s="135"/>
      <c r="B25" s="51" t="s">
        <v>192</v>
      </c>
      <c r="C25" s="18"/>
      <c r="D25" s="51">
        <f>+D23</f>
        <v>12</v>
      </c>
      <c r="E25" s="141">
        <v>5000</v>
      </c>
      <c r="F25" s="141">
        <f>+E25/D25</f>
        <v>416.66666666666669</v>
      </c>
      <c r="G25" s="138"/>
    </row>
    <row r="26" spans="1:7" ht="15.75" thickBot="1">
      <c r="A26" s="135"/>
      <c r="C26" s="18"/>
      <c r="E26" s="142" t="s">
        <v>77</v>
      </c>
      <c r="F26" s="143">
        <f>SUM(F23:F25)</f>
        <v>6300</v>
      </c>
      <c r="G26" s="138"/>
    </row>
    <row r="27" spans="1:7">
      <c r="A27" s="135"/>
      <c r="C27" s="18"/>
      <c r="E27" s="144"/>
      <c r="F27" s="144"/>
      <c r="G27" s="138"/>
    </row>
    <row r="28" spans="1:7">
      <c r="A28" s="135"/>
      <c r="B28" s="51" t="s">
        <v>86</v>
      </c>
      <c r="C28" s="18"/>
      <c r="D28" s="140" t="s">
        <v>71</v>
      </c>
      <c r="E28" s="146" t="s">
        <v>84</v>
      </c>
      <c r="F28" s="146" t="s">
        <v>76</v>
      </c>
      <c r="G28" s="138"/>
    </row>
    <row r="29" spans="1:7">
      <c r="A29" s="135"/>
      <c r="B29" s="51" t="s">
        <v>120</v>
      </c>
      <c r="C29" s="18"/>
      <c r="D29" s="51">
        <v>40</v>
      </c>
      <c r="E29" s="141">
        <v>10000</v>
      </c>
      <c r="F29" s="141">
        <f>+E29/D29</f>
        <v>250</v>
      </c>
      <c r="G29" s="138"/>
    </row>
    <row r="30" spans="1:7">
      <c r="A30" s="135"/>
      <c r="B30" s="51"/>
      <c r="C30" s="18"/>
      <c r="D30" s="51"/>
      <c r="E30" s="141"/>
      <c r="F30" s="141">
        <f>+D30*E30</f>
        <v>0</v>
      </c>
      <c r="G30" s="138"/>
    </row>
    <row r="31" spans="1:7" ht="15.75" thickBot="1">
      <c r="A31" s="135"/>
      <c r="B31" s="51"/>
      <c r="C31" s="18"/>
      <c r="D31" s="51"/>
      <c r="E31" s="141"/>
      <c r="F31" s="141">
        <f>+D31*E31</f>
        <v>0</v>
      </c>
      <c r="G31" s="138"/>
    </row>
    <row r="32" spans="1:7" ht="15.75" thickBot="1">
      <c r="A32" s="135"/>
      <c r="C32" s="18"/>
      <c r="E32" s="142" t="s">
        <v>77</v>
      </c>
      <c r="F32" s="143">
        <f>SUM(F29:F31)</f>
        <v>250</v>
      </c>
      <c r="G32" s="138"/>
    </row>
    <row r="33" spans="1:9" ht="15.75" thickBot="1">
      <c r="A33" s="135"/>
      <c r="C33" s="18"/>
      <c r="E33" s="144"/>
      <c r="F33" s="144"/>
      <c r="G33" s="138"/>
    </row>
    <row r="34" spans="1:9" ht="15.75" thickBot="1">
      <c r="A34" s="135"/>
      <c r="C34" s="18"/>
      <c r="E34" s="142" t="s">
        <v>87</v>
      </c>
      <c r="F34" s="143">
        <f>+F14+F20+F32+F26</f>
        <v>73599.533333333326</v>
      </c>
      <c r="G34" s="138"/>
      <c r="I34" s="143">
        <v>61087</v>
      </c>
    </row>
    <row r="35" spans="1:9">
      <c r="A35" s="149"/>
      <c r="B35" s="150"/>
      <c r="C35" s="151"/>
      <c r="D35" s="150"/>
      <c r="E35" s="159"/>
      <c r="F35" s="150"/>
      <c r="G35" s="152"/>
    </row>
  </sheetData>
  <pageMargins left="0.7" right="0.7" top="0.75" bottom="0.75" header="0.3" footer="0.3"/>
  <pageSetup scale="98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38"/>
  <sheetViews>
    <sheetView view="pageBreakPreview" topLeftCell="A7" zoomScale="130" zoomScaleNormal="100" zoomScaleSheetLayoutView="130" workbookViewId="0">
      <selection activeCell="E15" sqref="E15"/>
    </sheetView>
  </sheetViews>
  <sheetFormatPr baseColWidth="10" defaultRowHeight="15"/>
  <cols>
    <col min="1" max="1" width="1.5703125" customWidth="1"/>
    <col min="2" max="2" width="32.140625" customWidth="1"/>
    <col min="4" max="4" width="8.140625" bestFit="1" customWidth="1"/>
    <col min="5" max="5" width="11.140625" customWidth="1"/>
    <col min="7" max="7" width="1.85546875" customWidth="1"/>
  </cols>
  <sheetData>
    <row r="1" spans="1:7">
      <c r="C1" s="18"/>
      <c r="E1" s="144"/>
    </row>
    <row r="2" spans="1:7">
      <c r="A2" s="131"/>
      <c r="B2" s="193" t="s">
        <v>72</v>
      </c>
      <c r="C2" s="133"/>
      <c r="D2" s="133"/>
      <c r="E2" s="155"/>
      <c r="F2" s="133"/>
      <c r="G2" s="134"/>
    </row>
    <row r="3" spans="1:7">
      <c r="A3" s="135"/>
      <c r="B3" s="136"/>
      <c r="C3" s="18"/>
      <c r="D3" s="137"/>
      <c r="E3" s="156"/>
      <c r="F3" s="137"/>
      <c r="G3" s="138"/>
    </row>
    <row r="4" spans="1:7">
      <c r="A4" s="135"/>
      <c r="B4" s="153" t="s">
        <v>193</v>
      </c>
      <c r="C4" s="18"/>
      <c r="D4" s="137"/>
      <c r="E4" s="156"/>
      <c r="F4" s="137"/>
      <c r="G4" s="138"/>
    </row>
    <row r="5" spans="1:7">
      <c r="A5" s="135"/>
      <c r="B5" s="154" t="s">
        <v>122</v>
      </c>
      <c r="C5" s="18"/>
      <c r="D5" s="137"/>
      <c r="E5" s="156"/>
      <c r="F5" s="137"/>
      <c r="G5" s="138"/>
    </row>
    <row r="6" spans="1:7">
      <c r="A6" s="135"/>
      <c r="C6" s="18"/>
      <c r="E6" s="144"/>
      <c r="G6" s="138"/>
    </row>
    <row r="7" spans="1:7">
      <c r="A7" s="135"/>
      <c r="B7" s="139" t="s">
        <v>74</v>
      </c>
      <c r="C7" s="140" t="s">
        <v>75</v>
      </c>
      <c r="D7" s="140" t="s">
        <v>71</v>
      </c>
      <c r="E7" s="146" t="s">
        <v>70</v>
      </c>
      <c r="F7" s="140" t="s">
        <v>76</v>
      </c>
      <c r="G7" s="138"/>
    </row>
    <row r="8" spans="1:7">
      <c r="A8" s="135"/>
      <c r="B8" s="51" t="s">
        <v>110</v>
      </c>
      <c r="C8" s="140" t="s">
        <v>94</v>
      </c>
      <c r="D8" s="51">
        <f>0.12*0.2*350</f>
        <v>8.4</v>
      </c>
      <c r="E8" s="141">
        <f>+'[4]Viga cim 0,30x0,35'!O8</f>
        <v>550</v>
      </c>
      <c r="F8" s="141">
        <f t="shared" ref="F8:F16" si="0">+D8*E8</f>
        <v>4620</v>
      </c>
      <c r="G8" s="138"/>
    </row>
    <row r="9" spans="1:7">
      <c r="A9" s="135"/>
      <c r="B9" s="51" t="s">
        <v>95</v>
      </c>
      <c r="C9" s="140" t="s">
        <v>1</v>
      </c>
      <c r="D9" s="158">
        <f>0.12*0.2*0.57</f>
        <v>1.3679999999999999E-2</v>
      </c>
      <c r="E9" s="141">
        <v>50000</v>
      </c>
      <c r="F9" s="141">
        <f t="shared" si="0"/>
        <v>684</v>
      </c>
      <c r="G9" s="138"/>
    </row>
    <row r="10" spans="1:7">
      <c r="A10" s="135"/>
      <c r="B10" s="51" t="s">
        <v>96</v>
      </c>
      <c r="C10" s="140" t="s">
        <v>1</v>
      </c>
      <c r="D10" s="51">
        <f>0.12*0.2*0.83</f>
        <v>1.992E-2</v>
      </c>
      <c r="E10" s="141">
        <v>95000</v>
      </c>
      <c r="F10" s="141">
        <f t="shared" si="0"/>
        <v>1892.4</v>
      </c>
      <c r="G10" s="138"/>
    </row>
    <row r="11" spans="1:7">
      <c r="A11" s="135"/>
      <c r="B11" s="51" t="s">
        <v>188</v>
      </c>
      <c r="C11" s="140" t="s">
        <v>114</v>
      </c>
      <c r="D11" s="157">
        <f>5/4*0.6*0.8</f>
        <v>0.60000000000000009</v>
      </c>
      <c r="E11" s="141">
        <f>+'Columneta 0.20x0.20'!F15</f>
        <v>10000</v>
      </c>
      <c r="F11" s="141">
        <f t="shared" si="0"/>
        <v>6000.0000000000009</v>
      </c>
      <c r="G11" s="138"/>
    </row>
    <row r="12" spans="1:7">
      <c r="A12" s="135"/>
      <c r="B12" s="51" t="s">
        <v>115</v>
      </c>
      <c r="C12" s="140" t="s">
        <v>114</v>
      </c>
      <c r="D12" s="157">
        <f>5/4*1.7*0.8</f>
        <v>1.7000000000000002</v>
      </c>
      <c r="E12" s="141">
        <f>35000/3</f>
        <v>11666.666666666666</v>
      </c>
      <c r="F12" s="141">
        <f t="shared" si="0"/>
        <v>19833.333333333336</v>
      </c>
      <c r="G12" s="138"/>
    </row>
    <row r="13" spans="1:7">
      <c r="A13" s="135"/>
      <c r="B13" s="51" t="s">
        <v>189</v>
      </c>
      <c r="C13" s="140" t="s">
        <v>94</v>
      </c>
      <c r="D13" s="51">
        <v>2</v>
      </c>
      <c r="E13" s="141">
        <v>4550</v>
      </c>
      <c r="F13" s="141">
        <f t="shared" si="0"/>
        <v>9100</v>
      </c>
      <c r="G13" s="138"/>
    </row>
    <row r="14" spans="1:7">
      <c r="A14" s="135"/>
      <c r="B14" s="51" t="s">
        <v>190</v>
      </c>
      <c r="C14" s="140" t="s">
        <v>94</v>
      </c>
      <c r="D14" s="51">
        <f>9*0.55*0.75</f>
        <v>3.7125000000000004</v>
      </c>
      <c r="E14" s="141">
        <v>4550</v>
      </c>
      <c r="F14" s="141">
        <f t="shared" si="0"/>
        <v>16891.875</v>
      </c>
      <c r="G14" s="138"/>
    </row>
    <row r="15" spans="1:7">
      <c r="A15" s="135"/>
      <c r="B15" s="51" t="s">
        <v>347</v>
      </c>
      <c r="C15" s="140" t="s">
        <v>346</v>
      </c>
      <c r="D15" s="51">
        <v>0.05</v>
      </c>
      <c r="E15" s="141">
        <v>6500</v>
      </c>
      <c r="F15" s="141">
        <f t="shared" si="0"/>
        <v>325</v>
      </c>
      <c r="G15" s="138"/>
    </row>
    <row r="16" spans="1:7" ht="15.75" thickBot="1">
      <c r="A16" s="135"/>
      <c r="B16" s="51" t="s">
        <v>173</v>
      </c>
      <c r="C16" s="140" t="s">
        <v>100</v>
      </c>
      <c r="D16" s="51">
        <v>0.02</v>
      </c>
      <c r="E16" s="141">
        <f>SUM(F8:F13)</f>
        <v>42129.733333333337</v>
      </c>
      <c r="F16" s="141">
        <f t="shared" si="0"/>
        <v>842.59466666666674</v>
      </c>
      <c r="G16" s="138"/>
    </row>
    <row r="17" spans="1:7" ht="15.75" thickBot="1">
      <c r="A17" s="135"/>
      <c r="C17" s="18"/>
      <c r="E17" s="142" t="s">
        <v>77</v>
      </c>
      <c r="F17" s="143">
        <f>SUM(F8:F16)</f>
        <v>60189.203000000001</v>
      </c>
      <c r="G17" s="138"/>
    </row>
    <row r="18" spans="1:7">
      <c r="A18" s="135"/>
      <c r="C18" s="18"/>
      <c r="E18" s="142"/>
      <c r="F18" s="144"/>
      <c r="G18" s="138"/>
    </row>
    <row r="19" spans="1:7">
      <c r="A19" s="135"/>
      <c r="B19" s="139" t="s">
        <v>78</v>
      </c>
      <c r="C19" s="140" t="s">
        <v>79</v>
      </c>
      <c r="D19" s="140"/>
      <c r="E19" s="145" t="s">
        <v>80</v>
      </c>
      <c r="F19" s="146" t="s">
        <v>76</v>
      </c>
      <c r="G19" s="138"/>
    </row>
    <row r="20" spans="1:7">
      <c r="A20" s="135"/>
      <c r="B20" s="51" t="s">
        <v>81</v>
      </c>
      <c r="C20" s="140">
        <v>8</v>
      </c>
      <c r="D20" s="147"/>
      <c r="E20" s="148">
        <f>+'M.O.'!E4</f>
        <v>67666.666666666672</v>
      </c>
      <c r="F20" s="141">
        <f>+E20/C20</f>
        <v>8458.3333333333339</v>
      </c>
      <c r="G20" s="138"/>
    </row>
    <row r="21" spans="1:7">
      <c r="A21" s="135"/>
      <c r="B21" s="51" t="s">
        <v>101</v>
      </c>
      <c r="C21" s="140">
        <f>+C20</f>
        <v>8</v>
      </c>
      <c r="D21" s="147"/>
      <c r="E21" s="148">
        <f>'M.O.'!E46</f>
        <v>38666.666666666664</v>
      </c>
      <c r="F21" s="141">
        <f>+E21/C21</f>
        <v>4833.333333333333</v>
      </c>
      <c r="G21" s="138"/>
    </row>
    <row r="22" spans="1:7" ht="15.75" thickBot="1">
      <c r="A22" s="135"/>
      <c r="B22" s="51"/>
      <c r="C22" s="140"/>
      <c r="D22" s="147"/>
      <c r="E22" s="148"/>
      <c r="F22" s="141">
        <v>0</v>
      </c>
      <c r="G22" s="138"/>
    </row>
    <row r="23" spans="1:7" ht="15.75" thickBot="1">
      <c r="A23" s="135"/>
      <c r="C23" s="18"/>
      <c r="E23" s="142" t="s">
        <v>77</v>
      </c>
      <c r="F23" s="143">
        <f>SUM(F20:F22)</f>
        <v>13291.666666666668</v>
      </c>
      <c r="G23" s="138"/>
    </row>
    <row r="24" spans="1:7">
      <c r="A24" s="135"/>
      <c r="C24" s="18"/>
      <c r="E24" s="144"/>
      <c r="F24" s="144"/>
      <c r="G24" s="138"/>
    </row>
    <row r="25" spans="1:7">
      <c r="A25" s="135"/>
      <c r="B25" s="51" t="s">
        <v>83</v>
      </c>
      <c r="C25" s="18"/>
      <c r="D25" s="140" t="s">
        <v>79</v>
      </c>
      <c r="E25" s="146" t="s">
        <v>84</v>
      </c>
      <c r="F25" s="146" t="s">
        <v>76</v>
      </c>
      <c r="G25" s="138"/>
    </row>
    <row r="26" spans="1:7">
      <c r="A26" s="135"/>
      <c r="B26" s="51" t="s">
        <v>118</v>
      </c>
      <c r="C26" s="18"/>
      <c r="D26" s="51">
        <f>+C21</f>
        <v>8</v>
      </c>
      <c r="E26" s="141">
        <v>80000</v>
      </c>
      <c r="F26" s="141">
        <f>+E26/D26</f>
        <v>10000</v>
      </c>
      <c r="G26" s="138"/>
    </row>
    <row r="27" spans="1:7">
      <c r="A27" s="135"/>
      <c r="B27" s="51" t="s">
        <v>191</v>
      </c>
      <c r="C27" s="18"/>
      <c r="D27" s="51">
        <v>1</v>
      </c>
      <c r="E27" s="141">
        <v>50</v>
      </c>
      <c r="F27" s="141">
        <f>+E27/D27</f>
        <v>50</v>
      </c>
      <c r="G27" s="138"/>
    </row>
    <row r="28" spans="1:7" ht="15.75" thickBot="1">
      <c r="A28" s="135"/>
      <c r="B28" s="51" t="s">
        <v>192</v>
      </c>
      <c r="C28" s="18"/>
      <c r="D28" s="51">
        <f>+D26</f>
        <v>8</v>
      </c>
      <c r="E28" s="141">
        <v>5000</v>
      </c>
      <c r="F28" s="141">
        <f>+E28/D28</f>
        <v>625</v>
      </c>
      <c r="G28" s="138"/>
    </row>
    <row r="29" spans="1:7" ht="15.75" thickBot="1">
      <c r="A29" s="135"/>
      <c r="C29" s="18"/>
      <c r="E29" s="142" t="s">
        <v>77</v>
      </c>
      <c r="F29" s="143">
        <f>SUM(F26:F28)</f>
        <v>10675</v>
      </c>
      <c r="G29" s="138"/>
    </row>
    <row r="30" spans="1:7">
      <c r="A30" s="135"/>
      <c r="C30" s="18"/>
      <c r="E30" s="144"/>
      <c r="F30" s="144"/>
      <c r="G30" s="138"/>
    </row>
    <row r="31" spans="1:7">
      <c r="A31" s="135"/>
      <c r="B31" s="51" t="s">
        <v>86</v>
      </c>
      <c r="C31" s="18"/>
      <c r="D31" s="140" t="s">
        <v>71</v>
      </c>
      <c r="E31" s="146" t="s">
        <v>84</v>
      </c>
      <c r="F31" s="146" t="s">
        <v>76</v>
      </c>
      <c r="G31" s="138"/>
    </row>
    <row r="32" spans="1:7">
      <c r="A32" s="135"/>
      <c r="B32" s="51" t="s">
        <v>120</v>
      </c>
      <c r="C32" s="18"/>
      <c r="D32" s="51">
        <v>20</v>
      </c>
      <c r="E32" s="141">
        <v>10000</v>
      </c>
      <c r="F32" s="141">
        <f>+E32/D32</f>
        <v>500</v>
      </c>
      <c r="G32" s="138"/>
    </row>
    <row r="33" spans="1:9">
      <c r="A33" s="135"/>
      <c r="B33" s="51"/>
      <c r="C33" s="18"/>
      <c r="D33" s="51"/>
      <c r="E33" s="141"/>
      <c r="F33" s="141">
        <f>+D33*E33</f>
        <v>0</v>
      </c>
      <c r="G33" s="138"/>
    </row>
    <row r="34" spans="1:9" ht="15.75" thickBot="1">
      <c r="A34" s="135"/>
      <c r="B34" s="51"/>
      <c r="C34" s="18"/>
      <c r="D34" s="51"/>
      <c r="E34" s="141"/>
      <c r="F34" s="141">
        <f>+D34*E34</f>
        <v>0</v>
      </c>
      <c r="G34" s="138"/>
    </row>
    <row r="35" spans="1:9" ht="15.75" thickBot="1">
      <c r="A35" s="135"/>
      <c r="C35" s="18"/>
      <c r="E35" s="142" t="s">
        <v>77</v>
      </c>
      <c r="F35" s="143">
        <f>SUM(F32:F34)</f>
        <v>500</v>
      </c>
      <c r="G35" s="138"/>
    </row>
    <row r="36" spans="1:9" ht="15.75" thickBot="1">
      <c r="A36" s="135"/>
      <c r="C36" s="18"/>
      <c r="E36" s="144"/>
      <c r="F36" s="144"/>
      <c r="G36" s="138"/>
    </row>
    <row r="37" spans="1:9" ht="15.75" thickBot="1">
      <c r="A37" s="135"/>
      <c r="C37" s="18"/>
      <c r="E37" s="142" t="s">
        <v>87</v>
      </c>
      <c r="F37" s="143">
        <f>+F17+F23+F35+F29</f>
        <v>84655.869666666666</v>
      </c>
      <c r="G37" s="138"/>
      <c r="I37">
        <v>35850</v>
      </c>
    </row>
    <row r="38" spans="1:9">
      <c r="A38" s="149"/>
      <c r="B38" s="150"/>
      <c r="C38" s="151"/>
      <c r="D38" s="150"/>
      <c r="E38" s="159"/>
      <c r="F38" s="150"/>
      <c r="G38" s="152"/>
    </row>
  </sheetData>
  <pageMargins left="0.7" right="0.7" top="0.75" bottom="0.75" header="0.3" footer="0.3"/>
  <pageSetup scale="9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37"/>
  <sheetViews>
    <sheetView view="pageBreakPreview" topLeftCell="A4" zoomScale="120" zoomScaleNormal="100" zoomScaleSheetLayoutView="120" workbookViewId="0">
      <selection activeCell="B11" sqref="B11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4.5703125" customWidth="1"/>
    <col min="5" max="5" width="5" customWidth="1"/>
    <col min="6" max="7" width="10.85546875" customWidth="1"/>
    <col min="8" max="8" width="1.42578125" customWidth="1"/>
  </cols>
  <sheetData>
    <row r="1" spans="1:8">
      <c r="A1" s="161"/>
      <c r="B1" s="162" t="s">
        <v>72</v>
      </c>
      <c r="C1" s="163"/>
      <c r="D1" s="163"/>
      <c r="E1" s="163"/>
      <c r="F1" s="164"/>
      <c r="G1" s="163"/>
      <c r="H1" s="165"/>
    </row>
    <row r="2" spans="1:8">
      <c r="A2" s="166"/>
      <c r="B2" s="167"/>
      <c r="C2" s="168"/>
      <c r="D2" s="169"/>
      <c r="E2" s="168"/>
      <c r="F2" s="170"/>
      <c r="G2" s="168"/>
      <c r="H2" s="171"/>
    </row>
    <row r="3" spans="1:8">
      <c r="A3" s="166"/>
      <c r="B3" s="153" t="s">
        <v>194</v>
      </c>
      <c r="C3" s="168"/>
      <c r="D3" s="169"/>
      <c r="E3" s="168"/>
      <c r="F3" s="170"/>
      <c r="G3" s="168"/>
      <c r="H3" s="171"/>
    </row>
    <row r="4" spans="1:8">
      <c r="A4" s="166"/>
      <c r="B4" s="191" t="s">
        <v>186</v>
      </c>
      <c r="C4" s="168"/>
      <c r="D4" s="169"/>
      <c r="E4" s="168"/>
      <c r="F4" s="172"/>
      <c r="G4" s="168"/>
      <c r="H4" s="171"/>
    </row>
    <row r="5" spans="1:8">
      <c r="A5" s="166"/>
      <c r="B5" s="124"/>
      <c r="C5" s="124"/>
      <c r="D5" s="169"/>
      <c r="E5" s="124"/>
      <c r="F5" s="173"/>
      <c r="G5" s="124"/>
      <c r="H5" s="171"/>
    </row>
    <row r="6" spans="1:8">
      <c r="A6" s="166"/>
      <c r="B6" s="174" t="s">
        <v>74</v>
      </c>
      <c r="C6" s="124"/>
      <c r="D6" s="175" t="s">
        <v>75</v>
      </c>
      <c r="E6" s="175" t="s">
        <v>71</v>
      </c>
      <c r="F6" s="176" t="s">
        <v>70</v>
      </c>
      <c r="G6" s="175" t="s">
        <v>76</v>
      </c>
      <c r="H6" s="171"/>
    </row>
    <row r="7" spans="1:8">
      <c r="A7" s="166"/>
      <c r="B7" s="177" t="s">
        <v>110</v>
      </c>
      <c r="C7" s="124"/>
      <c r="D7" s="175" t="s">
        <v>94</v>
      </c>
      <c r="E7" s="177">
        <f>350*0.2*0.2*3</f>
        <v>42</v>
      </c>
      <c r="F7" s="178">
        <v>550</v>
      </c>
      <c r="G7" s="178">
        <f>+F7*E7</f>
        <v>23100</v>
      </c>
      <c r="H7" s="171"/>
    </row>
    <row r="8" spans="1:8">
      <c r="A8" s="166"/>
      <c r="B8" s="177" t="s">
        <v>177</v>
      </c>
      <c r="C8" s="124"/>
      <c r="D8" s="175" t="s">
        <v>1</v>
      </c>
      <c r="E8" s="177">
        <f>0.56*0.2*0.2*3</f>
        <v>6.720000000000001E-2</v>
      </c>
      <c r="F8" s="178">
        <v>50000</v>
      </c>
      <c r="G8" s="178">
        <f t="shared" ref="G8:G17" si="0">+F8*E8</f>
        <v>3360.0000000000005</v>
      </c>
      <c r="H8" s="171"/>
    </row>
    <row r="9" spans="1:8">
      <c r="A9" s="166"/>
      <c r="B9" s="177" t="s">
        <v>178</v>
      </c>
      <c r="C9" s="124"/>
      <c r="D9" s="175" t="s">
        <v>1</v>
      </c>
      <c r="E9" s="177">
        <f>0.84*0.2*0.2*3</f>
        <v>0.10080000000000001</v>
      </c>
      <c r="F9" s="178">
        <v>95000</v>
      </c>
      <c r="G9" s="178">
        <f t="shared" si="0"/>
        <v>9576.0000000000018</v>
      </c>
      <c r="H9" s="171"/>
    </row>
    <row r="10" spans="1:8">
      <c r="A10" s="166"/>
      <c r="B10" s="177" t="s">
        <v>97</v>
      </c>
      <c r="C10" s="124"/>
      <c r="D10" s="175" t="s">
        <v>98</v>
      </c>
      <c r="E10" s="177">
        <f>6.3*3</f>
        <v>18.899999999999999</v>
      </c>
      <c r="F10" s="178">
        <v>50</v>
      </c>
      <c r="G10" s="178">
        <f t="shared" si="0"/>
        <v>944.99999999999989</v>
      </c>
      <c r="H10" s="171"/>
    </row>
    <row r="11" spans="1:8">
      <c r="A11" s="166"/>
      <c r="B11" s="177" t="s">
        <v>179</v>
      </c>
      <c r="C11" s="124"/>
      <c r="D11" s="175" t="s">
        <v>94</v>
      </c>
      <c r="E11" s="177">
        <f>3*4</f>
        <v>12</v>
      </c>
      <c r="F11" s="178">
        <v>4550</v>
      </c>
      <c r="G11" s="178">
        <f t="shared" si="0"/>
        <v>54600</v>
      </c>
      <c r="H11" s="171"/>
    </row>
    <row r="12" spans="1:8">
      <c r="A12" s="166"/>
      <c r="B12" s="177" t="s">
        <v>180</v>
      </c>
      <c r="C12" s="124"/>
      <c r="D12" s="175" t="s">
        <v>94</v>
      </c>
      <c r="E12" s="177">
        <f>6*1.2*0.56*3</f>
        <v>12.096</v>
      </c>
      <c r="F12" s="178">
        <v>4550</v>
      </c>
      <c r="G12" s="178">
        <f t="shared" si="0"/>
        <v>55036.800000000003</v>
      </c>
      <c r="H12" s="171"/>
    </row>
    <row r="13" spans="1:8">
      <c r="A13" s="166"/>
      <c r="B13" s="51" t="s">
        <v>347</v>
      </c>
      <c r="D13" s="140" t="s">
        <v>94</v>
      </c>
      <c r="E13" s="51">
        <v>0.05</v>
      </c>
      <c r="F13" s="141">
        <v>6500</v>
      </c>
      <c r="G13" s="178">
        <f t="shared" si="0"/>
        <v>325</v>
      </c>
      <c r="H13" s="171"/>
    </row>
    <row r="14" spans="1:8">
      <c r="A14" s="166"/>
      <c r="B14" s="177" t="s">
        <v>181</v>
      </c>
      <c r="C14" s="124"/>
      <c r="D14" s="175" t="s">
        <v>182</v>
      </c>
      <c r="E14" s="177">
        <f>3*0.25</f>
        <v>0.75</v>
      </c>
      <c r="F14" s="178">
        <v>35000</v>
      </c>
      <c r="G14" s="178">
        <f t="shared" si="0"/>
        <v>26250</v>
      </c>
      <c r="H14" s="171"/>
    </row>
    <row r="15" spans="1:8">
      <c r="A15" s="166"/>
      <c r="B15" s="177" t="s">
        <v>183</v>
      </c>
      <c r="C15" s="124"/>
      <c r="D15" s="175" t="s">
        <v>182</v>
      </c>
      <c r="E15" s="177">
        <f>3*0.2</f>
        <v>0.60000000000000009</v>
      </c>
      <c r="F15" s="178">
        <v>10000</v>
      </c>
      <c r="G15" s="178">
        <f t="shared" si="0"/>
        <v>6000.0000000000009</v>
      </c>
      <c r="H15" s="171"/>
    </row>
    <row r="16" spans="1:8">
      <c r="A16" s="166"/>
      <c r="B16" s="177" t="s">
        <v>184</v>
      </c>
      <c r="C16" s="124"/>
      <c r="D16" s="175" t="s">
        <v>94</v>
      </c>
      <c r="E16" s="179">
        <f>3*0.2</f>
        <v>0.60000000000000009</v>
      </c>
      <c r="F16" s="178">
        <v>18000</v>
      </c>
      <c r="G16" s="178">
        <f t="shared" si="0"/>
        <v>10800.000000000002</v>
      </c>
      <c r="H16" s="171"/>
    </row>
    <row r="17" spans="1:8" ht="15.75" thickBot="1">
      <c r="A17" s="166"/>
      <c r="B17" s="177" t="s">
        <v>173</v>
      </c>
      <c r="C17" s="124"/>
      <c r="D17" s="175" t="s">
        <v>100</v>
      </c>
      <c r="E17" s="180">
        <v>0.03</v>
      </c>
      <c r="F17" s="178">
        <f>SUM(F7:F16)</f>
        <v>224200</v>
      </c>
      <c r="G17" s="178">
        <f t="shared" si="0"/>
        <v>6726</v>
      </c>
      <c r="H17" s="171"/>
    </row>
    <row r="18" spans="1:8" ht="15.75" thickBot="1">
      <c r="A18" s="166"/>
      <c r="B18" s="124"/>
      <c r="C18" s="124"/>
      <c r="D18" s="169"/>
      <c r="E18" s="124"/>
      <c r="F18" s="181" t="s">
        <v>77</v>
      </c>
      <c r="G18" s="182">
        <f>SUM(G7:G17)</f>
        <v>196718.8</v>
      </c>
      <c r="H18" s="171"/>
    </row>
    <row r="19" spans="1:8">
      <c r="A19" s="166"/>
      <c r="B19" s="124"/>
      <c r="C19" s="124"/>
      <c r="D19" s="169"/>
      <c r="E19" s="124"/>
      <c r="F19" s="181"/>
      <c r="G19" s="173"/>
      <c r="H19" s="171"/>
    </row>
    <row r="20" spans="1:8">
      <c r="A20" s="166"/>
      <c r="B20" s="174" t="s">
        <v>78</v>
      </c>
      <c r="C20" s="168"/>
      <c r="D20" s="175" t="s">
        <v>79</v>
      </c>
      <c r="E20" s="175"/>
      <c r="F20" s="183" t="s">
        <v>80</v>
      </c>
      <c r="G20" s="176" t="s">
        <v>76</v>
      </c>
      <c r="H20" s="171"/>
    </row>
    <row r="21" spans="1:8">
      <c r="A21" s="166"/>
      <c r="B21" s="177" t="s">
        <v>185</v>
      </c>
      <c r="C21" s="124"/>
      <c r="D21" s="192">
        <v>2.5665439852535021</v>
      </c>
      <c r="E21" s="184"/>
      <c r="F21" s="185">
        <f>+'M.O.'!E4*2</f>
        <v>135333.33333333334</v>
      </c>
      <c r="G21" s="178">
        <f>+F21/D21</f>
        <v>52729.793103454736</v>
      </c>
      <c r="H21" s="171"/>
    </row>
    <row r="22" spans="1:8">
      <c r="A22" s="166"/>
      <c r="B22" s="177" t="s">
        <v>81</v>
      </c>
      <c r="C22" s="124"/>
      <c r="D22" s="192">
        <f>+D21</f>
        <v>2.5665439852535021</v>
      </c>
      <c r="E22" s="184"/>
      <c r="F22" s="185">
        <f>+'M.O.'!E4</f>
        <v>67666.666666666672</v>
      </c>
      <c r="G22" s="178">
        <f t="shared" ref="G22:G23" si="1">+F22/D22</f>
        <v>26364.896551727368</v>
      </c>
      <c r="H22" s="171"/>
    </row>
    <row r="23" spans="1:8" ht="15.75" thickBot="1">
      <c r="A23" s="166"/>
      <c r="B23" s="177" t="s">
        <v>82</v>
      </c>
      <c r="C23" s="124"/>
      <c r="D23" s="192">
        <f>+D22</f>
        <v>2.5665439852535021</v>
      </c>
      <c r="E23" s="184"/>
      <c r="F23" s="185">
        <f>2*'M.O.'!E46</f>
        <v>77333.333333333328</v>
      </c>
      <c r="G23" s="178">
        <f t="shared" si="1"/>
        <v>30131.310344831272</v>
      </c>
      <c r="H23" s="171"/>
    </row>
    <row r="24" spans="1:8" ht="15.75" thickBot="1">
      <c r="A24" s="166"/>
      <c r="B24" s="124"/>
      <c r="C24" s="124"/>
      <c r="D24" s="169"/>
      <c r="E24" s="124"/>
      <c r="F24" s="181" t="s">
        <v>77</v>
      </c>
      <c r="G24" s="182">
        <f>SUM(G21:G23)</f>
        <v>109226.00000001337</v>
      </c>
      <c r="H24" s="171"/>
    </row>
    <row r="25" spans="1:8">
      <c r="A25" s="166"/>
      <c r="B25" s="124"/>
      <c r="C25" s="124"/>
      <c r="D25" s="169"/>
      <c r="E25" s="124"/>
      <c r="F25" s="173"/>
      <c r="G25" s="173"/>
      <c r="H25" s="171"/>
    </row>
    <row r="26" spans="1:8">
      <c r="A26" s="166"/>
      <c r="B26" s="177" t="s">
        <v>83</v>
      </c>
      <c r="C26" s="124"/>
      <c r="D26" s="169"/>
      <c r="E26" s="175" t="s">
        <v>79</v>
      </c>
      <c r="F26" s="176" t="s">
        <v>84</v>
      </c>
      <c r="G26" s="176" t="s">
        <v>76</v>
      </c>
      <c r="H26" s="171"/>
    </row>
    <row r="27" spans="1:8">
      <c r="A27" s="166"/>
      <c r="B27" s="177" t="s">
        <v>102</v>
      </c>
      <c r="C27" s="124"/>
      <c r="D27" s="169"/>
      <c r="E27" s="177">
        <v>1</v>
      </c>
      <c r="F27" s="178">
        <v>1000</v>
      </c>
      <c r="G27" s="178">
        <v>1000</v>
      </c>
      <c r="H27" s="171"/>
    </row>
    <row r="28" spans="1:8" ht="15.75" thickBot="1">
      <c r="A28" s="166"/>
      <c r="B28" s="177"/>
      <c r="C28" s="124"/>
      <c r="D28" s="169"/>
      <c r="E28" s="177"/>
      <c r="F28" s="178"/>
      <c r="G28" s="178">
        <v>0</v>
      </c>
      <c r="H28" s="171"/>
    </row>
    <row r="29" spans="1:8" ht="15.75" thickBot="1">
      <c r="A29" s="166"/>
      <c r="B29" s="124"/>
      <c r="C29" s="124"/>
      <c r="D29" s="169"/>
      <c r="E29" s="124"/>
      <c r="F29" s="181" t="s">
        <v>77</v>
      </c>
      <c r="G29" s="182">
        <v>1000</v>
      </c>
      <c r="H29" s="171"/>
    </row>
    <row r="30" spans="1:8">
      <c r="A30" s="166"/>
      <c r="B30" s="124"/>
      <c r="C30" s="124"/>
      <c r="D30" s="169"/>
      <c r="E30" s="124"/>
      <c r="F30" s="173"/>
      <c r="G30" s="173"/>
      <c r="H30" s="171"/>
    </row>
    <row r="31" spans="1:8">
      <c r="A31" s="166"/>
      <c r="B31" s="177" t="s">
        <v>86</v>
      </c>
      <c r="C31" s="124"/>
      <c r="D31" s="169"/>
      <c r="E31" s="175" t="s">
        <v>71</v>
      </c>
      <c r="F31" s="176" t="s">
        <v>84</v>
      </c>
      <c r="G31" s="176" t="s">
        <v>76</v>
      </c>
      <c r="H31" s="171"/>
    </row>
    <row r="32" spans="1:8">
      <c r="A32" s="166"/>
      <c r="B32" s="177" t="s">
        <v>120</v>
      </c>
      <c r="C32" s="124"/>
      <c r="D32" s="169"/>
      <c r="E32" s="177">
        <v>1</v>
      </c>
      <c r="F32" s="178">
        <v>400</v>
      </c>
      <c r="G32" s="178">
        <f>+F32/E32</f>
        <v>400</v>
      </c>
      <c r="H32" s="171"/>
    </row>
    <row r="33" spans="1:8" ht="15.75" thickBot="1">
      <c r="A33" s="166"/>
      <c r="B33" s="177"/>
      <c r="C33" s="124"/>
      <c r="D33" s="169"/>
      <c r="E33" s="177"/>
      <c r="F33" s="178"/>
      <c r="G33" s="178">
        <v>0</v>
      </c>
      <c r="H33" s="171"/>
    </row>
    <row r="34" spans="1:8" ht="15.75" thickBot="1">
      <c r="A34" s="166"/>
      <c r="B34" s="124"/>
      <c r="C34" s="124"/>
      <c r="D34" s="169"/>
      <c r="E34" s="124"/>
      <c r="F34" s="181" t="s">
        <v>77</v>
      </c>
      <c r="G34" s="182">
        <f>SUM(G32:G33)</f>
        <v>400</v>
      </c>
      <c r="H34" s="171"/>
    </row>
    <row r="35" spans="1:8" ht="15.75" thickBot="1">
      <c r="A35" s="166"/>
      <c r="B35" s="124"/>
      <c r="C35" s="124"/>
      <c r="D35" s="169"/>
      <c r="E35" s="124"/>
      <c r="F35" s="173"/>
      <c r="G35" s="173"/>
      <c r="H35" s="171"/>
    </row>
    <row r="36" spans="1:8" ht="15.75" thickBot="1">
      <c r="A36" s="166"/>
      <c r="B36" s="124"/>
      <c r="C36" s="124"/>
      <c r="D36" s="169"/>
      <c r="E36" s="124"/>
      <c r="F36" s="181" t="s">
        <v>87</v>
      </c>
      <c r="G36" s="182">
        <f>+G34+G29+G24+G18</f>
        <v>307344.80000001338</v>
      </c>
      <c r="H36" s="171"/>
    </row>
    <row r="37" spans="1:8">
      <c r="A37" s="186"/>
      <c r="B37" s="187"/>
      <c r="C37" s="187"/>
      <c r="D37" s="188"/>
      <c r="E37" s="187"/>
      <c r="F37" s="189"/>
      <c r="G37" s="187"/>
      <c r="H37" s="190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37"/>
  <sheetViews>
    <sheetView zoomScale="130" zoomScaleNormal="130" workbookViewId="0">
      <selection activeCell="B15" sqref="B15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4.5703125" customWidth="1"/>
    <col min="5" max="5" width="6.28515625" customWidth="1"/>
    <col min="6" max="7" width="10.85546875" customWidth="1"/>
    <col min="8" max="8" width="1.42578125" customWidth="1"/>
  </cols>
  <sheetData>
    <row r="1" spans="1:8">
      <c r="D1" s="18"/>
      <c r="F1" s="144"/>
    </row>
    <row r="2" spans="1:8">
      <c r="A2" s="131"/>
      <c r="B2" s="132" t="s">
        <v>72</v>
      </c>
      <c r="C2" s="133"/>
      <c r="D2" s="133"/>
      <c r="E2" s="133"/>
      <c r="F2" s="155"/>
      <c r="G2" s="133"/>
      <c r="H2" s="134"/>
    </row>
    <row r="3" spans="1:8">
      <c r="A3" s="135"/>
      <c r="B3" s="136"/>
      <c r="C3" s="137"/>
      <c r="D3" s="18"/>
      <c r="E3" s="137"/>
      <c r="F3" s="156"/>
      <c r="G3" s="137"/>
      <c r="H3" s="138"/>
    </row>
    <row r="4" spans="1:8">
      <c r="A4" s="135"/>
      <c r="B4" s="153" t="s">
        <v>176</v>
      </c>
      <c r="C4" s="137"/>
      <c r="D4" s="18"/>
      <c r="E4" s="137"/>
      <c r="F4" s="156"/>
      <c r="G4" s="137"/>
      <c r="H4" s="138"/>
    </row>
    <row r="5" spans="1:8">
      <c r="A5" s="135"/>
      <c r="B5" s="154" t="s">
        <v>175</v>
      </c>
      <c r="C5" s="137"/>
      <c r="D5" s="18"/>
      <c r="E5" s="137"/>
      <c r="F5" s="156"/>
      <c r="G5" s="137"/>
      <c r="H5" s="138"/>
    </row>
    <row r="6" spans="1:8">
      <c r="A6" s="135"/>
      <c r="D6" s="18"/>
      <c r="F6" s="144"/>
      <c r="H6" s="138"/>
    </row>
    <row r="7" spans="1:8">
      <c r="A7" s="135"/>
      <c r="B7" s="139" t="s">
        <v>74</v>
      </c>
      <c r="D7" s="140" t="s">
        <v>75</v>
      </c>
      <c r="E7" s="140" t="s">
        <v>71</v>
      </c>
      <c r="F7" s="146" t="s">
        <v>70</v>
      </c>
      <c r="G7" s="140" t="s">
        <v>76</v>
      </c>
      <c r="H7" s="138"/>
    </row>
    <row r="8" spans="1:8">
      <c r="A8" s="135"/>
      <c r="B8" s="51" t="s">
        <v>172</v>
      </c>
      <c r="D8" s="140" t="s">
        <v>17</v>
      </c>
      <c r="E8" s="157">
        <v>13.5</v>
      </c>
      <c r="F8" s="141">
        <v>2000</v>
      </c>
      <c r="G8" s="141">
        <f>+E8*F8</f>
        <v>27000</v>
      </c>
      <c r="H8" s="138"/>
    </row>
    <row r="9" spans="1:8">
      <c r="A9" s="135"/>
      <c r="B9" s="51" t="s">
        <v>110</v>
      </c>
      <c r="D9" s="140" t="s">
        <v>94</v>
      </c>
      <c r="E9" s="51">
        <v>6.5</v>
      </c>
      <c r="F9" s="141">
        <v>550</v>
      </c>
      <c r="G9" s="141">
        <f>+E9*F9</f>
        <v>3575</v>
      </c>
      <c r="H9" s="138"/>
    </row>
    <row r="10" spans="1:8">
      <c r="A10" s="135"/>
      <c r="B10" s="51" t="s">
        <v>95</v>
      </c>
      <c r="D10" s="140" t="s">
        <v>1</v>
      </c>
      <c r="E10" s="158">
        <v>0.02</v>
      </c>
      <c r="F10" s="141">
        <v>50000</v>
      </c>
      <c r="G10" s="141">
        <f>+E10*F10</f>
        <v>1000</v>
      </c>
      <c r="H10" s="138"/>
    </row>
    <row r="11" spans="1:8">
      <c r="A11" s="135"/>
      <c r="B11" s="51" t="s">
        <v>97</v>
      </c>
      <c r="D11" s="140" t="s">
        <v>98</v>
      </c>
      <c r="E11" s="51">
        <v>4</v>
      </c>
      <c r="F11" s="141">
        <v>50</v>
      </c>
      <c r="G11" s="141">
        <f>+E11*F11</f>
        <v>200</v>
      </c>
      <c r="H11" s="138"/>
    </row>
    <row r="12" spans="1:8" ht="15.75" thickBot="1">
      <c r="A12" s="135"/>
      <c r="B12" s="51" t="s">
        <v>173</v>
      </c>
      <c r="D12" s="140" t="s">
        <v>100</v>
      </c>
      <c r="E12" s="51">
        <v>0.05</v>
      </c>
      <c r="F12" s="141">
        <f>SUM(G8:G11)</f>
        <v>31775</v>
      </c>
      <c r="G12" s="141">
        <f>+E12*F12</f>
        <v>1588.75</v>
      </c>
      <c r="H12" s="138"/>
    </row>
    <row r="13" spans="1:8" ht="15.75" thickBot="1">
      <c r="A13" s="135"/>
      <c r="D13" s="18"/>
      <c r="F13" s="142" t="s">
        <v>77</v>
      </c>
      <c r="G13" s="143">
        <f>SUM(G8:G12)</f>
        <v>33363.75</v>
      </c>
      <c r="H13" s="138"/>
    </row>
    <row r="14" spans="1:8">
      <c r="A14" s="135"/>
      <c r="D14" s="18"/>
      <c r="F14" s="142"/>
      <c r="G14" s="144"/>
      <c r="H14" s="138"/>
    </row>
    <row r="15" spans="1:8">
      <c r="A15" s="135"/>
      <c r="B15" s="139" t="s">
        <v>78</v>
      </c>
      <c r="C15" s="137"/>
      <c r="D15" s="140" t="s">
        <v>79</v>
      </c>
      <c r="E15" s="140"/>
      <c r="F15" s="145" t="s">
        <v>80</v>
      </c>
      <c r="G15" s="146" t="s">
        <v>76</v>
      </c>
      <c r="H15" s="138"/>
    </row>
    <row r="16" spans="1:8">
      <c r="A16" s="135"/>
      <c r="B16" s="51" t="s">
        <v>81</v>
      </c>
      <c r="D16" s="160">
        <v>9.0772632948278105</v>
      </c>
      <c r="E16" s="147"/>
      <c r="F16" s="148">
        <f>+'M.O.'!E4</f>
        <v>67666.666666666672</v>
      </c>
      <c r="G16" s="141">
        <f>+F16/D16</f>
        <v>7454.5228521930039</v>
      </c>
      <c r="H16" s="138"/>
    </row>
    <row r="17" spans="1:8">
      <c r="A17" s="135"/>
      <c r="B17" s="51" t="s">
        <v>91</v>
      </c>
      <c r="D17" s="160">
        <f>+D16</f>
        <v>9.0772632948278105</v>
      </c>
      <c r="E17" s="147"/>
      <c r="F17" s="148">
        <f>+'M.O.'!E46</f>
        <v>38666.666666666664</v>
      </c>
      <c r="G17" s="141">
        <f>+F17/D17</f>
        <v>4259.727344110287</v>
      </c>
      <c r="H17" s="138"/>
    </row>
    <row r="18" spans="1:8" ht="15.75" thickBot="1">
      <c r="A18" s="135"/>
      <c r="B18" s="51"/>
      <c r="D18" s="140"/>
      <c r="E18" s="147"/>
      <c r="F18" s="148"/>
      <c r="G18" s="141">
        <v>0</v>
      </c>
      <c r="H18" s="138"/>
    </row>
    <row r="19" spans="1:8" ht="15.75" thickBot="1">
      <c r="A19" s="135"/>
      <c r="D19" s="18"/>
      <c r="F19" s="142" t="s">
        <v>77</v>
      </c>
      <c r="G19" s="143">
        <f>SUM(G16:G18)</f>
        <v>11714.250196303292</v>
      </c>
      <c r="H19" s="138"/>
    </row>
    <row r="20" spans="1:8">
      <c r="A20" s="135"/>
      <c r="D20" s="18"/>
      <c r="F20" s="144"/>
      <c r="G20" s="144"/>
      <c r="H20" s="138"/>
    </row>
    <row r="21" spans="1:8">
      <c r="A21" s="135"/>
      <c r="B21" s="51" t="s">
        <v>83</v>
      </c>
      <c r="D21" s="18"/>
      <c r="E21" s="140" t="s">
        <v>79</v>
      </c>
      <c r="F21" s="146" t="s">
        <v>84</v>
      </c>
      <c r="G21" s="146" t="s">
        <v>76</v>
      </c>
      <c r="H21" s="138"/>
    </row>
    <row r="22" spans="1:8">
      <c r="A22" s="135"/>
      <c r="B22" s="51" t="s">
        <v>102</v>
      </c>
      <c r="D22" s="18"/>
      <c r="E22" s="51">
        <v>1</v>
      </c>
      <c r="F22" s="141">
        <v>1000</v>
      </c>
      <c r="G22" s="141">
        <f>+F22/E22</f>
        <v>1000</v>
      </c>
      <c r="H22" s="138"/>
    </row>
    <row r="23" spans="1:8">
      <c r="A23" s="135"/>
      <c r="B23" s="51"/>
      <c r="D23" s="18"/>
      <c r="E23" s="51"/>
      <c r="F23" s="141"/>
      <c r="G23" s="141">
        <v>0</v>
      </c>
      <c r="H23" s="138"/>
    </row>
    <row r="24" spans="1:8">
      <c r="A24" s="135"/>
      <c r="B24" s="51"/>
      <c r="D24" s="18"/>
      <c r="E24" s="51"/>
      <c r="F24" s="141"/>
      <c r="G24" s="141">
        <v>0</v>
      </c>
      <c r="H24" s="138"/>
    </row>
    <row r="25" spans="1:8" ht="15.75" thickBot="1">
      <c r="A25" s="135"/>
      <c r="B25" s="51"/>
      <c r="D25" s="18"/>
      <c r="E25" s="51"/>
      <c r="F25" s="141"/>
      <c r="G25" s="141">
        <v>0</v>
      </c>
      <c r="H25" s="138"/>
    </row>
    <row r="26" spans="1:8" ht="15.75" thickBot="1">
      <c r="A26" s="135"/>
      <c r="D26" s="18"/>
      <c r="F26" s="142" t="s">
        <v>77</v>
      </c>
      <c r="G26" s="143">
        <f>SUM(G22:G25)</f>
        <v>1000</v>
      </c>
      <c r="H26" s="138"/>
    </row>
    <row r="27" spans="1:8">
      <c r="A27" s="135"/>
      <c r="D27" s="18"/>
      <c r="F27" s="144"/>
      <c r="G27" s="144"/>
      <c r="H27" s="138"/>
    </row>
    <row r="28" spans="1:8">
      <c r="A28" s="135"/>
      <c r="B28" s="51" t="s">
        <v>86</v>
      </c>
      <c r="D28" s="18"/>
      <c r="E28" s="140" t="s">
        <v>71</v>
      </c>
      <c r="F28" s="146" t="s">
        <v>84</v>
      </c>
      <c r="G28" s="146" t="s">
        <v>76</v>
      </c>
      <c r="H28" s="138"/>
    </row>
    <row r="29" spans="1:8">
      <c r="A29" s="135"/>
      <c r="B29" s="51" t="s">
        <v>174</v>
      </c>
      <c r="D29" s="18"/>
      <c r="E29" s="51">
        <v>12.5</v>
      </c>
      <c r="F29" s="141">
        <v>30000</v>
      </c>
      <c r="G29" s="141">
        <f>+F29/E29</f>
        <v>2400</v>
      </c>
      <c r="H29" s="138"/>
    </row>
    <row r="30" spans="1:8">
      <c r="A30" s="135"/>
      <c r="B30" s="51"/>
      <c r="D30" s="18"/>
      <c r="E30" s="51"/>
      <c r="F30" s="141"/>
      <c r="G30" s="141">
        <f>+E30*F30</f>
        <v>0</v>
      </c>
      <c r="H30" s="138"/>
    </row>
    <row r="31" spans="1:8" ht="15.75" thickBot="1">
      <c r="A31" s="135"/>
      <c r="B31" s="51"/>
      <c r="D31" s="18"/>
      <c r="E31" s="51"/>
      <c r="F31" s="141"/>
      <c r="G31" s="141">
        <f>+E31*F31</f>
        <v>0</v>
      </c>
      <c r="H31" s="138"/>
    </row>
    <row r="32" spans="1:8" ht="15.75" thickBot="1">
      <c r="A32" s="135"/>
      <c r="D32" s="18"/>
      <c r="F32" s="142" t="s">
        <v>77</v>
      </c>
      <c r="G32" s="143">
        <f>SUM(G29:G31)</f>
        <v>2400</v>
      </c>
      <c r="H32" s="138"/>
    </row>
    <row r="33" spans="1:8" ht="15.75" thickBot="1">
      <c r="A33" s="135"/>
      <c r="D33" s="18"/>
      <c r="F33" s="144"/>
      <c r="G33" s="144"/>
      <c r="H33" s="138"/>
    </row>
    <row r="34" spans="1:8" ht="15.75" thickBot="1">
      <c r="A34" s="135"/>
      <c r="D34" s="18"/>
      <c r="F34" s="142" t="s">
        <v>87</v>
      </c>
      <c r="G34" s="143">
        <f>+G32+G26+G19+G13</f>
        <v>48478.000196303292</v>
      </c>
      <c r="H34" s="138"/>
    </row>
    <row r="35" spans="1:8">
      <c r="A35" s="149"/>
      <c r="B35" s="150"/>
      <c r="C35" s="150"/>
      <c r="D35" s="151"/>
      <c r="E35" s="150"/>
      <c r="F35" s="159"/>
      <c r="G35" s="150"/>
      <c r="H35" s="152"/>
    </row>
    <row r="36" spans="1:8">
      <c r="D36" s="18"/>
      <c r="F36" s="144"/>
    </row>
    <row r="37" spans="1:8">
      <c r="D37" s="18"/>
      <c r="F37" s="144"/>
    </row>
  </sheetData>
  <dataConsolidate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33"/>
  <sheetViews>
    <sheetView topLeftCell="A13" workbookViewId="0">
      <selection activeCell="I28" sqref="I28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4.5703125" customWidth="1"/>
    <col min="5" max="5" width="5" customWidth="1"/>
    <col min="6" max="6" width="11" customWidth="1"/>
    <col min="7" max="7" width="10.85546875" customWidth="1"/>
    <col min="8" max="8" width="1.42578125" customWidth="1"/>
    <col min="10" max="10" width="14.5703125" bestFit="1" customWidth="1"/>
    <col min="11" max="12" width="11.85546875" bestFit="1" customWidth="1"/>
    <col min="14" max="14" width="11.85546875" bestFit="1" customWidth="1"/>
  </cols>
  <sheetData>
    <row r="1" spans="1:14">
      <c r="D1" s="18"/>
    </row>
    <row r="2" spans="1:14">
      <c r="A2" s="131"/>
      <c r="B2" s="132" t="s">
        <v>72</v>
      </c>
      <c r="C2" s="133"/>
      <c r="D2" s="133"/>
      <c r="E2" s="133"/>
      <c r="F2" s="133"/>
      <c r="G2" s="133"/>
      <c r="H2" s="134"/>
    </row>
    <row r="3" spans="1:14">
      <c r="A3" s="135"/>
      <c r="B3" s="136"/>
      <c r="C3" s="137"/>
      <c r="D3" s="18"/>
      <c r="E3" s="137"/>
      <c r="F3" s="137"/>
      <c r="G3" s="137"/>
      <c r="H3" s="138"/>
    </row>
    <row r="4" spans="1:14" ht="15" customHeight="1">
      <c r="A4" s="135"/>
      <c r="B4" s="304" t="s">
        <v>170</v>
      </c>
      <c r="C4" s="304"/>
      <c r="D4" s="304"/>
      <c r="E4" s="304"/>
      <c r="F4" s="304"/>
      <c r="G4" s="304"/>
      <c r="H4" s="138"/>
    </row>
    <row r="5" spans="1:14">
      <c r="A5" s="135"/>
      <c r="B5" s="154" t="s">
        <v>89</v>
      </c>
      <c r="C5" s="137"/>
      <c r="D5" s="18"/>
      <c r="E5" s="137"/>
      <c r="F5" s="137"/>
      <c r="G5" s="137"/>
      <c r="H5" s="138"/>
    </row>
    <row r="6" spans="1:14">
      <c r="A6" s="135"/>
      <c r="D6" s="18"/>
      <c r="H6" s="138"/>
    </row>
    <row r="7" spans="1:14">
      <c r="A7" s="135"/>
      <c r="B7" s="139" t="s">
        <v>74</v>
      </c>
      <c r="D7" s="140" t="s">
        <v>75</v>
      </c>
      <c r="E7" s="140" t="s">
        <v>71</v>
      </c>
      <c r="F7" s="140" t="s">
        <v>70</v>
      </c>
      <c r="G7" s="140" t="s">
        <v>76</v>
      </c>
      <c r="H7" s="138"/>
    </row>
    <row r="8" spans="1:14">
      <c r="A8" s="135"/>
      <c r="B8" s="51" t="s">
        <v>161</v>
      </c>
      <c r="D8" s="140" t="s">
        <v>162</v>
      </c>
      <c r="E8" s="51">
        <v>0</v>
      </c>
      <c r="F8" s="141">
        <v>100</v>
      </c>
      <c r="G8" s="141">
        <f>+E8*F8</f>
        <v>0</v>
      </c>
      <c r="H8" s="138"/>
    </row>
    <row r="9" spans="1:14">
      <c r="A9" s="135"/>
      <c r="B9" s="51" t="s">
        <v>163</v>
      </c>
      <c r="D9" s="140" t="s">
        <v>1</v>
      </c>
      <c r="E9" s="51">
        <v>1</v>
      </c>
      <c r="F9" s="141">
        <v>22000</v>
      </c>
      <c r="G9" s="141">
        <f>+E9*F9</f>
        <v>22000</v>
      </c>
      <c r="H9" s="138"/>
    </row>
    <row r="10" spans="1:14" ht="15.75" thickBot="1">
      <c r="A10" s="135"/>
      <c r="B10" s="51" t="s">
        <v>97</v>
      </c>
      <c r="C10" s="51"/>
      <c r="D10" s="140" t="s">
        <v>98</v>
      </c>
      <c r="E10" s="51">
        <v>0</v>
      </c>
      <c r="F10" s="141">
        <v>50</v>
      </c>
      <c r="G10" s="141">
        <f>+E10*F10</f>
        <v>0</v>
      </c>
      <c r="H10" s="138"/>
    </row>
    <row r="11" spans="1:14" ht="15.75" thickBot="1">
      <c r="A11" s="135"/>
      <c r="D11" s="18"/>
      <c r="F11" s="142" t="s">
        <v>77</v>
      </c>
      <c r="G11" s="143">
        <f>SUM(G8:G10)</f>
        <v>22000</v>
      </c>
      <c r="H11" s="138"/>
      <c r="K11" s="144"/>
      <c r="L11" s="144"/>
      <c r="N11" s="144"/>
    </row>
    <row r="12" spans="1:14">
      <c r="A12" s="135"/>
      <c r="D12" s="18"/>
      <c r="F12" s="142"/>
      <c r="G12" s="144"/>
      <c r="H12" s="138"/>
    </row>
    <row r="13" spans="1:14">
      <c r="A13" s="135"/>
      <c r="B13" s="139" t="s">
        <v>78</v>
      </c>
      <c r="C13" s="137"/>
      <c r="D13" s="140" t="s">
        <v>79</v>
      </c>
      <c r="E13" s="140"/>
      <c r="F13" s="145" t="s">
        <v>80</v>
      </c>
      <c r="G13" s="146" t="s">
        <v>76</v>
      </c>
      <c r="H13" s="138"/>
    </row>
    <row r="14" spans="1:14">
      <c r="A14" s="135"/>
      <c r="B14" s="51" t="s">
        <v>82</v>
      </c>
      <c r="D14" s="140">
        <v>200</v>
      </c>
      <c r="E14" s="147"/>
      <c r="F14" s="148">
        <f>2*'M.O.'!E46</f>
        <v>77333.333333333328</v>
      </c>
      <c r="G14" s="141">
        <f>+F14/D14</f>
        <v>386.66666666666663</v>
      </c>
      <c r="H14" s="138"/>
      <c r="L14" s="144"/>
    </row>
    <row r="15" spans="1:14">
      <c r="A15" s="135"/>
      <c r="B15" s="51"/>
      <c r="D15" s="140">
        <v>1</v>
      </c>
      <c r="E15" s="147"/>
      <c r="F15" s="148"/>
      <c r="G15" s="141">
        <f>+F15/D15</f>
        <v>0</v>
      </c>
      <c r="H15" s="138"/>
    </row>
    <row r="16" spans="1:14" ht="15.75" thickBot="1">
      <c r="A16" s="135"/>
      <c r="B16" s="51"/>
      <c r="D16" s="140">
        <v>1</v>
      </c>
      <c r="E16" s="147"/>
      <c r="F16" s="148"/>
      <c r="G16" s="141">
        <f>+F16/D16</f>
        <v>0</v>
      </c>
      <c r="H16" s="138"/>
    </row>
    <row r="17" spans="1:10" ht="15.75" thickBot="1">
      <c r="A17" s="135"/>
      <c r="D17" s="18"/>
      <c r="F17" s="142" t="s">
        <v>77</v>
      </c>
      <c r="G17" s="143">
        <f>SUM(G14:G16)</f>
        <v>386.66666666666663</v>
      </c>
      <c r="H17" s="138"/>
    </row>
    <row r="18" spans="1:10">
      <c r="A18" s="135"/>
      <c r="D18" s="18"/>
      <c r="F18" s="144"/>
      <c r="G18" s="144"/>
      <c r="H18" s="138"/>
    </row>
    <row r="19" spans="1:10">
      <c r="A19" s="135"/>
      <c r="B19" s="51" t="s">
        <v>83</v>
      </c>
      <c r="D19" s="18"/>
      <c r="E19" s="140" t="s">
        <v>79</v>
      </c>
      <c r="F19" s="146" t="s">
        <v>84</v>
      </c>
      <c r="G19" s="146" t="s">
        <v>76</v>
      </c>
      <c r="H19" s="138"/>
    </row>
    <row r="20" spans="1:10">
      <c r="A20" s="135"/>
      <c r="B20" s="51" t="s">
        <v>164</v>
      </c>
      <c r="D20" s="18"/>
      <c r="E20" s="51">
        <f>+D14</f>
        <v>200</v>
      </c>
      <c r="F20" s="141">
        <f>8*160000</f>
        <v>1280000</v>
      </c>
      <c r="G20" s="141">
        <f>+F20/E20</f>
        <v>6400</v>
      </c>
      <c r="H20" s="138"/>
      <c r="J20" s="50"/>
    </row>
    <row r="21" spans="1:10">
      <c r="A21" s="135"/>
      <c r="B21" s="51" t="s">
        <v>165</v>
      </c>
      <c r="D21" s="18"/>
      <c r="E21" s="51">
        <f>+E20</f>
        <v>200</v>
      </c>
      <c r="F21" s="141">
        <v>1100000</v>
      </c>
      <c r="G21" s="141">
        <f>+F21/E21</f>
        <v>5500</v>
      </c>
      <c r="H21" s="138"/>
      <c r="J21" s="50"/>
    </row>
    <row r="22" spans="1:10">
      <c r="A22" s="135"/>
      <c r="B22" s="51" t="s">
        <v>166</v>
      </c>
      <c r="D22" s="18"/>
      <c r="E22" s="51">
        <f>+E21</f>
        <v>200</v>
      </c>
      <c r="F22" s="141">
        <v>100</v>
      </c>
      <c r="G22" s="141">
        <f t="shared" ref="G22:G23" si="0">+F22/E22</f>
        <v>0.5</v>
      </c>
      <c r="H22" s="138"/>
      <c r="J22" s="50"/>
    </row>
    <row r="23" spans="1:10" ht="15.75" thickBot="1">
      <c r="A23" s="135"/>
      <c r="B23" s="51" t="s">
        <v>167</v>
      </c>
      <c r="D23" s="18"/>
      <c r="E23" s="51">
        <f>+E22</f>
        <v>200</v>
      </c>
      <c r="F23" s="141">
        <f>180000*8</f>
        <v>1440000</v>
      </c>
      <c r="G23" s="141">
        <f t="shared" si="0"/>
        <v>7200</v>
      </c>
      <c r="H23" s="138"/>
      <c r="J23" s="50"/>
    </row>
    <row r="24" spans="1:10" ht="15.75" thickBot="1">
      <c r="A24" s="135"/>
      <c r="D24" s="18"/>
      <c r="F24" s="142" t="s">
        <v>77</v>
      </c>
      <c r="G24" s="143">
        <f>SUM(G20:G23)</f>
        <v>19100.5</v>
      </c>
      <c r="H24" s="138"/>
      <c r="J24" s="50"/>
    </row>
    <row r="25" spans="1:10">
      <c r="A25" s="135"/>
      <c r="D25" s="18"/>
      <c r="F25" s="144"/>
      <c r="G25" s="144"/>
      <c r="H25" s="138"/>
    </row>
    <row r="26" spans="1:10">
      <c r="A26" s="135"/>
      <c r="B26" s="51" t="s">
        <v>86</v>
      </c>
      <c r="D26" s="18"/>
      <c r="E26" s="140" t="s">
        <v>71</v>
      </c>
      <c r="F26" s="146" t="s">
        <v>84</v>
      </c>
      <c r="G26" s="146" t="s">
        <v>76</v>
      </c>
      <c r="H26" s="138"/>
    </row>
    <row r="27" spans="1:10">
      <c r="A27" s="135"/>
      <c r="B27" s="51" t="s">
        <v>168</v>
      </c>
      <c r="D27" s="18"/>
      <c r="E27" s="51">
        <v>1</v>
      </c>
      <c r="F27" s="141">
        <f>250000/D14</f>
        <v>1250</v>
      </c>
      <c r="G27" s="141">
        <f>+F27*E27</f>
        <v>1250</v>
      </c>
      <c r="H27" s="138"/>
    </row>
    <row r="28" spans="1:10">
      <c r="A28" s="135"/>
      <c r="B28" s="51" t="s">
        <v>167</v>
      </c>
      <c r="D28" s="18"/>
      <c r="E28" s="51">
        <v>1</v>
      </c>
      <c r="F28" s="141">
        <f>250000/D14</f>
        <v>1250</v>
      </c>
      <c r="G28" s="141">
        <f>+E28*F28</f>
        <v>1250</v>
      </c>
      <c r="H28" s="138"/>
    </row>
    <row r="29" spans="1:10" ht="15.75" thickBot="1">
      <c r="A29" s="135"/>
      <c r="B29" s="51"/>
      <c r="D29" s="18"/>
      <c r="E29" s="51"/>
      <c r="F29" s="141"/>
      <c r="G29" s="141">
        <f>+E29*F29</f>
        <v>0</v>
      </c>
      <c r="H29" s="138"/>
    </row>
    <row r="30" spans="1:10" ht="15.75" thickBot="1">
      <c r="A30" s="135"/>
      <c r="D30" s="18"/>
      <c r="F30" s="142" t="s">
        <v>77</v>
      </c>
      <c r="G30" s="143">
        <f>SUM(G27:G29)</f>
        <v>2500</v>
      </c>
      <c r="H30" s="138"/>
    </row>
    <row r="31" spans="1:10" ht="15.75" thickBot="1">
      <c r="A31" s="135"/>
      <c r="D31" s="18"/>
      <c r="F31" s="144"/>
      <c r="G31" s="144"/>
      <c r="H31" s="138"/>
    </row>
    <row r="32" spans="1:10" ht="15.75" thickBot="1">
      <c r="A32" s="135"/>
      <c r="D32" s="18"/>
      <c r="F32" s="142" t="s">
        <v>87</v>
      </c>
      <c r="G32" s="143">
        <f>+G11+G17+G30+G24</f>
        <v>43987.166666666672</v>
      </c>
      <c r="H32" s="138"/>
      <c r="J32" s="144"/>
    </row>
    <row r="33" spans="1:8">
      <c r="A33" s="149"/>
      <c r="B33" s="150"/>
      <c r="C33" s="150"/>
      <c r="D33" s="151"/>
      <c r="E33" s="150"/>
      <c r="F33" s="150"/>
      <c r="G33" s="150"/>
      <c r="H33" s="152"/>
    </row>
  </sheetData>
  <dataConsolidate/>
  <mergeCells count="1">
    <mergeCell ref="B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topLeftCell="A20" workbookViewId="0">
      <selection activeCell="F37" sqref="F37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5.28515625" customWidth="1"/>
    <col min="5" max="5" width="5" customWidth="1"/>
    <col min="6" max="7" width="10.85546875" customWidth="1"/>
    <col min="8" max="8" width="1.42578125" customWidth="1"/>
  </cols>
  <sheetData>
    <row r="1" spans="1:8">
      <c r="D1" s="18"/>
    </row>
    <row r="2" spans="1:8">
      <c r="A2" s="131"/>
      <c r="B2" s="132" t="s">
        <v>72</v>
      </c>
      <c r="C2" s="133"/>
      <c r="D2" s="133"/>
      <c r="E2" s="133"/>
      <c r="F2" s="133"/>
      <c r="G2" s="133"/>
      <c r="H2" s="134"/>
    </row>
    <row r="3" spans="1:8">
      <c r="A3" s="135"/>
      <c r="B3" s="136"/>
      <c r="C3" s="137"/>
      <c r="D3" s="18"/>
      <c r="E3" s="137"/>
      <c r="F3" s="137"/>
      <c r="G3" s="137"/>
      <c r="H3" s="138"/>
    </row>
    <row r="4" spans="1:8">
      <c r="A4" s="135"/>
      <c r="B4" s="153" t="s">
        <v>340</v>
      </c>
      <c r="C4" s="137"/>
      <c r="D4" s="18"/>
      <c r="E4" s="137"/>
      <c r="F4" s="137"/>
      <c r="G4" s="137"/>
      <c r="H4" s="138"/>
    </row>
    <row r="5" spans="1:8">
      <c r="A5" s="135"/>
      <c r="B5" s="154" t="s">
        <v>89</v>
      </c>
      <c r="C5" s="137"/>
      <c r="D5" s="18"/>
      <c r="E5" s="137"/>
      <c r="F5" s="137"/>
      <c r="G5" s="137"/>
      <c r="H5" s="138"/>
    </row>
    <row r="6" spans="1:8">
      <c r="A6" s="135"/>
      <c r="D6" s="18"/>
      <c r="H6" s="138"/>
    </row>
    <row r="7" spans="1:8">
      <c r="A7" s="135"/>
      <c r="B7" s="139" t="s">
        <v>74</v>
      </c>
      <c r="D7" s="140" t="s">
        <v>75</v>
      </c>
      <c r="E7" s="140" t="s">
        <v>71</v>
      </c>
      <c r="F7" s="140" t="s">
        <v>70</v>
      </c>
      <c r="G7" s="140" t="s">
        <v>76</v>
      </c>
      <c r="H7" s="138"/>
    </row>
    <row r="8" spans="1:8">
      <c r="A8" s="135"/>
      <c r="B8" s="51"/>
      <c r="D8" s="140"/>
      <c r="E8" s="51"/>
      <c r="F8" s="141"/>
      <c r="G8" s="141">
        <f>+E8*F8</f>
        <v>0</v>
      </c>
      <c r="H8" s="138"/>
    </row>
    <row r="9" spans="1:8">
      <c r="A9" s="135"/>
      <c r="B9" s="51"/>
      <c r="D9" s="140"/>
      <c r="E9" s="51"/>
      <c r="F9" s="141"/>
      <c r="G9" s="141">
        <f>+E9*F9</f>
        <v>0</v>
      </c>
      <c r="H9" s="138"/>
    </row>
    <row r="10" spans="1:8" ht="15.75" thickBot="1">
      <c r="A10" s="135"/>
      <c r="B10" s="51"/>
      <c r="C10" s="51"/>
      <c r="D10" s="140"/>
      <c r="E10" s="51"/>
      <c r="F10" s="51"/>
      <c r="G10" s="141">
        <f>+E10*F10</f>
        <v>0</v>
      </c>
      <c r="H10" s="138"/>
    </row>
    <row r="11" spans="1:8" ht="15.75" thickBot="1">
      <c r="A11" s="135"/>
      <c r="D11" s="18"/>
      <c r="F11" s="142" t="s">
        <v>77</v>
      </c>
      <c r="G11" s="143">
        <f>SUM(G8:G10)</f>
        <v>0</v>
      </c>
      <c r="H11" s="138"/>
    </row>
    <row r="12" spans="1:8">
      <c r="A12" s="135"/>
      <c r="D12" s="18"/>
      <c r="F12" s="142"/>
      <c r="G12" s="144"/>
      <c r="H12" s="138"/>
    </row>
    <row r="13" spans="1:8">
      <c r="A13" s="135"/>
      <c r="B13" s="139" t="s">
        <v>78</v>
      </c>
      <c r="C13" s="137"/>
      <c r="D13" s="140" t="s">
        <v>79</v>
      </c>
      <c r="E13" s="140"/>
      <c r="F13" s="145" t="s">
        <v>80</v>
      </c>
      <c r="G13" s="146" t="s">
        <v>76</v>
      </c>
      <c r="H13" s="138"/>
    </row>
    <row r="14" spans="1:8">
      <c r="A14" s="135"/>
      <c r="B14" s="51" t="s">
        <v>341</v>
      </c>
      <c r="D14" s="244">
        <v>7.7333333027139615</v>
      </c>
      <c r="E14" s="147"/>
      <c r="F14" s="148">
        <f>'M.O.'!E46</f>
        <v>38666.666666666664</v>
      </c>
      <c r="G14" s="141">
        <f>+F14/D14</f>
        <v>5000.0000197970076</v>
      </c>
      <c r="H14" s="138"/>
    </row>
    <row r="15" spans="1:8">
      <c r="A15" s="135"/>
      <c r="B15" s="51"/>
      <c r="D15" s="140">
        <v>1</v>
      </c>
      <c r="E15" s="147"/>
      <c r="F15" s="148"/>
      <c r="G15" s="141">
        <f>+F15/D15</f>
        <v>0</v>
      </c>
      <c r="H15" s="138"/>
    </row>
    <row r="16" spans="1:8" ht="15.75" thickBot="1">
      <c r="A16" s="135"/>
      <c r="B16" s="51"/>
      <c r="D16" s="140">
        <v>1</v>
      </c>
      <c r="E16" s="147"/>
      <c r="F16" s="148"/>
      <c r="G16" s="141">
        <f>+F16/D16</f>
        <v>0</v>
      </c>
      <c r="H16" s="138"/>
    </row>
    <row r="17" spans="1:8" ht="15.75" thickBot="1">
      <c r="A17" s="135"/>
      <c r="D17" s="18"/>
      <c r="F17" s="142" t="s">
        <v>77</v>
      </c>
      <c r="G17" s="143">
        <f>SUM(G14:G16)</f>
        <v>5000.0000197970076</v>
      </c>
      <c r="H17" s="138"/>
    </row>
    <row r="18" spans="1:8">
      <c r="A18" s="135"/>
      <c r="D18" s="18"/>
      <c r="F18" s="144"/>
      <c r="G18" s="144"/>
      <c r="H18" s="138"/>
    </row>
    <row r="19" spans="1:8">
      <c r="A19" s="135"/>
      <c r="B19" s="51" t="s">
        <v>83</v>
      </c>
      <c r="D19" s="18"/>
      <c r="E19" s="140" t="s">
        <v>79</v>
      </c>
      <c r="F19" s="146" t="s">
        <v>84</v>
      </c>
      <c r="G19" s="146" t="s">
        <v>76</v>
      </c>
      <c r="H19" s="138"/>
    </row>
    <row r="20" spans="1:8">
      <c r="A20" s="135"/>
      <c r="B20" s="51" t="s">
        <v>338</v>
      </c>
      <c r="D20" s="18"/>
      <c r="E20" s="51">
        <v>0</v>
      </c>
      <c r="F20" s="141">
        <f>+'[4]Equipos y Herramientas'!C37</f>
        <v>120000</v>
      </c>
      <c r="G20" s="141">
        <f>+F20*E20</f>
        <v>0</v>
      </c>
      <c r="H20" s="138"/>
    </row>
    <row r="21" spans="1:8">
      <c r="A21" s="135"/>
      <c r="B21" s="51" t="s">
        <v>339</v>
      </c>
      <c r="D21" s="18"/>
      <c r="E21" s="51">
        <v>0</v>
      </c>
      <c r="F21" s="141">
        <f>+'[4]Equipos y Herramientas'!C29</f>
        <v>100000</v>
      </c>
      <c r="G21" s="141">
        <f>+F21*E21</f>
        <v>0</v>
      </c>
      <c r="H21" s="138"/>
    </row>
    <row r="22" spans="1:8" ht="15.75" thickBot="1">
      <c r="A22" s="135"/>
      <c r="B22" s="51"/>
      <c r="D22" s="18"/>
      <c r="E22" s="51"/>
      <c r="F22" s="141"/>
      <c r="G22" s="141">
        <v>0</v>
      </c>
      <c r="H22" s="138"/>
    </row>
    <row r="23" spans="1:8" ht="15.75" thickBot="1">
      <c r="A23" s="135"/>
      <c r="D23" s="18"/>
      <c r="F23" s="142" t="s">
        <v>77</v>
      </c>
      <c r="G23" s="143">
        <f>SUM(G20:G22)</f>
        <v>0</v>
      </c>
      <c r="H23" s="138"/>
    </row>
    <row r="24" spans="1:8">
      <c r="A24" s="135"/>
      <c r="D24" s="18"/>
      <c r="F24" s="144"/>
      <c r="G24" s="144"/>
      <c r="H24" s="138"/>
    </row>
    <row r="25" spans="1:8">
      <c r="A25" s="135"/>
      <c r="B25" s="51" t="s">
        <v>86</v>
      </c>
      <c r="D25" s="18"/>
      <c r="E25" s="140" t="s">
        <v>71</v>
      </c>
      <c r="F25" s="146" t="s">
        <v>84</v>
      </c>
      <c r="G25" s="146" t="s">
        <v>76</v>
      </c>
      <c r="H25" s="138"/>
    </row>
    <row r="26" spans="1:8">
      <c r="A26" s="135"/>
      <c r="B26" s="51"/>
      <c r="D26" s="18"/>
      <c r="E26" s="51"/>
      <c r="F26" s="201"/>
      <c r="G26" s="141">
        <f>+E26*F26</f>
        <v>0</v>
      </c>
      <c r="H26" s="138"/>
    </row>
    <row r="27" spans="1:8">
      <c r="A27" s="135"/>
      <c r="B27" s="51"/>
      <c r="D27" s="18"/>
      <c r="E27" s="51"/>
      <c r="F27" s="141"/>
      <c r="G27" s="141">
        <f>+E27*F27</f>
        <v>0</v>
      </c>
      <c r="H27" s="138"/>
    </row>
    <row r="28" spans="1:8" ht="15.75" thickBot="1">
      <c r="A28" s="135"/>
      <c r="B28" s="51"/>
      <c r="D28" s="18"/>
      <c r="E28" s="51"/>
      <c r="F28" s="141"/>
      <c r="G28" s="141">
        <f>+E28*F28</f>
        <v>0</v>
      </c>
      <c r="H28" s="138"/>
    </row>
    <row r="29" spans="1:8" ht="15.75" thickBot="1">
      <c r="A29" s="135"/>
      <c r="D29" s="18"/>
      <c r="F29" s="142" t="s">
        <v>77</v>
      </c>
      <c r="G29" s="143">
        <f>SUM(G26:G28)</f>
        <v>0</v>
      </c>
      <c r="H29" s="138"/>
    </row>
    <row r="30" spans="1:8" ht="15.75" thickBot="1">
      <c r="A30" s="135"/>
      <c r="D30" s="18"/>
      <c r="F30" s="144"/>
      <c r="G30" s="144"/>
      <c r="H30" s="138"/>
    </row>
    <row r="31" spans="1:8" ht="15.75" thickBot="1">
      <c r="A31" s="135"/>
      <c r="D31" s="18"/>
      <c r="F31" s="142" t="s">
        <v>87</v>
      </c>
      <c r="G31" s="143">
        <f>+G11+G17+G29+G23</f>
        <v>5000.0000197970076</v>
      </c>
      <c r="H31" s="138"/>
    </row>
    <row r="32" spans="1:8">
      <c r="A32" s="149"/>
      <c r="B32" s="150"/>
      <c r="C32" s="150"/>
      <c r="D32" s="151"/>
      <c r="E32" s="150"/>
      <c r="F32" s="150"/>
      <c r="G32" s="150"/>
      <c r="H32" s="15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J46"/>
  <sheetViews>
    <sheetView view="pageBreakPreview" zoomScale="110" zoomScaleNormal="100" zoomScaleSheetLayoutView="110" workbookViewId="0">
      <selection activeCell="A13" sqref="A13:XFD13"/>
    </sheetView>
  </sheetViews>
  <sheetFormatPr baseColWidth="10" defaultRowHeight="12.75"/>
  <cols>
    <col min="1" max="1" width="1.42578125" style="87" customWidth="1"/>
    <col min="2" max="2" width="40.42578125" style="87" customWidth="1"/>
    <col min="3" max="3" width="1.28515625" style="87" customWidth="1"/>
    <col min="4" max="4" width="5.7109375" style="91" customWidth="1"/>
    <col min="5" max="5" width="5" style="87" customWidth="1"/>
    <col min="6" max="6" width="10.85546875" style="94" customWidth="1"/>
    <col min="7" max="7" width="10.85546875" style="87" customWidth="1"/>
    <col min="8" max="8" width="1.42578125" style="87" customWidth="1"/>
    <col min="9" max="9" width="11.42578125" style="87"/>
    <col min="10" max="10" width="16.85546875" style="87" bestFit="1" customWidth="1"/>
    <col min="11" max="256" width="11.42578125" style="87"/>
    <col min="257" max="257" width="1.42578125" style="87" customWidth="1"/>
    <col min="258" max="258" width="40.42578125" style="87" customWidth="1"/>
    <col min="259" max="259" width="1.28515625" style="87" customWidth="1"/>
    <col min="260" max="260" width="4.5703125" style="87" customWidth="1"/>
    <col min="261" max="261" width="5" style="87" customWidth="1"/>
    <col min="262" max="263" width="10.85546875" style="87" customWidth="1"/>
    <col min="264" max="264" width="1.42578125" style="87" customWidth="1"/>
    <col min="265" max="512" width="11.42578125" style="87"/>
    <col min="513" max="513" width="1.42578125" style="87" customWidth="1"/>
    <col min="514" max="514" width="40.42578125" style="87" customWidth="1"/>
    <col min="515" max="515" width="1.28515625" style="87" customWidth="1"/>
    <col min="516" max="516" width="4.5703125" style="87" customWidth="1"/>
    <col min="517" max="517" width="5" style="87" customWidth="1"/>
    <col min="518" max="519" width="10.85546875" style="87" customWidth="1"/>
    <col min="520" max="520" width="1.42578125" style="87" customWidth="1"/>
    <col min="521" max="768" width="11.42578125" style="87"/>
    <col min="769" max="769" width="1.42578125" style="87" customWidth="1"/>
    <col min="770" max="770" width="40.42578125" style="87" customWidth="1"/>
    <col min="771" max="771" width="1.28515625" style="87" customWidth="1"/>
    <col min="772" max="772" width="4.5703125" style="87" customWidth="1"/>
    <col min="773" max="773" width="5" style="87" customWidth="1"/>
    <col min="774" max="775" width="10.85546875" style="87" customWidth="1"/>
    <col min="776" max="776" width="1.42578125" style="87" customWidth="1"/>
    <col min="777" max="1024" width="11.42578125" style="87"/>
    <col min="1025" max="1025" width="1.42578125" style="87" customWidth="1"/>
    <col min="1026" max="1026" width="40.42578125" style="87" customWidth="1"/>
    <col min="1027" max="1027" width="1.28515625" style="87" customWidth="1"/>
    <col min="1028" max="1028" width="4.5703125" style="87" customWidth="1"/>
    <col min="1029" max="1029" width="5" style="87" customWidth="1"/>
    <col min="1030" max="1031" width="10.85546875" style="87" customWidth="1"/>
    <col min="1032" max="1032" width="1.42578125" style="87" customWidth="1"/>
    <col min="1033" max="1280" width="11.42578125" style="87"/>
    <col min="1281" max="1281" width="1.42578125" style="87" customWidth="1"/>
    <col min="1282" max="1282" width="40.42578125" style="87" customWidth="1"/>
    <col min="1283" max="1283" width="1.28515625" style="87" customWidth="1"/>
    <col min="1284" max="1284" width="4.5703125" style="87" customWidth="1"/>
    <col min="1285" max="1285" width="5" style="87" customWidth="1"/>
    <col min="1286" max="1287" width="10.85546875" style="87" customWidth="1"/>
    <col min="1288" max="1288" width="1.42578125" style="87" customWidth="1"/>
    <col min="1289" max="1536" width="11.42578125" style="87"/>
    <col min="1537" max="1537" width="1.42578125" style="87" customWidth="1"/>
    <col min="1538" max="1538" width="40.42578125" style="87" customWidth="1"/>
    <col min="1539" max="1539" width="1.28515625" style="87" customWidth="1"/>
    <col min="1540" max="1540" width="4.5703125" style="87" customWidth="1"/>
    <col min="1541" max="1541" width="5" style="87" customWidth="1"/>
    <col min="1542" max="1543" width="10.85546875" style="87" customWidth="1"/>
    <col min="1544" max="1544" width="1.42578125" style="87" customWidth="1"/>
    <col min="1545" max="1792" width="11.42578125" style="87"/>
    <col min="1793" max="1793" width="1.42578125" style="87" customWidth="1"/>
    <col min="1794" max="1794" width="40.42578125" style="87" customWidth="1"/>
    <col min="1795" max="1795" width="1.28515625" style="87" customWidth="1"/>
    <col min="1796" max="1796" width="4.5703125" style="87" customWidth="1"/>
    <col min="1797" max="1797" width="5" style="87" customWidth="1"/>
    <col min="1798" max="1799" width="10.85546875" style="87" customWidth="1"/>
    <col min="1800" max="1800" width="1.42578125" style="87" customWidth="1"/>
    <col min="1801" max="2048" width="11.42578125" style="87"/>
    <col min="2049" max="2049" width="1.42578125" style="87" customWidth="1"/>
    <col min="2050" max="2050" width="40.42578125" style="87" customWidth="1"/>
    <col min="2051" max="2051" width="1.28515625" style="87" customWidth="1"/>
    <col min="2052" max="2052" width="4.5703125" style="87" customWidth="1"/>
    <col min="2053" max="2053" width="5" style="87" customWidth="1"/>
    <col min="2054" max="2055" width="10.85546875" style="87" customWidth="1"/>
    <col min="2056" max="2056" width="1.42578125" style="87" customWidth="1"/>
    <col min="2057" max="2304" width="11.42578125" style="87"/>
    <col min="2305" max="2305" width="1.42578125" style="87" customWidth="1"/>
    <col min="2306" max="2306" width="40.42578125" style="87" customWidth="1"/>
    <col min="2307" max="2307" width="1.28515625" style="87" customWidth="1"/>
    <col min="2308" max="2308" width="4.5703125" style="87" customWidth="1"/>
    <col min="2309" max="2309" width="5" style="87" customWidth="1"/>
    <col min="2310" max="2311" width="10.85546875" style="87" customWidth="1"/>
    <col min="2312" max="2312" width="1.42578125" style="87" customWidth="1"/>
    <col min="2313" max="2560" width="11.42578125" style="87"/>
    <col min="2561" max="2561" width="1.42578125" style="87" customWidth="1"/>
    <col min="2562" max="2562" width="40.42578125" style="87" customWidth="1"/>
    <col min="2563" max="2563" width="1.28515625" style="87" customWidth="1"/>
    <col min="2564" max="2564" width="4.5703125" style="87" customWidth="1"/>
    <col min="2565" max="2565" width="5" style="87" customWidth="1"/>
    <col min="2566" max="2567" width="10.85546875" style="87" customWidth="1"/>
    <col min="2568" max="2568" width="1.42578125" style="87" customWidth="1"/>
    <col min="2569" max="2816" width="11.42578125" style="87"/>
    <col min="2817" max="2817" width="1.42578125" style="87" customWidth="1"/>
    <col min="2818" max="2818" width="40.42578125" style="87" customWidth="1"/>
    <col min="2819" max="2819" width="1.28515625" style="87" customWidth="1"/>
    <col min="2820" max="2820" width="4.5703125" style="87" customWidth="1"/>
    <col min="2821" max="2821" width="5" style="87" customWidth="1"/>
    <col min="2822" max="2823" width="10.85546875" style="87" customWidth="1"/>
    <col min="2824" max="2824" width="1.42578125" style="87" customWidth="1"/>
    <col min="2825" max="3072" width="11.42578125" style="87"/>
    <col min="3073" max="3073" width="1.42578125" style="87" customWidth="1"/>
    <col min="3074" max="3074" width="40.42578125" style="87" customWidth="1"/>
    <col min="3075" max="3075" width="1.28515625" style="87" customWidth="1"/>
    <col min="3076" max="3076" width="4.5703125" style="87" customWidth="1"/>
    <col min="3077" max="3077" width="5" style="87" customWidth="1"/>
    <col min="3078" max="3079" width="10.85546875" style="87" customWidth="1"/>
    <col min="3080" max="3080" width="1.42578125" style="87" customWidth="1"/>
    <col min="3081" max="3328" width="11.42578125" style="87"/>
    <col min="3329" max="3329" width="1.42578125" style="87" customWidth="1"/>
    <col min="3330" max="3330" width="40.42578125" style="87" customWidth="1"/>
    <col min="3331" max="3331" width="1.28515625" style="87" customWidth="1"/>
    <col min="3332" max="3332" width="4.5703125" style="87" customWidth="1"/>
    <col min="3333" max="3333" width="5" style="87" customWidth="1"/>
    <col min="3334" max="3335" width="10.85546875" style="87" customWidth="1"/>
    <col min="3336" max="3336" width="1.42578125" style="87" customWidth="1"/>
    <col min="3337" max="3584" width="11.42578125" style="87"/>
    <col min="3585" max="3585" width="1.42578125" style="87" customWidth="1"/>
    <col min="3586" max="3586" width="40.42578125" style="87" customWidth="1"/>
    <col min="3587" max="3587" width="1.28515625" style="87" customWidth="1"/>
    <col min="3588" max="3588" width="4.5703125" style="87" customWidth="1"/>
    <col min="3589" max="3589" width="5" style="87" customWidth="1"/>
    <col min="3590" max="3591" width="10.85546875" style="87" customWidth="1"/>
    <col min="3592" max="3592" width="1.42578125" style="87" customWidth="1"/>
    <col min="3593" max="3840" width="11.42578125" style="87"/>
    <col min="3841" max="3841" width="1.42578125" style="87" customWidth="1"/>
    <col min="3842" max="3842" width="40.42578125" style="87" customWidth="1"/>
    <col min="3843" max="3843" width="1.28515625" style="87" customWidth="1"/>
    <col min="3844" max="3844" width="4.5703125" style="87" customWidth="1"/>
    <col min="3845" max="3845" width="5" style="87" customWidth="1"/>
    <col min="3846" max="3847" width="10.85546875" style="87" customWidth="1"/>
    <col min="3848" max="3848" width="1.42578125" style="87" customWidth="1"/>
    <col min="3849" max="4096" width="11.42578125" style="87"/>
    <col min="4097" max="4097" width="1.42578125" style="87" customWidth="1"/>
    <col min="4098" max="4098" width="40.42578125" style="87" customWidth="1"/>
    <col min="4099" max="4099" width="1.28515625" style="87" customWidth="1"/>
    <col min="4100" max="4100" width="4.5703125" style="87" customWidth="1"/>
    <col min="4101" max="4101" width="5" style="87" customWidth="1"/>
    <col min="4102" max="4103" width="10.85546875" style="87" customWidth="1"/>
    <col min="4104" max="4104" width="1.42578125" style="87" customWidth="1"/>
    <col min="4105" max="4352" width="11.42578125" style="87"/>
    <col min="4353" max="4353" width="1.42578125" style="87" customWidth="1"/>
    <col min="4354" max="4354" width="40.42578125" style="87" customWidth="1"/>
    <col min="4355" max="4355" width="1.28515625" style="87" customWidth="1"/>
    <col min="4356" max="4356" width="4.5703125" style="87" customWidth="1"/>
    <col min="4357" max="4357" width="5" style="87" customWidth="1"/>
    <col min="4358" max="4359" width="10.85546875" style="87" customWidth="1"/>
    <col min="4360" max="4360" width="1.42578125" style="87" customWidth="1"/>
    <col min="4361" max="4608" width="11.42578125" style="87"/>
    <col min="4609" max="4609" width="1.42578125" style="87" customWidth="1"/>
    <col min="4610" max="4610" width="40.42578125" style="87" customWidth="1"/>
    <col min="4611" max="4611" width="1.28515625" style="87" customWidth="1"/>
    <col min="4612" max="4612" width="4.5703125" style="87" customWidth="1"/>
    <col min="4613" max="4613" width="5" style="87" customWidth="1"/>
    <col min="4614" max="4615" width="10.85546875" style="87" customWidth="1"/>
    <col min="4616" max="4616" width="1.42578125" style="87" customWidth="1"/>
    <col min="4617" max="4864" width="11.42578125" style="87"/>
    <col min="4865" max="4865" width="1.42578125" style="87" customWidth="1"/>
    <col min="4866" max="4866" width="40.42578125" style="87" customWidth="1"/>
    <col min="4867" max="4867" width="1.28515625" style="87" customWidth="1"/>
    <col min="4868" max="4868" width="4.5703125" style="87" customWidth="1"/>
    <col min="4869" max="4869" width="5" style="87" customWidth="1"/>
    <col min="4870" max="4871" width="10.85546875" style="87" customWidth="1"/>
    <col min="4872" max="4872" width="1.42578125" style="87" customWidth="1"/>
    <col min="4873" max="5120" width="11.42578125" style="87"/>
    <col min="5121" max="5121" width="1.42578125" style="87" customWidth="1"/>
    <col min="5122" max="5122" width="40.42578125" style="87" customWidth="1"/>
    <col min="5123" max="5123" width="1.28515625" style="87" customWidth="1"/>
    <col min="5124" max="5124" width="4.5703125" style="87" customWidth="1"/>
    <col min="5125" max="5125" width="5" style="87" customWidth="1"/>
    <col min="5126" max="5127" width="10.85546875" style="87" customWidth="1"/>
    <col min="5128" max="5128" width="1.42578125" style="87" customWidth="1"/>
    <col min="5129" max="5376" width="11.42578125" style="87"/>
    <col min="5377" max="5377" width="1.42578125" style="87" customWidth="1"/>
    <col min="5378" max="5378" width="40.42578125" style="87" customWidth="1"/>
    <col min="5379" max="5379" width="1.28515625" style="87" customWidth="1"/>
    <col min="5380" max="5380" width="4.5703125" style="87" customWidth="1"/>
    <col min="5381" max="5381" width="5" style="87" customWidth="1"/>
    <col min="5382" max="5383" width="10.85546875" style="87" customWidth="1"/>
    <col min="5384" max="5384" width="1.42578125" style="87" customWidth="1"/>
    <col min="5385" max="5632" width="11.42578125" style="87"/>
    <col min="5633" max="5633" width="1.42578125" style="87" customWidth="1"/>
    <col min="5634" max="5634" width="40.42578125" style="87" customWidth="1"/>
    <col min="5635" max="5635" width="1.28515625" style="87" customWidth="1"/>
    <col min="5636" max="5636" width="4.5703125" style="87" customWidth="1"/>
    <col min="5637" max="5637" width="5" style="87" customWidth="1"/>
    <col min="5638" max="5639" width="10.85546875" style="87" customWidth="1"/>
    <col min="5640" max="5640" width="1.42578125" style="87" customWidth="1"/>
    <col min="5641" max="5888" width="11.42578125" style="87"/>
    <col min="5889" max="5889" width="1.42578125" style="87" customWidth="1"/>
    <col min="5890" max="5890" width="40.42578125" style="87" customWidth="1"/>
    <col min="5891" max="5891" width="1.28515625" style="87" customWidth="1"/>
    <col min="5892" max="5892" width="4.5703125" style="87" customWidth="1"/>
    <col min="5893" max="5893" width="5" style="87" customWidth="1"/>
    <col min="5894" max="5895" width="10.85546875" style="87" customWidth="1"/>
    <col min="5896" max="5896" width="1.42578125" style="87" customWidth="1"/>
    <col min="5897" max="6144" width="11.42578125" style="87"/>
    <col min="6145" max="6145" width="1.42578125" style="87" customWidth="1"/>
    <col min="6146" max="6146" width="40.42578125" style="87" customWidth="1"/>
    <col min="6147" max="6147" width="1.28515625" style="87" customWidth="1"/>
    <col min="6148" max="6148" width="4.5703125" style="87" customWidth="1"/>
    <col min="6149" max="6149" width="5" style="87" customWidth="1"/>
    <col min="6150" max="6151" width="10.85546875" style="87" customWidth="1"/>
    <col min="6152" max="6152" width="1.42578125" style="87" customWidth="1"/>
    <col min="6153" max="6400" width="11.42578125" style="87"/>
    <col min="6401" max="6401" width="1.42578125" style="87" customWidth="1"/>
    <col min="6402" max="6402" width="40.42578125" style="87" customWidth="1"/>
    <col min="6403" max="6403" width="1.28515625" style="87" customWidth="1"/>
    <col min="6404" max="6404" width="4.5703125" style="87" customWidth="1"/>
    <col min="6405" max="6405" width="5" style="87" customWidth="1"/>
    <col min="6406" max="6407" width="10.85546875" style="87" customWidth="1"/>
    <col min="6408" max="6408" width="1.42578125" style="87" customWidth="1"/>
    <col min="6409" max="6656" width="11.42578125" style="87"/>
    <col min="6657" max="6657" width="1.42578125" style="87" customWidth="1"/>
    <col min="6658" max="6658" width="40.42578125" style="87" customWidth="1"/>
    <col min="6659" max="6659" width="1.28515625" style="87" customWidth="1"/>
    <col min="6660" max="6660" width="4.5703125" style="87" customWidth="1"/>
    <col min="6661" max="6661" width="5" style="87" customWidth="1"/>
    <col min="6662" max="6663" width="10.85546875" style="87" customWidth="1"/>
    <col min="6664" max="6664" width="1.42578125" style="87" customWidth="1"/>
    <col min="6665" max="6912" width="11.42578125" style="87"/>
    <col min="6913" max="6913" width="1.42578125" style="87" customWidth="1"/>
    <col min="6914" max="6914" width="40.42578125" style="87" customWidth="1"/>
    <col min="6915" max="6915" width="1.28515625" style="87" customWidth="1"/>
    <col min="6916" max="6916" width="4.5703125" style="87" customWidth="1"/>
    <col min="6917" max="6917" width="5" style="87" customWidth="1"/>
    <col min="6918" max="6919" width="10.85546875" style="87" customWidth="1"/>
    <col min="6920" max="6920" width="1.42578125" style="87" customWidth="1"/>
    <col min="6921" max="7168" width="11.42578125" style="87"/>
    <col min="7169" max="7169" width="1.42578125" style="87" customWidth="1"/>
    <col min="7170" max="7170" width="40.42578125" style="87" customWidth="1"/>
    <col min="7171" max="7171" width="1.28515625" style="87" customWidth="1"/>
    <col min="7172" max="7172" width="4.5703125" style="87" customWidth="1"/>
    <col min="7173" max="7173" width="5" style="87" customWidth="1"/>
    <col min="7174" max="7175" width="10.85546875" style="87" customWidth="1"/>
    <col min="7176" max="7176" width="1.42578125" style="87" customWidth="1"/>
    <col min="7177" max="7424" width="11.42578125" style="87"/>
    <col min="7425" max="7425" width="1.42578125" style="87" customWidth="1"/>
    <col min="7426" max="7426" width="40.42578125" style="87" customWidth="1"/>
    <col min="7427" max="7427" width="1.28515625" style="87" customWidth="1"/>
    <col min="7428" max="7428" width="4.5703125" style="87" customWidth="1"/>
    <col min="7429" max="7429" width="5" style="87" customWidth="1"/>
    <col min="7430" max="7431" width="10.85546875" style="87" customWidth="1"/>
    <col min="7432" max="7432" width="1.42578125" style="87" customWidth="1"/>
    <col min="7433" max="7680" width="11.42578125" style="87"/>
    <col min="7681" max="7681" width="1.42578125" style="87" customWidth="1"/>
    <col min="7682" max="7682" width="40.42578125" style="87" customWidth="1"/>
    <col min="7683" max="7683" width="1.28515625" style="87" customWidth="1"/>
    <col min="7684" max="7684" width="4.5703125" style="87" customWidth="1"/>
    <col min="7685" max="7685" width="5" style="87" customWidth="1"/>
    <col min="7686" max="7687" width="10.85546875" style="87" customWidth="1"/>
    <col min="7688" max="7688" width="1.42578125" style="87" customWidth="1"/>
    <col min="7689" max="7936" width="11.42578125" style="87"/>
    <col min="7937" max="7937" width="1.42578125" style="87" customWidth="1"/>
    <col min="7938" max="7938" width="40.42578125" style="87" customWidth="1"/>
    <col min="7939" max="7939" width="1.28515625" style="87" customWidth="1"/>
    <col min="7940" max="7940" width="4.5703125" style="87" customWidth="1"/>
    <col min="7941" max="7941" width="5" style="87" customWidth="1"/>
    <col min="7942" max="7943" width="10.85546875" style="87" customWidth="1"/>
    <col min="7944" max="7944" width="1.42578125" style="87" customWidth="1"/>
    <col min="7945" max="8192" width="11.42578125" style="87"/>
    <col min="8193" max="8193" width="1.42578125" style="87" customWidth="1"/>
    <col min="8194" max="8194" width="40.42578125" style="87" customWidth="1"/>
    <col min="8195" max="8195" width="1.28515625" style="87" customWidth="1"/>
    <col min="8196" max="8196" width="4.5703125" style="87" customWidth="1"/>
    <col min="8197" max="8197" width="5" style="87" customWidth="1"/>
    <col min="8198" max="8199" width="10.85546875" style="87" customWidth="1"/>
    <col min="8200" max="8200" width="1.42578125" style="87" customWidth="1"/>
    <col min="8201" max="8448" width="11.42578125" style="87"/>
    <col min="8449" max="8449" width="1.42578125" style="87" customWidth="1"/>
    <col min="8450" max="8450" width="40.42578125" style="87" customWidth="1"/>
    <col min="8451" max="8451" width="1.28515625" style="87" customWidth="1"/>
    <col min="8452" max="8452" width="4.5703125" style="87" customWidth="1"/>
    <col min="8453" max="8453" width="5" style="87" customWidth="1"/>
    <col min="8454" max="8455" width="10.85546875" style="87" customWidth="1"/>
    <col min="8456" max="8456" width="1.42578125" style="87" customWidth="1"/>
    <col min="8457" max="8704" width="11.42578125" style="87"/>
    <col min="8705" max="8705" width="1.42578125" style="87" customWidth="1"/>
    <col min="8706" max="8706" width="40.42578125" style="87" customWidth="1"/>
    <col min="8707" max="8707" width="1.28515625" style="87" customWidth="1"/>
    <col min="8708" max="8708" width="4.5703125" style="87" customWidth="1"/>
    <col min="8709" max="8709" width="5" style="87" customWidth="1"/>
    <col min="8710" max="8711" width="10.85546875" style="87" customWidth="1"/>
    <col min="8712" max="8712" width="1.42578125" style="87" customWidth="1"/>
    <col min="8713" max="8960" width="11.42578125" style="87"/>
    <col min="8961" max="8961" width="1.42578125" style="87" customWidth="1"/>
    <col min="8962" max="8962" width="40.42578125" style="87" customWidth="1"/>
    <col min="8963" max="8963" width="1.28515625" style="87" customWidth="1"/>
    <col min="8964" max="8964" width="4.5703125" style="87" customWidth="1"/>
    <col min="8965" max="8965" width="5" style="87" customWidth="1"/>
    <col min="8966" max="8967" width="10.85546875" style="87" customWidth="1"/>
    <col min="8968" max="8968" width="1.42578125" style="87" customWidth="1"/>
    <col min="8969" max="9216" width="11.42578125" style="87"/>
    <col min="9217" max="9217" width="1.42578125" style="87" customWidth="1"/>
    <col min="9218" max="9218" width="40.42578125" style="87" customWidth="1"/>
    <col min="9219" max="9219" width="1.28515625" style="87" customWidth="1"/>
    <col min="9220" max="9220" width="4.5703125" style="87" customWidth="1"/>
    <col min="9221" max="9221" width="5" style="87" customWidth="1"/>
    <col min="9222" max="9223" width="10.85546875" style="87" customWidth="1"/>
    <col min="9224" max="9224" width="1.42578125" style="87" customWidth="1"/>
    <col min="9225" max="9472" width="11.42578125" style="87"/>
    <col min="9473" max="9473" width="1.42578125" style="87" customWidth="1"/>
    <col min="9474" max="9474" width="40.42578125" style="87" customWidth="1"/>
    <col min="9475" max="9475" width="1.28515625" style="87" customWidth="1"/>
    <col min="9476" max="9476" width="4.5703125" style="87" customWidth="1"/>
    <col min="9477" max="9477" width="5" style="87" customWidth="1"/>
    <col min="9478" max="9479" width="10.85546875" style="87" customWidth="1"/>
    <col min="9480" max="9480" width="1.42578125" style="87" customWidth="1"/>
    <col min="9481" max="9728" width="11.42578125" style="87"/>
    <col min="9729" max="9729" width="1.42578125" style="87" customWidth="1"/>
    <col min="9730" max="9730" width="40.42578125" style="87" customWidth="1"/>
    <col min="9731" max="9731" width="1.28515625" style="87" customWidth="1"/>
    <col min="9732" max="9732" width="4.5703125" style="87" customWidth="1"/>
    <col min="9733" max="9733" width="5" style="87" customWidth="1"/>
    <col min="9734" max="9735" width="10.85546875" style="87" customWidth="1"/>
    <col min="9736" max="9736" width="1.42578125" style="87" customWidth="1"/>
    <col min="9737" max="9984" width="11.42578125" style="87"/>
    <col min="9985" max="9985" width="1.42578125" style="87" customWidth="1"/>
    <col min="9986" max="9986" width="40.42578125" style="87" customWidth="1"/>
    <col min="9987" max="9987" width="1.28515625" style="87" customWidth="1"/>
    <col min="9988" max="9988" width="4.5703125" style="87" customWidth="1"/>
    <col min="9989" max="9989" width="5" style="87" customWidth="1"/>
    <col min="9990" max="9991" width="10.85546875" style="87" customWidth="1"/>
    <col min="9992" max="9992" width="1.42578125" style="87" customWidth="1"/>
    <col min="9993" max="10240" width="11.42578125" style="87"/>
    <col min="10241" max="10241" width="1.42578125" style="87" customWidth="1"/>
    <col min="10242" max="10242" width="40.42578125" style="87" customWidth="1"/>
    <col min="10243" max="10243" width="1.28515625" style="87" customWidth="1"/>
    <col min="10244" max="10244" width="4.5703125" style="87" customWidth="1"/>
    <col min="10245" max="10245" width="5" style="87" customWidth="1"/>
    <col min="10246" max="10247" width="10.85546875" style="87" customWidth="1"/>
    <col min="10248" max="10248" width="1.42578125" style="87" customWidth="1"/>
    <col min="10249" max="10496" width="11.42578125" style="87"/>
    <col min="10497" max="10497" width="1.42578125" style="87" customWidth="1"/>
    <col min="10498" max="10498" width="40.42578125" style="87" customWidth="1"/>
    <col min="10499" max="10499" width="1.28515625" style="87" customWidth="1"/>
    <col min="10500" max="10500" width="4.5703125" style="87" customWidth="1"/>
    <col min="10501" max="10501" width="5" style="87" customWidth="1"/>
    <col min="10502" max="10503" width="10.85546875" style="87" customWidth="1"/>
    <col min="10504" max="10504" width="1.42578125" style="87" customWidth="1"/>
    <col min="10505" max="10752" width="11.42578125" style="87"/>
    <col min="10753" max="10753" width="1.42578125" style="87" customWidth="1"/>
    <col min="10754" max="10754" width="40.42578125" style="87" customWidth="1"/>
    <col min="10755" max="10755" width="1.28515625" style="87" customWidth="1"/>
    <col min="10756" max="10756" width="4.5703125" style="87" customWidth="1"/>
    <col min="10757" max="10757" width="5" style="87" customWidth="1"/>
    <col min="10758" max="10759" width="10.85546875" style="87" customWidth="1"/>
    <col min="10760" max="10760" width="1.42578125" style="87" customWidth="1"/>
    <col min="10761" max="11008" width="11.42578125" style="87"/>
    <col min="11009" max="11009" width="1.42578125" style="87" customWidth="1"/>
    <col min="11010" max="11010" width="40.42578125" style="87" customWidth="1"/>
    <col min="11011" max="11011" width="1.28515625" style="87" customWidth="1"/>
    <col min="11012" max="11012" width="4.5703125" style="87" customWidth="1"/>
    <col min="11013" max="11013" width="5" style="87" customWidth="1"/>
    <col min="11014" max="11015" width="10.85546875" style="87" customWidth="1"/>
    <col min="11016" max="11016" width="1.42578125" style="87" customWidth="1"/>
    <col min="11017" max="11264" width="11.42578125" style="87"/>
    <col min="11265" max="11265" width="1.42578125" style="87" customWidth="1"/>
    <col min="11266" max="11266" width="40.42578125" style="87" customWidth="1"/>
    <col min="11267" max="11267" width="1.28515625" style="87" customWidth="1"/>
    <col min="11268" max="11268" width="4.5703125" style="87" customWidth="1"/>
    <col min="11269" max="11269" width="5" style="87" customWidth="1"/>
    <col min="11270" max="11271" width="10.85546875" style="87" customWidth="1"/>
    <col min="11272" max="11272" width="1.42578125" style="87" customWidth="1"/>
    <col min="11273" max="11520" width="11.42578125" style="87"/>
    <col min="11521" max="11521" width="1.42578125" style="87" customWidth="1"/>
    <col min="11522" max="11522" width="40.42578125" style="87" customWidth="1"/>
    <col min="11523" max="11523" width="1.28515625" style="87" customWidth="1"/>
    <col min="11524" max="11524" width="4.5703125" style="87" customWidth="1"/>
    <col min="11525" max="11525" width="5" style="87" customWidth="1"/>
    <col min="11526" max="11527" width="10.85546875" style="87" customWidth="1"/>
    <col min="11528" max="11528" width="1.42578125" style="87" customWidth="1"/>
    <col min="11529" max="11776" width="11.42578125" style="87"/>
    <col min="11777" max="11777" width="1.42578125" style="87" customWidth="1"/>
    <col min="11778" max="11778" width="40.42578125" style="87" customWidth="1"/>
    <col min="11779" max="11779" width="1.28515625" style="87" customWidth="1"/>
    <col min="11780" max="11780" width="4.5703125" style="87" customWidth="1"/>
    <col min="11781" max="11781" width="5" style="87" customWidth="1"/>
    <col min="11782" max="11783" width="10.85546875" style="87" customWidth="1"/>
    <col min="11784" max="11784" width="1.42578125" style="87" customWidth="1"/>
    <col min="11785" max="12032" width="11.42578125" style="87"/>
    <col min="12033" max="12033" width="1.42578125" style="87" customWidth="1"/>
    <col min="12034" max="12034" width="40.42578125" style="87" customWidth="1"/>
    <col min="12035" max="12035" width="1.28515625" style="87" customWidth="1"/>
    <col min="12036" max="12036" width="4.5703125" style="87" customWidth="1"/>
    <col min="12037" max="12037" width="5" style="87" customWidth="1"/>
    <col min="12038" max="12039" width="10.85546875" style="87" customWidth="1"/>
    <col min="12040" max="12040" width="1.42578125" style="87" customWidth="1"/>
    <col min="12041" max="12288" width="11.42578125" style="87"/>
    <col min="12289" max="12289" width="1.42578125" style="87" customWidth="1"/>
    <col min="12290" max="12290" width="40.42578125" style="87" customWidth="1"/>
    <col min="12291" max="12291" width="1.28515625" style="87" customWidth="1"/>
    <col min="12292" max="12292" width="4.5703125" style="87" customWidth="1"/>
    <col min="12293" max="12293" width="5" style="87" customWidth="1"/>
    <col min="12294" max="12295" width="10.85546875" style="87" customWidth="1"/>
    <col min="12296" max="12296" width="1.42578125" style="87" customWidth="1"/>
    <col min="12297" max="12544" width="11.42578125" style="87"/>
    <col min="12545" max="12545" width="1.42578125" style="87" customWidth="1"/>
    <col min="12546" max="12546" width="40.42578125" style="87" customWidth="1"/>
    <col min="12547" max="12547" width="1.28515625" style="87" customWidth="1"/>
    <col min="12548" max="12548" width="4.5703125" style="87" customWidth="1"/>
    <col min="12549" max="12549" width="5" style="87" customWidth="1"/>
    <col min="12550" max="12551" width="10.85546875" style="87" customWidth="1"/>
    <col min="12552" max="12552" width="1.42578125" style="87" customWidth="1"/>
    <col min="12553" max="12800" width="11.42578125" style="87"/>
    <col min="12801" max="12801" width="1.42578125" style="87" customWidth="1"/>
    <col min="12802" max="12802" width="40.42578125" style="87" customWidth="1"/>
    <col min="12803" max="12803" width="1.28515625" style="87" customWidth="1"/>
    <col min="12804" max="12804" width="4.5703125" style="87" customWidth="1"/>
    <col min="12805" max="12805" width="5" style="87" customWidth="1"/>
    <col min="12806" max="12807" width="10.85546875" style="87" customWidth="1"/>
    <col min="12808" max="12808" width="1.42578125" style="87" customWidth="1"/>
    <col min="12809" max="13056" width="11.42578125" style="87"/>
    <col min="13057" max="13057" width="1.42578125" style="87" customWidth="1"/>
    <col min="13058" max="13058" width="40.42578125" style="87" customWidth="1"/>
    <col min="13059" max="13059" width="1.28515625" style="87" customWidth="1"/>
    <col min="13060" max="13060" width="4.5703125" style="87" customWidth="1"/>
    <col min="13061" max="13061" width="5" style="87" customWidth="1"/>
    <col min="13062" max="13063" width="10.85546875" style="87" customWidth="1"/>
    <col min="13064" max="13064" width="1.42578125" style="87" customWidth="1"/>
    <col min="13065" max="13312" width="11.42578125" style="87"/>
    <col min="13313" max="13313" width="1.42578125" style="87" customWidth="1"/>
    <col min="13314" max="13314" width="40.42578125" style="87" customWidth="1"/>
    <col min="13315" max="13315" width="1.28515625" style="87" customWidth="1"/>
    <col min="13316" max="13316" width="4.5703125" style="87" customWidth="1"/>
    <col min="13317" max="13317" width="5" style="87" customWidth="1"/>
    <col min="13318" max="13319" width="10.85546875" style="87" customWidth="1"/>
    <col min="13320" max="13320" width="1.42578125" style="87" customWidth="1"/>
    <col min="13321" max="13568" width="11.42578125" style="87"/>
    <col min="13569" max="13569" width="1.42578125" style="87" customWidth="1"/>
    <col min="13570" max="13570" width="40.42578125" style="87" customWidth="1"/>
    <col min="13571" max="13571" width="1.28515625" style="87" customWidth="1"/>
    <col min="13572" max="13572" width="4.5703125" style="87" customWidth="1"/>
    <col min="13573" max="13573" width="5" style="87" customWidth="1"/>
    <col min="13574" max="13575" width="10.85546875" style="87" customWidth="1"/>
    <col min="13576" max="13576" width="1.42578125" style="87" customWidth="1"/>
    <col min="13577" max="13824" width="11.42578125" style="87"/>
    <col min="13825" max="13825" width="1.42578125" style="87" customWidth="1"/>
    <col min="13826" max="13826" width="40.42578125" style="87" customWidth="1"/>
    <col min="13827" max="13827" width="1.28515625" style="87" customWidth="1"/>
    <col min="13828" max="13828" width="4.5703125" style="87" customWidth="1"/>
    <col min="13829" max="13829" width="5" style="87" customWidth="1"/>
    <col min="13830" max="13831" width="10.85546875" style="87" customWidth="1"/>
    <col min="13832" max="13832" width="1.42578125" style="87" customWidth="1"/>
    <col min="13833" max="14080" width="11.42578125" style="87"/>
    <col min="14081" max="14081" width="1.42578125" style="87" customWidth="1"/>
    <col min="14082" max="14082" width="40.42578125" style="87" customWidth="1"/>
    <col min="14083" max="14083" width="1.28515625" style="87" customWidth="1"/>
    <col min="14084" max="14084" width="4.5703125" style="87" customWidth="1"/>
    <col min="14085" max="14085" width="5" style="87" customWidth="1"/>
    <col min="14086" max="14087" width="10.85546875" style="87" customWidth="1"/>
    <col min="14088" max="14088" width="1.42578125" style="87" customWidth="1"/>
    <col min="14089" max="14336" width="11.42578125" style="87"/>
    <col min="14337" max="14337" width="1.42578125" style="87" customWidth="1"/>
    <col min="14338" max="14338" width="40.42578125" style="87" customWidth="1"/>
    <col min="14339" max="14339" width="1.28515625" style="87" customWidth="1"/>
    <col min="14340" max="14340" width="4.5703125" style="87" customWidth="1"/>
    <col min="14341" max="14341" width="5" style="87" customWidth="1"/>
    <col min="14342" max="14343" width="10.85546875" style="87" customWidth="1"/>
    <col min="14344" max="14344" width="1.42578125" style="87" customWidth="1"/>
    <col min="14345" max="14592" width="11.42578125" style="87"/>
    <col min="14593" max="14593" width="1.42578125" style="87" customWidth="1"/>
    <col min="14594" max="14594" width="40.42578125" style="87" customWidth="1"/>
    <col min="14595" max="14595" width="1.28515625" style="87" customWidth="1"/>
    <col min="14596" max="14596" width="4.5703125" style="87" customWidth="1"/>
    <col min="14597" max="14597" width="5" style="87" customWidth="1"/>
    <col min="14598" max="14599" width="10.85546875" style="87" customWidth="1"/>
    <col min="14600" max="14600" width="1.42578125" style="87" customWidth="1"/>
    <col min="14601" max="14848" width="11.42578125" style="87"/>
    <col min="14849" max="14849" width="1.42578125" style="87" customWidth="1"/>
    <col min="14850" max="14850" width="40.42578125" style="87" customWidth="1"/>
    <col min="14851" max="14851" width="1.28515625" style="87" customWidth="1"/>
    <col min="14852" max="14852" width="4.5703125" style="87" customWidth="1"/>
    <col min="14853" max="14853" width="5" style="87" customWidth="1"/>
    <col min="14854" max="14855" width="10.85546875" style="87" customWidth="1"/>
    <col min="14856" max="14856" width="1.42578125" style="87" customWidth="1"/>
    <col min="14857" max="15104" width="11.42578125" style="87"/>
    <col min="15105" max="15105" width="1.42578125" style="87" customWidth="1"/>
    <col min="15106" max="15106" width="40.42578125" style="87" customWidth="1"/>
    <col min="15107" max="15107" width="1.28515625" style="87" customWidth="1"/>
    <col min="15108" max="15108" width="4.5703125" style="87" customWidth="1"/>
    <col min="15109" max="15109" width="5" style="87" customWidth="1"/>
    <col min="15110" max="15111" width="10.85546875" style="87" customWidth="1"/>
    <col min="15112" max="15112" width="1.42578125" style="87" customWidth="1"/>
    <col min="15113" max="15360" width="11.42578125" style="87"/>
    <col min="15361" max="15361" width="1.42578125" style="87" customWidth="1"/>
    <col min="15362" max="15362" width="40.42578125" style="87" customWidth="1"/>
    <col min="15363" max="15363" width="1.28515625" style="87" customWidth="1"/>
    <col min="15364" max="15364" width="4.5703125" style="87" customWidth="1"/>
    <col min="15365" max="15365" width="5" style="87" customWidth="1"/>
    <col min="15366" max="15367" width="10.85546875" style="87" customWidth="1"/>
    <col min="15368" max="15368" width="1.42578125" style="87" customWidth="1"/>
    <col min="15369" max="15616" width="11.42578125" style="87"/>
    <col min="15617" max="15617" width="1.42578125" style="87" customWidth="1"/>
    <col min="15618" max="15618" width="40.42578125" style="87" customWidth="1"/>
    <col min="15619" max="15619" width="1.28515625" style="87" customWidth="1"/>
    <col min="15620" max="15620" width="4.5703125" style="87" customWidth="1"/>
    <col min="15621" max="15621" width="5" style="87" customWidth="1"/>
    <col min="15622" max="15623" width="10.85546875" style="87" customWidth="1"/>
    <col min="15624" max="15624" width="1.42578125" style="87" customWidth="1"/>
    <col min="15625" max="15872" width="11.42578125" style="87"/>
    <col min="15873" max="15873" width="1.42578125" style="87" customWidth="1"/>
    <col min="15874" max="15874" width="40.42578125" style="87" customWidth="1"/>
    <col min="15875" max="15875" width="1.28515625" style="87" customWidth="1"/>
    <col min="15876" max="15876" width="4.5703125" style="87" customWidth="1"/>
    <col min="15877" max="15877" width="5" style="87" customWidth="1"/>
    <col min="15878" max="15879" width="10.85546875" style="87" customWidth="1"/>
    <col min="15880" max="15880" width="1.42578125" style="87" customWidth="1"/>
    <col min="15881" max="16128" width="11.42578125" style="87"/>
    <col min="16129" max="16129" width="1.42578125" style="87" customWidth="1"/>
    <col min="16130" max="16130" width="40.42578125" style="87" customWidth="1"/>
    <col min="16131" max="16131" width="1.28515625" style="87" customWidth="1"/>
    <col min="16132" max="16132" width="4.5703125" style="87" customWidth="1"/>
    <col min="16133" max="16133" width="5" style="87" customWidth="1"/>
    <col min="16134" max="16135" width="10.85546875" style="87" customWidth="1"/>
    <col min="16136" max="16136" width="1.42578125" style="87" customWidth="1"/>
    <col min="16137" max="16384" width="11.42578125" style="87"/>
  </cols>
  <sheetData>
    <row r="1" spans="1:8" ht="8.25" customHeight="1"/>
    <row r="2" spans="1:8">
      <c r="A2" s="82"/>
      <c r="B2" s="83" t="s">
        <v>72</v>
      </c>
      <c r="C2" s="84"/>
      <c r="D2" s="84"/>
      <c r="E2" s="84"/>
      <c r="F2" s="85"/>
      <c r="G2" s="84"/>
      <c r="H2" s="86"/>
    </row>
    <row r="3" spans="1:8">
      <c r="A3" s="88"/>
      <c r="B3" s="89"/>
      <c r="C3" s="90"/>
      <c r="E3" s="90"/>
      <c r="F3" s="92"/>
      <c r="G3" s="90"/>
      <c r="H3" s="93"/>
    </row>
    <row r="4" spans="1:8" ht="24.75" customHeight="1">
      <c r="A4" s="88"/>
      <c r="B4" s="305" t="s">
        <v>121</v>
      </c>
      <c r="C4" s="305"/>
      <c r="D4" s="305"/>
      <c r="E4" s="305"/>
      <c r="F4" s="305"/>
      <c r="G4" s="305"/>
      <c r="H4" s="93"/>
    </row>
    <row r="5" spans="1:8">
      <c r="A5" s="88"/>
      <c r="B5" s="115" t="s">
        <v>122</v>
      </c>
      <c r="C5" s="110"/>
      <c r="D5" s="116"/>
      <c r="E5" s="110"/>
      <c r="F5" s="117"/>
      <c r="G5" s="110"/>
      <c r="H5" s="93"/>
    </row>
    <row r="6" spans="1:8">
      <c r="A6" s="88"/>
      <c r="H6" s="93"/>
    </row>
    <row r="7" spans="1:8">
      <c r="A7" s="88"/>
      <c r="B7" s="95" t="s">
        <v>74</v>
      </c>
      <c r="D7" s="96" t="s">
        <v>75</v>
      </c>
      <c r="E7" s="96" t="s">
        <v>71</v>
      </c>
      <c r="F7" s="97" t="s">
        <v>70</v>
      </c>
      <c r="G7" s="96" t="s">
        <v>76</v>
      </c>
      <c r="H7" s="93"/>
    </row>
    <row r="8" spans="1:8">
      <c r="A8" s="88"/>
      <c r="B8" s="98" t="s">
        <v>110</v>
      </c>
      <c r="D8" s="96" t="s">
        <v>94</v>
      </c>
      <c r="E8" s="98">
        <f>1.05*0.25*0.25*350</f>
        <v>22.96875</v>
      </c>
      <c r="F8" s="99">
        <v>550</v>
      </c>
      <c r="G8" s="99">
        <f t="shared" ref="G8:G16" si="0">+E8*F8</f>
        <v>12632.8125</v>
      </c>
      <c r="H8" s="93"/>
    </row>
    <row r="9" spans="1:8">
      <c r="A9" s="88"/>
      <c r="B9" s="98" t="s">
        <v>95</v>
      </c>
      <c r="D9" s="96" t="s">
        <v>1</v>
      </c>
      <c r="E9" s="98">
        <f>1.05*0.3*0.3*0.55</f>
        <v>5.1975000000000007E-2</v>
      </c>
      <c r="F9" s="99">
        <v>50000</v>
      </c>
      <c r="G9" s="99">
        <f t="shared" si="0"/>
        <v>2598.7500000000005</v>
      </c>
      <c r="H9" s="93"/>
    </row>
    <row r="10" spans="1:8">
      <c r="A10" s="88"/>
      <c r="B10" s="98" t="s">
        <v>96</v>
      </c>
      <c r="D10" s="96" t="s">
        <v>1</v>
      </c>
      <c r="E10" s="98">
        <f>1.05*0.3*0.3*0.84</f>
        <v>7.9379999999999992E-2</v>
      </c>
      <c r="F10" s="99">
        <v>95000</v>
      </c>
      <c r="G10" s="99">
        <f t="shared" si="0"/>
        <v>7541.0999999999995</v>
      </c>
      <c r="H10" s="93"/>
    </row>
    <row r="11" spans="1:8">
      <c r="A11" s="88"/>
      <c r="B11" s="98" t="s">
        <v>111</v>
      </c>
      <c r="D11" s="96" t="s">
        <v>94</v>
      </c>
      <c r="E11" s="98">
        <f>4*1</f>
        <v>4</v>
      </c>
      <c r="F11" s="99">
        <v>4550</v>
      </c>
      <c r="G11" s="99">
        <f t="shared" si="0"/>
        <v>18200</v>
      </c>
      <c r="H11" s="93"/>
    </row>
    <row r="12" spans="1:8">
      <c r="A12" s="88"/>
      <c r="B12" s="98" t="s">
        <v>112</v>
      </c>
      <c r="D12" s="96" t="s">
        <v>94</v>
      </c>
      <c r="E12" s="113">
        <f>1/0.2*0.9*1*0.556</f>
        <v>2.5020000000000002</v>
      </c>
      <c r="F12" s="99">
        <v>4550</v>
      </c>
      <c r="G12" s="99">
        <f t="shared" si="0"/>
        <v>11384.1</v>
      </c>
      <c r="H12" s="93"/>
    </row>
    <row r="13" spans="1:8">
      <c r="A13" s="88"/>
      <c r="B13" s="98" t="s">
        <v>113</v>
      </c>
      <c r="D13" s="96" t="s">
        <v>114</v>
      </c>
      <c r="E13" s="113">
        <f>1*1*3.28*2*1.05*0.8/5</f>
        <v>1.1020800000000002</v>
      </c>
      <c r="F13" s="99">
        <v>2000</v>
      </c>
      <c r="G13" s="99">
        <f t="shared" si="0"/>
        <v>2204.1600000000003</v>
      </c>
      <c r="H13" s="93"/>
    </row>
    <row r="14" spans="1:8">
      <c r="A14" s="88"/>
      <c r="B14" s="98" t="s">
        <v>347</v>
      </c>
      <c r="D14" s="96" t="s">
        <v>346</v>
      </c>
      <c r="E14" s="113">
        <v>0.05</v>
      </c>
      <c r="F14" s="99">
        <v>6500</v>
      </c>
      <c r="G14" s="99">
        <f t="shared" si="0"/>
        <v>325</v>
      </c>
      <c r="H14" s="93"/>
    </row>
    <row r="15" spans="1:8">
      <c r="A15" s="88"/>
      <c r="B15" s="98" t="s">
        <v>115</v>
      </c>
      <c r="D15" s="96" t="s">
        <v>114</v>
      </c>
      <c r="E15" s="114">
        <f>1*2/12*3.28*2*1.05/5</f>
        <v>0.22959999999999997</v>
      </c>
      <c r="F15" s="99">
        <v>1500</v>
      </c>
      <c r="G15" s="99">
        <f t="shared" si="0"/>
        <v>344.4</v>
      </c>
      <c r="H15" s="93"/>
    </row>
    <row r="16" spans="1:8" ht="13.5" thickBot="1">
      <c r="A16" s="88"/>
      <c r="B16" s="98" t="s">
        <v>116</v>
      </c>
      <c r="D16" s="96" t="s">
        <v>117</v>
      </c>
      <c r="E16" s="98">
        <v>1</v>
      </c>
      <c r="F16" s="99">
        <v>600</v>
      </c>
      <c r="G16" s="99">
        <f t="shared" si="0"/>
        <v>600</v>
      </c>
      <c r="H16" s="93"/>
    </row>
    <row r="17" spans="1:10" ht="13.5" thickBot="1">
      <c r="A17" s="88"/>
      <c r="F17" s="100" t="s">
        <v>77</v>
      </c>
      <c r="G17" s="101">
        <f>SUM(G8:G16)</f>
        <v>55830.322500000002</v>
      </c>
      <c r="H17" s="93"/>
    </row>
    <row r="18" spans="1:10">
      <c r="A18" s="88"/>
      <c r="F18" s="100"/>
      <c r="G18" s="94"/>
      <c r="H18" s="93"/>
    </row>
    <row r="19" spans="1:10">
      <c r="A19" s="88"/>
      <c r="B19" s="95" t="s">
        <v>78</v>
      </c>
      <c r="C19" s="90"/>
      <c r="D19" s="96" t="s">
        <v>79</v>
      </c>
      <c r="E19" s="96"/>
      <c r="F19" s="102" t="s">
        <v>80</v>
      </c>
      <c r="G19" s="97" t="s">
        <v>76</v>
      </c>
      <c r="H19" s="93"/>
    </row>
    <row r="20" spans="1:10">
      <c r="A20" s="88"/>
      <c r="B20" s="98" t="s">
        <v>160</v>
      </c>
      <c r="D20" s="248">
        <v>16.153945</v>
      </c>
      <c r="E20" s="245"/>
      <c r="F20" s="104">
        <f>+'M.O.'!E4</f>
        <v>67666.666666666672</v>
      </c>
      <c r="G20" s="99">
        <f>+F20/D20</f>
        <v>4188.8632570351492</v>
      </c>
      <c r="H20" s="93"/>
    </row>
    <row r="21" spans="1:10">
      <c r="A21" s="88"/>
      <c r="B21" s="98" t="s">
        <v>82</v>
      </c>
      <c r="D21" s="249">
        <f>+D20</f>
        <v>16.153945</v>
      </c>
      <c r="E21" s="103"/>
      <c r="F21" s="104">
        <f>2*'M.O.'!E46</f>
        <v>77333.333333333328</v>
      </c>
      <c r="G21" s="99">
        <f>+F21/D21</f>
        <v>4787.2722937544559</v>
      </c>
      <c r="H21" s="93"/>
    </row>
    <row r="22" spans="1:10" ht="13.5" thickBot="1">
      <c r="A22" s="88"/>
      <c r="B22" s="98"/>
      <c r="D22" s="96"/>
      <c r="E22" s="103"/>
      <c r="F22" s="104"/>
      <c r="G22" s="99">
        <v>0</v>
      </c>
      <c r="H22" s="93"/>
      <c r="J22" s="246" t="e">
        <f>+'PPTO AULAS VILLANUEVA'!#REF!</f>
        <v>#REF!</v>
      </c>
    </row>
    <row r="23" spans="1:10" ht="13.5" thickBot="1">
      <c r="A23" s="88"/>
      <c r="F23" s="100" t="s">
        <v>77</v>
      </c>
      <c r="G23" s="101">
        <f>SUM(G20:G22)</f>
        <v>8976.1355507896042</v>
      </c>
      <c r="H23" s="93"/>
      <c r="J23" s="246">
        <f>+'PPTO AULAS VILLANUEVA'!F48</f>
        <v>307045150.99999994</v>
      </c>
    </row>
    <row r="24" spans="1:10">
      <c r="A24" s="88"/>
      <c r="G24" s="94"/>
      <c r="H24" s="93"/>
      <c r="I24" s="94"/>
      <c r="J24" s="247" t="e">
        <f>+J22-J23</f>
        <v>#REF!</v>
      </c>
    </row>
    <row r="25" spans="1:10">
      <c r="A25" s="88"/>
      <c r="B25" s="98" t="s">
        <v>83</v>
      </c>
      <c r="E25" s="96" t="s">
        <v>79</v>
      </c>
      <c r="F25" s="97" t="s">
        <v>84</v>
      </c>
      <c r="G25" s="97" t="s">
        <v>76</v>
      </c>
      <c r="H25" s="93"/>
    </row>
    <row r="26" spans="1:10">
      <c r="A26" s="88"/>
      <c r="B26" s="98" t="s">
        <v>118</v>
      </c>
      <c r="E26" s="98">
        <v>20</v>
      </c>
      <c r="F26" s="99">
        <v>35000</v>
      </c>
      <c r="G26" s="99">
        <f>+F26/E26</f>
        <v>1750</v>
      </c>
      <c r="H26" s="93"/>
    </row>
    <row r="27" spans="1:10">
      <c r="A27" s="88"/>
      <c r="B27" s="98" t="s">
        <v>119</v>
      </c>
      <c r="E27" s="98">
        <v>1</v>
      </c>
      <c r="F27" s="99">
        <v>500</v>
      </c>
      <c r="G27" s="99">
        <f>+F27*E27</f>
        <v>500</v>
      </c>
      <c r="H27" s="93"/>
    </row>
    <row r="28" spans="1:10">
      <c r="A28" s="88"/>
      <c r="B28" s="98"/>
      <c r="E28" s="98"/>
      <c r="F28" s="99"/>
      <c r="G28" s="99">
        <v>0</v>
      </c>
      <c r="H28" s="93"/>
    </row>
    <row r="29" spans="1:10" ht="13.5" thickBot="1">
      <c r="A29" s="88"/>
      <c r="B29" s="98"/>
      <c r="E29" s="98"/>
      <c r="F29" s="99"/>
      <c r="G29" s="99">
        <v>0</v>
      </c>
      <c r="H29" s="93"/>
    </row>
    <row r="30" spans="1:10" ht="13.5" thickBot="1">
      <c r="A30" s="88"/>
      <c r="F30" s="100" t="s">
        <v>77</v>
      </c>
      <c r="G30" s="101">
        <f>SUM(G26:G29)</f>
        <v>2250</v>
      </c>
      <c r="H30" s="93"/>
    </row>
    <row r="31" spans="1:10">
      <c r="A31" s="88"/>
      <c r="G31" s="94"/>
      <c r="H31" s="93"/>
    </row>
    <row r="32" spans="1:10">
      <c r="A32" s="88"/>
      <c r="B32" s="98" t="s">
        <v>86</v>
      </c>
      <c r="E32" s="96" t="s">
        <v>71</v>
      </c>
      <c r="F32" s="97" t="s">
        <v>84</v>
      </c>
      <c r="G32" s="97" t="s">
        <v>76</v>
      </c>
      <c r="H32" s="93"/>
    </row>
    <row r="33" spans="1:8">
      <c r="A33" s="88"/>
      <c r="B33" s="98" t="s">
        <v>120</v>
      </c>
      <c r="E33" s="98">
        <v>20</v>
      </c>
      <c r="F33" s="99">
        <v>7000</v>
      </c>
      <c r="G33" s="99">
        <f>+F33/E33</f>
        <v>350</v>
      </c>
      <c r="H33" s="93"/>
    </row>
    <row r="34" spans="1:8">
      <c r="A34" s="88"/>
      <c r="B34" s="98" t="s">
        <v>74</v>
      </c>
      <c r="E34" s="98">
        <v>0.02</v>
      </c>
      <c r="F34" s="99">
        <v>140000</v>
      </c>
      <c r="G34" s="99">
        <f>+E34*F34</f>
        <v>2800</v>
      </c>
      <c r="H34" s="93"/>
    </row>
    <row r="35" spans="1:8" ht="13.5" thickBot="1">
      <c r="A35" s="88"/>
      <c r="B35" s="98"/>
      <c r="E35" s="98"/>
      <c r="F35" s="99"/>
      <c r="G35" s="99">
        <f>+E35*F35</f>
        <v>0</v>
      </c>
      <c r="H35" s="93"/>
    </row>
    <row r="36" spans="1:8" ht="13.5" thickBot="1">
      <c r="A36" s="88"/>
      <c r="F36" s="100" t="s">
        <v>77</v>
      </c>
      <c r="G36" s="101">
        <f>SUM(G33:G35)</f>
        <v>3150</v>
      </c>
      <c r="H36" s="93"/>
    </row>
    <row r="37" spans="1:8" ht="13.5" thickBot="1">
      <c r="A37" s="88"/>
      <c r="G37" s="94"/>
      <c r="H37" s="93"/>
    </row>
    <row r="38" spans="1:8" ht="13.5" thickBot="1">
      <c r="A38" s="88"/>
      <c r="F38" s="100" t="s">
        <v>87</v>
      </c>
      <c r="G38" s="101">
        <f>+G17+G23+G36+G30</f>
        <v>70206.458050789603</v>
      </c>
      <c r="H38" s="93"/>
    </row>
    <row r="39" spans="1:8">
      <c r="A39" s="105"/>
      <c r="B39" s="106"/>
      <c r="C39" s="106"/>
      <c r="D39" s="107"/>
      <c r="E39" s="106"/>
      <c r="F39" s="108"/>
      <c r="G39" s="106"/>
      <c r="H39" s="109"/>
    </row>
    <row r="45" spans="1:8">
      <c r="A45" s="90"/>
      <c r="B45" s="90"/>
      <c r="C45" s="90"/>
      <c r="D45" s="90"/>
      <c r="E45" s="90"/>
      <c r="F45" s="92"/>
      <c r="G45" s="90"/>
      <c r="H45" s="90"/>
    </row>
    <row r="46" spans="1:8">
      <c r="A46" s="90"/>
      <c r="B46" s="90"/>
      <c r="C46" s="90"/>
      <c r="D46" s="90"/>
      <c r="E46" s="90"/>
      <c r="F46" s="92"/>
      <c r="G46" s="90"/>
      <c r="H46" s="90"/>
    </row>
  </sheetData>
  <mergeCells count="1">
    <mergeCell ref="B4:G4"/>
  </mergeCells>
  <printOptions horizontalCentered="1"/>
  <pageMargins left="0.83" right="0.75" top="1.51" bottom="1" header="0.511811024" footer="0.511811024"/>
  <pageSetup orientation="portrait" horizontalDpi="120" verticalDpi="144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H46"/>
  <sheetViews>
    <sheetView topLeftCell="A25" zoomScaleNormal="100" workbookViewId="0">
      <selection activeCell="B20" sqref="B20"/>
    </sheetView>
  </sheetViews>
  <sheetFormatPr baseColWidth="10" defaultRowHeight="12.75"/>
  <cols>
    <col min="1" max="1" width="4.28515625" style="87" customWidth="1"/>
    <col min="2" max="2" width="27.42578125" style="87" customWidth="1"/>
    <col min="3" max="3" width="1.28515625" style="87" customWidth="1"/>
    <col min="4" max="4" width="4.7109375" style="87" customWidth="1"/>
    <col min="5" max="5" width="6.7109375" style="87" customWidth="1"/>
    <col min="6" max="6" width="12" style="87" customWidth="1"/>
    <col min="7" max="7" width="14" style="87" customWidth="1"/>
    <col min="8" max="8" width="3" style="87" customWidth="1"/>
    <col min="9" max="256" width="11.42578125" style="87"/>
    <col min="257" max="257" width="4.28515625" style="87" customWidth="1"/>
    <col min="258" max="258" width="27.42578125" style="87" customWidth="1"/>
    <col min="259" max="259" width="1.28515625" style="87" customWidth="1"/>
    <col min="260" max="260" width="4.7109375" style="87" customWidth="1"/>
    <col min="261" max="261" width="6.7109375" style="87" customWidth="1"/>
    <col min="262" max="262" width="12" style="87" customWidth="1"/>
    <col min="263" max="263" width="14" style="87" customWidth="1"/>
    <col min="264" max="264" width="3" style="87" customWidth="1"/>
    <col min="265" max="512" width="11.42578125" style="87"/>
    <col min="513" max="513" width="4.28515625" style="87" customWidth="1"/>
    <col min="514" max="514" width="27.42578125" style="87" customWidth="1"/>
    <col min="515" max="515" width="1.28515625" style="87" customWidth="1"/>
    <col min="516" max="516" width="4.7109375" style="87" customWidth="1"/>
    <col min="517" max="517" width="6.7109375" style="87" customWidth="1"/>
    <col min="518" max="518" width="12" style="87" customWidth="1"/>
    <col min="519" max="519" width="14" style="87" customWidth="1"/>
    <col min="520" max="520" width="3" style="87" customWidth="1"/>
    <col min="521" max="768" width="11.42578125" style="87"/>
    <col min="769" max="769" width="4.28515625" style="87" customWidth="1"/>
    <col min="770" max="770" width="27.42578125" style="87" customWidth="1"/>
    <col min="771" max="771" width="1.28515625" style="87" customWidth="1"/>
    <col min="772" max="772" width="4.7109375" style="87" customWidth="1"/>
    <col min="773" max="773" width="6.7109375" style="87" customWidth="1"/>
    <col min="774" max="774" width="12" style="87" customWidth="1"/>
    <col min="775" max="775" width="14" style="87" customWidth="1"/>
    <col min="776" max="776" width="3" style="87" customWidth="1"/>
    <col min="777" max="1024" width="11.42578125" style="87"/>
    <col min="1025" max="1025" width="4.28515625" style="87" customWidth="1"/>
    <col min="1026" max="1026" width="27.42578125" style="87" customWidth="1"/>
    <col min="1027" max="1027" width="1.28515625" style="87" customWidth="1"/>
    <col min="1028" max="1028" width="4.7109375" style="87" customWidth="1"/>
    <col min="1029" max="1029" width="6.7109375" style="87" customWidth="1"/>
    <col min="1030" max="1030" width="12" style="87" customWidth="1"/>
    <col min="1031" max="1031" width="14" style="87" customWidth="1"/>
    <col min="1032" max="1032" width="3" style="87" customWidth="1"/>
    <col min="1033" max="1280" width="11.42578125" style="87"/>
    <col min="1281" max="1281" width="4.28515625" style="87" customWidth="1"/>
    <col min="1282" max="1282" width="27.42578125" style="87" customWidth="1"/>
    <col min="1283" max="1283" width="1.28515625" style="87" customWidth="1"/>
    <col min="1284" max="1284" width="4.7109375" style="87" customWidth="1"/>
    <col min="1285" max="1285" width="6.7109375" style="87" customWidth="1"/>
    <col min="1286" max="1286" width="12" style="87" customWidth="1"/>
    <col min="1287" max="1287" width="14" style="87" customWidth="1"/>
    <col min="1288" max="1288" width="3" style="87" customWidth="1"/>
    <col min="1289" max="1536" width="11.42578125" style="87"/>
    <col min="1537" max="1537" width="4.28515625" style="87" customWidth="1"/>
    <col min="1538" max="1538" width="27.42578125" style="87" customWidth="1"/>
    <col min="1539" max="1539" width="1.28515625" style="87" customWidth="1"/>
    <col min="1540" max="1540" width="4.7109375" style="87" customWidth="1"/>
    <col min="1541" max="1541" width="6.7109375" style="87" customWidth="1"/>
    <col min="1542" max="1542" width="12" style="87" customWidth="1"/>
    <col min="1543" max="1543" width="14" style="87" customWidth="1"/>
    <col min="1544" max="1544" width="3" style="87" customWidth="1"/>
    <col min="1545" max="1792" width="11.42578125" style="87"/>
    <col min="1793" max="1793" width="4.28515625" style="87" customWidth="1"/>
    <col min="1794" max="1794" width="27.42578125" style="87" customWidth="1"/>
    <col min="1795" max="1795" width="1.28515625" style="87" customWidth="1"/>
    <col min="1796" max="1796" width="4.7109375" style="87" customWidth="1"/>
    <col min="1797" max="1797" width="6.7109375" style="87" customWidth="1"/>
    <col min="1798" max="1798" width="12" style="87" customWidth="1"/>
    <col min="1799" max="1799" width="14" style="87" customWidth="1"/>
    <col min="1800" max="1800" width="3" style="87" customWidth="1"/>
    <col min="1801" max="2048" width="11.42578125" style="87"/>
    <col min="2049" max="2049" width="4.28515625" style="87" customWidth="1"/>
    <col min="2050" max="2050" width="27.42578125" style="87" customWidth="1"/>
    <col min="2051" max="2051" width="1.28515625" style="87" customWidth="1"/>
    <col min="2052" max="2052" width="4.7109375" style="87" customWidth="1"/>
    <col min="2053" max="2053" width="6.7109375" style="87" customWidth="1"/>
    <col min="2054" max="2054" width="12" style="87" customWidth="1"/>
    <col min="2055" max="2055" width="14" style="87" customWidth="1"/>
    <col min="2056" max="2056" width="3" style="87" customWidth="1"/>
    <col min="2057" max="2304" width="11.42578125" style="87"/>
    <col min="2305" max="2305" width="4.28515625" style="87" customWidth="1"/>
    <col min="2306" max="2306" width="27.42578125" style="87" customWidth="1"/>
    <col min="2307" max="2307" width="1.28515625" style="87" customWidth="1"/>
    <col min="2308" max="2308" width="4.7109375" style="87" customWidth="1"/>
    <col min="2309" max="2309" width="6.7109375" style="87" customWidth="1"/>
    <col min="2310" max="2310" width="12" style="87" customWidth="1"/>
    <col min="2311" max="2311" width="14" style="87" customWidth="1"/>
    <col min="2312" max="2312" width="3" style="87" customWidth="1"/>
    <col min="2313" max="2560" width="11.42578125" style="87"/>
    <col min="2561" max="2561" width="4.28515625" style="87" customWidth="1"/>
    <col min="2562" max="2562" width="27.42578125" style="87" customWidth="1"/>
    <col min="2563" max="2563" width="1.28515625" style="87" customWidth="1"/>
    <col min="2564" max="2564" width="4.7109375" style="87" customWidth="1"/>
    <col min="2565" max="2565" width="6.7109375" style="87" customWidth="1"/>
    <col min="2566" max="2566" width="12" style="87" customWidth="1"/>
    <col min="2567" max="2567" width="14" style="87" customWidth="1"/>
    <col min="2568" max="2568" width="3" style="87" customWidth="1"/>
    <col min="2569" max="2816" width="11.42578125" style="87"/>
    <col min="2817" max="2817" width="4.28515625" style="87" customWidth="1"/>
    <col min="2818" max="2818" width="27.42578125" style="87" customWidth="1"/>
    <col min="2819" max="2819" width="1.28515625" style="87" customWidth="1"/>
    <col min="2820" max="2820" width="4.7109375" style="87" customWidth="1"/>
    <col min="2821" max="2821" width="6.7109375" style="87" customWidth="1"/>
    <col min="2822" max="2822" width="12" style="87" customWidth="1"/>
    <col min="2823" max="2823" width="14" style="87" customWidth="1"/>
    <col min="2824" max="2824" width="3" style="87" customWidth="1"/>
    <col min="2825" max="3072" width="11.42578125" style="87"/>
    <col min="3073" max="3073" width="4.28515625" style="87" customWidth="1"/>
    <col min="3074" max="3074" width="27.42578125" style="87" customWidth="1"/>
    <col min="3075" max="3075" width="1.28515625" style="87" customWidth="1"/>
    <col min="3076" max="3076" width="4.7109375" style="87" customWidth="1"/>
    <col min="3077" max="3077" width="6.7109375" style="87" customWidth="1"/>
    <col min="3078" max="3078" width="12" style="87" customWidth="1"/>
    <col min="3079" max="3079" width="14" style="87" customWidth="1"/>
    <col min="3080" max="3080" width="3" style="87" customWidth="1"/>
    <col min="3081" max="3328" width="11.42578125" style="87"/>
    <col min="3329" max="3329" width="4.28515625" style="87" customWidth="1"/>
    <col min="3330" max="3330" width="27.42578125" style="87" customWidth="1"/>
    <col min="3331" max="3331" width="1.28515625" style="87" customWidth="1"/>
    <col min="3332" max="3332" width="4.7109375" style="87" customWidth="1"/>
    <col min="3333" max="3333" width="6.7109375" style="87" customWidth="1"/>
    <col min="3334" max="3334" width="12" style="87" customWidth="1"/>
    <col min="3335" max="3335" width="14" style="87" customWidth="1"/>
    <col min="3336" max="3336" width="3" style="87" customWidth="1"/>
    <col min="3337" max="3584" width="11.42578125" style="87"/>
    <col min="3585" max="3585" width="4.28515625" style="87" customWidth="1"/>
    <col min="3586" max="3586" width="27.42578125" style="87" customWidth="1"/>
    <col min="3587" max="3587" width="1.28515625" style="87" customWidth="1"/>
    <col min="3588" max="3588" width="4.7109375" style="87" customWidth="1"/>
    <col min="3589" max="3589" width="6.7109375" style="87" customWidth="1"/>
    <col min="3590" max="3590" width="12" style="87" customWidth="1"/>
    <col min="3591" max="3591" width="14" style="87" customWidth="1"/>
    <col min="3592" max="3592" width="3" style="87" customWidth="1"/>
    <col min="3593" max="3840" width="11.42578125" style="87"/>
    <col min="3841" max="3841" width="4.28515625" style="87" customWidth="1"/>
    <col min="3842" max="3842" width="27.42578125" style="87" customWidth="1"/>
    <col min="3843" max="3843" width="1.28515625" style="87" customWidth="1"/>
    <col min="3844" max="3844" width="4.7109375" style="87" customWidth="1"/>
    <col min="3845" max="3845" width="6.7109375" style="87" customWidth="1"/>
    <col min="3846" max="3846" width="12" style="87" customWidth="1"/>
    <col min="3847" max="3847" width="14" style="87" customWidth="1"/>
    <col min="3848" max="3848" width="3" style="87" customWidth="1"/>
    <col min="3849" max="4096" width="11.42578125" style="87"/>
    <col min="4097" max="4097" width="4.28515625" style="87" customWidth="1"/>
    <col min="4098" max="4098" width="27.42578125" style="87" customWidth="1"/>
    <col min="4099" max="4099" width="1.28515625" style="87" customWidth="1"/>
    <col min="4100" max="4100" width="4.7109375" style="87" customWidth="1"/>
    <col min="4101" max="4101" width="6.7109375" style="87" customWidth="1"/>
    <col min="4102" max="4102" width="12" style="87" customWidth="1"/>
    <col min="4103" max="4103" width="14" style="87" customWidth="1"/>
    <col min="4104" max="4104" width="3" style="87" customWidth="1"/>
    <col min="4105" max="4352" width="11.42578125" style="87"/>
    <col min="4353" max="4353" width="4.28515625" style="87" customWidth="1"/>
    <col min="4354" max="4354" width="27.42578125" style="87" customWidth="1"/>
    <col min="4355" max="4355" width="1.28515625" style="87" customWidth="1"/>
    <col min="4356" max="4356" width="4.7109375" style="87" customWidth="1"/>
    <col min="4357" max="4357" width="6.7109375" style="87" customWidth="1"/>
    <col min="4358" max="4358" width="12" style="87" customWidth="1"/>
    <col min="4359" max="4359" width="14" style="87" customWidth="1"/>
    <col min="4360" max="4360" width="3" style="87" customWidth="1"/>
    <col min="4361" max="4608" width="11.42578125" style="87"/>
    <col min="4609" max="4609" width="4.28515625" style="87" customWidth="1"/>
    <col min="4610" max="4610" width="27.42578125" style="87" customWidth="1"/>
    <col min="4611" max="4611" width="1.28515625" style="87" customWidth="1"/>
    <col min="4612" max="4612" width="4.7109375" style="87" customWidth="1"/>
    <col min="4613" max="4613" width="6.7109375" style="87" customWidth="1"/>
    <col min="4614" max="4614" width="12" style="87" customWidth="1"/>
    <col min="4615" max="4615" width="14" style="87" customWidth="1"/>
    <col min="4616" max="4616" width="3" style="87" customWidth="1"/>
    <col min="4617" max="4864" width="11.42578125" style="87"/>
    <col min="4865" max="4865" width="4.28515625" style="87" customWidth="1"/>
    <col min="4866" max="4866" width="27.42578125" style="87" customWidth="1"/>
    <col min="4867" max="4867" width="1.28515625" style="87" customWidth="1"/>
    <col min="4868" max="4868" width="4.7109375" style="87" customWidth="1"/>
    <col min="4869" max="4869" width="6.7109375" style="87" customWidth="1"/>
    <col min="4870" max="4870" width="12" style="87" customWidth="1"/>
    <col min="4871" max="4871" width="14" style="87" customWidth="1"/>
    <col min="4872" max="4872" width="3" style="87" customWidth="1"/>
    <col min="4873" max="5120" width="11.42578125" style="87"/>
    <col min="5121" max="5121" width="4.28515625" style="87" customWidth="1"/>
    <col min="5122" max="5122" width="27.42578125" style="87" customWidth="1"/>
    <col min="5123" max="5123" width="1.28515625" style="87" customWidth="1"/>
    <col min="5124" max="5124" width="4.7109375" style="87" customWidth="1"/>
    <col min="5125" max="5125" width="6.7109375" style="87" customWidth="1"/>
    <col min="5126" max="5126" width="12" style="87" customWidth="1"/>
    <col min="5127" max="5127" width="14" style="87" customWidth="1"/>
    <col min="5128" max="5128" width="3" style="87" customWidth="1"/>
    <col min="5129" max="5376" width="11.42578125" style="87"/>
    <col min="5377" max="5377" width="4.28515625" style="87" customWidth="1"/>
    <col min="5378" max="5378" width="27.42578125" style="87" customWidth="1"/>
    <col min="5379" max="5379" width="1.28515625" style="87" customWidth="1"/>
    <col min="5380" max="5380" width="4.7109375" style="87" customWidth="1"/>
    <col min="5381" max="5381" width="6.7109375" style="87" customWidth="1"/>
    <col min="5382" max="5382" width="12" style="87" customWidth="1"/>
    <col min="5383" max="5383" width="14" style="87" customWidth="1"/>
    <col min="5384" max="5384" width="3" style="87" customWidth="1"/>
    <col min="5385" max="5632" width="11.42578125" style="87"/>
    <col min="5633" max="5633" width="4.28515625" style="87" customWidth="1"/>
    <col min="5634" max="5634" width="27.42578125" style="87" customWidth="1"/>
    <col min="5635" max="5635" width="1.28515625" style="87" customWidth="1"/>
    <col min="5636" max="5636" width="4.7109375" style="87" customWidth="1"/>
    <col min="5637" max="5637" width="6.7109375" style="87" customWidth="1"/>
    <col min="5638" max="5638" width="12" style="87" customWidth="1"/>
    <col min="5639" max="5639" width="14" style="87" customWidth="1"/>
    <col min="5640" max="5640" width="3" style="87" customWidth="1"/>
    <col min="5641" max="5888" width="11.42578125" style="87"/>
    <col min="5889" max="5889" width="4.28515625" style="87" customWidth="1"/>
    <col min="5890" max="5890" width="27.42578125" style="87" customWidth="1"/>
    <col min="5891" max="5891" width="1.28515625" style="87" customWidth="1"/>
    <col min="5892" max="5892" width="4.7109375" style="87" customWidth="1"/>
    <col min="5893" max="5893" width="6.7109375" style="87" customWidth="1"/>
    <col min="5894" max="5894" width="12" style="87" customWidth="1"/>
    <col min="5895" max="5895" width="14" style="87" customWidth="1"/>
    <col min="5896" max="5896" width="3" style="87" customWidth="1"/>
    <col min="5897" max="6144" width="11.42578125" style="87"/>
    <col min="6145" max="6145" width="4.28515625" style="87" customWidth="1"/>
    <col min="6146" max="6146" width="27.42578125" style="87" customWidth="1"/>
    <col min="6147" max="6147" width="1.28515625" style="87" customWidth="1"/>
    <col min="6148" max="6148" width="4.7109375" style="87" customWidth="1"/>
    <col min="6149" max="6149" width="6.7109375" style="87" customWidth="1"/>
    <col min="6150" max="6150" width="12" style="87" customWidth="1"/>
    <col min="6151" max="6151" width="14" style="87" customWidth="1"/>
    <col min="6152" max="6152" width="3" style="87" customWidth="1"/>
    <col min="6153" max="6400" width="11.42578125" style="87"/>
    <col min="6401" max="6401" width="4.28515625" style="87" customWidth="1"/>
    <col min="6402" max="6402" width="27.42578125" style="87" customWidth="1"/>
    <col min="6403" max="6403" width="1.28515625" style="87" customWidth="1"/>
    <col min="6404" max="6404" width="4.7109375" style="87" customWidth="1"/>
    <col min="6405" max="6405" width="6.7109375" style="87" customWidth="1"/>
    <col min="6406" max="6406" width="12" style="87" customWidth="1"/>
    <col min="6407" max="6407" width="14" style="87" customWidth="1"/>
    <col min="6408" max="6408" width="3" style="87" customWidth="1"/>
    <col min="6409" max="6656" width="11.42578125" style="87"/>
    <col min="6657" max="6657" width="4.28515625" style="87" customWidth="1"/>
    <col min="6658" max="6658" width="27.42578125" style="87" customWidth="1"/>
    <col min="6659" max="6659" width="1.28515625" style="87" customWidth="1"/>
    <col min="6660" max="6660" width="4.7109375" style="87" customWidth="1"/>
    <col min="6661" max="6661" width="6.7109375" style="87" customWidth="1"/>
    <col min="6662" max="6662" width="12" style="87" customWidth="1"/>
    <col min="6663" max="6663" width="14" style="87" customWidth="1"/>
    <col min="6664" max="6664" width="3" style="87" customWidth="1"/>
    <col min="6665" max="6912" width="11.42578125" style="87"/>
    <col min="6913" max="6913" width="4.28515625" style="87" customWidth="1"/>
    <col min="6914" max="6914" width="27.42578125" style="87" customWidth="1"/>
    <col min="6915" max="6915" width="1.28515625" style="87" customWidth="1"/>
    <col min="6916" max="6916" width="4.7109375" style="87" customWidth="1"/>
    <col min="6917" max="6917" width="6.7109375" style="87" customWidth="1"/>
    <col min="6918" max="6918" width="12" style="87" customWidth="1"/>
    <col min="6919" max="6919" width="14" style="87" customWidth="1"/>
    <col min="6920" max="6920" width="3" style="87" customWidth="1"/>
    <col min="6921" max="7168" width="11.42578125" style="87"/>
    <col min="7169" max="7169" width="4.28515625" style="87" customWidth="1"/>
    <col min="7170" max="7170" width="27.42578125" style="87" customWidth="1"/>
    <col min="7171" max="7171" width="1.28515625" style="87" customWidth="1"/>
    <col min="7172" max="7172" width="4.7109375" style="87" customWidth="1"/>
    <col min="7173" max="7173" width="6.7109375" style="87" customWidth="1"/>
    <col min="7174" max="7174" width="12" style="87" customWidth="1"/>
    <col min="7175" max="7175" width="14" style="87" customWidth="1"/>
    <col min="7176" max="7176" width="3" style="87" customWidth="1"/>
    <col min="7177" max="7424" width="11.42578125" style="87"/>
    <col min="7425" max="7425" width="4.28515625" style="87" customWidth="1"/>
    <col min="7426" max="7426" width="27.42578125" style="87" customWidth="1"/>
    <col min="7427" max="7427" width="1.28515625" style="87" customWidth="1"/>
    <col min="7428" max="7428" width="4.7109375" style="87" customWidth="1"/>
    <col min="7429" max="7429" width="6.7109375" style="87" customWidth="1"/>
    <col min="7430" max="7430" width="12" style="87" customWidth="1"/>
    <col min="7431" max="7431" width="14" style="87" customWidth="1"/>
    <col min="7432" max="7432" width="3" style="87" customWidth="1"/>
    <col min="7433" max="7680" width="11.42578125" style="87"/>
    <col min="7681" max="7681" width="4.28515625" style="87" customWidth="1"/>
    <col min="7682" max="7682" width="27.42578125" style="87" customWidth="1"/>
    <col min="7683" max="7683" width="1.28515625" style="87" customWidth="1"/>
    <col min="7684" max="7684" width="4.7109375" style="87" customWidth="1"/>
    <col min="7685" max="7685" width="6.7109375" style="87" customWidth="1"/>
    <col min="7686" max="7686" width="12" style="87" customWidth="1"/>
    <col min="7687" max="7687" width="14" style="87" customWidth="1"/>
    <col min="7688" max="7688" width="3" style="87" customWidth="1"/>
    <col min="7689" max="7936" width="11.42578125" style="87"/>
    <col min="7937" max="7937" width="4.28515625" style="87" customWidth="1"/>
    <col min="7938" max="7938" width="27.42578125" style="87" customWidth="1"/>
    <col min="7939" max="7939" width="1.28515625" style="87" customWidth="1"/>
    <col min="7940" max="7940" width="4.7109375" style="87" customWidth="1"/>
    <col min="7941" max="7941" width="6.7109375" style="87" customWidth="1"/>
    <col min="7942" max="7942" width="12" style="87" customWidth="1"/>
    <col min="7943" max="7943" width="14" style="87" customWidth="1"/>
    <col min="7944" max="7944" width="3" style="87" customWidth="1"/>
    <col min="7945" max="8192" width="11.42578125" style="87"/>
    <col min="8193" max="8193" width="4.28515625" style="87" customWidth="1"/>
    <col min="8194" max="8194" width="27.42578125" style="87" customWidth="1"/>
    <col min="8195" max="8195" width="1.28515625" style="87" customWidth="1"/>
    <col min="8196" max="8196" width="4.7109375" style="87" customWidth="1"/>
    <col min="8197" max="8197" width="6.7109375" style="87" customWidth="1"/>
    <col min="8198" max="8198" width="12" style="87" customWidth="1"/>
    <col min="8199" max="8199" width="14" style="87" customWidth="1"/>
    <col min="8200" max="8200" width="3" style="87" customWidth="1"/>
    <col min="8201" max="8448" width="11.42578125" style="87"/>
    <col min="8449" max="8449" width="4.28515625" style="87" customWidth="1"/>
    <col min="8450" max="8450" width="27.42578125" style="87" customWidth="1"/>
    <col min="8451" max="8451" width="1.28515625" style="87" customWidth="1"/>
    <col min="8452" max="8452" width="4.7109375" style="87" customWidth="1"/>
    <col min="8453" max="8453" width="6.7109375" style="87" customWidth="1"/>
    <col min="8454" max="8454" width="12" style="87" customWidth="1"/>
    <col min="8455" max="8455" width="14" style="87" customWidth="1"/>
    <col min="8456" max="8456" width="3" style="87" customWidth="1"/>
    <col min="8457" max="8704" width="11.42578125" style="87"/>
    <col min="8705" max="8705" width="4.28515625" style="87" customWidth="1"/>
    <col min="8706" max="8706" width="27.42578125" style="87" customWidth="1"/>
    <col min="8707" max="8707" width="1.28515625" style="87" customWidth="1"/>
    <col min="8708" max="8708" width="4.7109375" style="87" customWidth="1"/>
    <col min="8709" max="8709" width="6.7109375" style="87" customWidth="1"/>
    <col min="8710" max="8710" width="12" style="87" customWidth="1"/>
    <col min="8711" max="8711" width="14" style="87" customWidth="1"/>
    <col min="8712" max="8712" width="3" style="87" customWidth="1"/>
    <col min="8713" max="8960" width="11.42578125" style="87"/>
    <col min="8961" max="8961" width="4.28515625" style="87" customWidth="1"/>
    <col min="8962" max="8962" width="27.42578125" style="87" customWidth="1"/>
    <col min="8963" max="8963" width="1.28515625" style="87" customWidth="1"/>
    <col min="8964" max="8964" width="4.7109375" style="87" customWidth="1"/>
    <col min="8965" max="8965" width="6.7109375" style="87" customWidth="1"/>
    <col min="8966" max="8966" width="12" style="87" customWidth="1"/>
    <col min="8967" max="8967" width="14" style="87" customWidth="1"/>
    <col min="8968" max="8968" width="3" style="87" customWidth="1"/>
    <col min="8969" max="9216" width="11.42578125" style="87"/>
    <col min="9217" max="9217" width="4.28515625" style="87" customWidth="1"/>
    <col min="9218" max="9218" width="27.42578125" style="87" customWidth="1"/>
    <col min="9219" max="9219" width="1.28515625" style="87" customWidth="1"/>
    <col min="9220" max="9220" width="4.7109375" style="87" customWidth="1"/>
    <col min="9221" max="9221" width="6.7109375" style="87" customWidth="1"/>
    <col min="9222" max="9222" width="12" style="87" customWidth="1"/>
    <col min="9223" max="9223" width="14" style="87" customWidth="1"/>
    <col min="9224" max="9224" width="3" style="87" customWidth="1"/>
    <col min="9225" max="9472" width="11.42578125" style="87"/>
    <col min="9473" max="9473" width="4.28515625" style="87" customWidth="1"/>
    <col min="9474" max="9474" width="27.42578125" style="87" customWidth="1"/>
    <col min="9475" max="9475" width="1.28515625" style="87" customWidth="1"/>
    <col min="9476" max="9476" width="4.7109375" style="87" customWidth="1"/>
    <col min="9477" max="9477" width="6.7109375" style="87" customWidth="1"/>
    <col min="9478" max="9478" width="12" style="87" customWidth="1"/>
    <col min="9479" max="9479" width="14" style="87" customWidth="1"/>
    <col min="9480" max="9480" width="3" style="87" customWidth="1"/>
    <col min="9481" max="9728" width="11.42578125" style="87"/>
    <col min="9729" max="9729" width="4.28515625" style="87" customWidth="1"/>
    <col min="9730" max="9730" width="27.42578125" style="87" customWidth="1"/>
    <col min="9731" max="9731" width="1.28515625" style="87" customWidth="1"/>
    <col min="9732" max="9732" width="4.7109375" style="87" customWidth="1"/>
    <col min="9733" max="9733" width="6.7109375" style="87" customWidth="1"/>
    <col min="9734" max="9734" width="12" style="87" customWidth="1"/>
    <col min="9735" max="9735" width="14" style="87" customWidth="1"/>
    <col min="9736" max="9736" width="3" style="87" customWidth="1"/>
    <col min="9737" max="9984" width="11.42578125" style="87"/>
    <col min="9985" max="9985" width="4.28515625" style="87" customWidth="1"/>
    <col min="9986" max="9986" width="27.42578125" style="87" customWidth="1"/>
    <col min="9987" max="9987" width="1.28515625" style="87" customWidth="1"/>
    <col min="9988" max="9988" width="4.7109375" style="87" customWidth="1"/>
    <col min="9989" max="9989" width="6.7109375" style="87" customWidth="1"/>
    <col min="9990" max="9990" width="12" style="87" customWidth="1"/>
    <col min="9991" max="9991" width="14" style="87" customWidth="1"/>
    <col min="9992" max="9992" width="3" style="87" customWidth="1"/>
    <col min="9993" max="10240" width="11.42578125" style="87"/>
    <col min="10241" max="10241" width="4.28515625" style="87" customWidth="1"/>
    <col min="10242" max="10242" width="27.42578125" style="87" customWidth="1"/>
    <col min="10243" max="10243" width="1.28515625" style="87" customWidth="1"/>
    <col min="10244" max="10244" width="4.7109375" style="87" customWidth="1"/>
    <col min="10245" max="10245" width="6.7109375" style="87" customWidth="1"/>
    <col min="10246" max="10246" width="12" style="87" customWidth="1"/>
    <col min="10247" max="10247" width="14" style="87" customWidth="1"/>
    <col min="10248" max="10248" width="3" style="87" customWidth="1"/>
    <col min="10249" max="10496" width="11.42578125" style="87"/>
    <col min="10497" max="10497" width="4.28515625" style="87" customWidth="1"/>
    <col min="10498" max="10498" width="27.42578125" style="87" customWidth="1"/>
    <col min="10499" max="10499" width="1.28515625" style="87" customWidth="1"/>
    <col min="10500" max="10500" width="4.7109375" style="87" customWidth="1"/>
    <col min="10501" max="10501" width="6.7109375" style="87" customWidth="1"/>
    <col min="10502" max="10502" width="12" style="87" customWidth="1"/>
    <col min="10503" max="10503" width="14" style="87" customWidth="1"/>
    <col min="10504" max="10504" width="3" style="87" customWidth="1"/>
    <col min="10505" max="10752" width="11.42578125" style="87"/>
    <col min="10753" max="10753" width="4.28515625" style="87" customWidth="1"/>
    <col min="10754" max="10754" width="27.42578125" style="87" customWidth="1"/>
    <col min="10755" max="10755" width="1.28515625" style="87" customWidth="1"/>
    <col min="10756" max="10756" width="4.7109375" style="87" customWidth="1"/>
    <col min="10757" max="10757" width="6.7109375" style="87" customWidth="1"/>
    <col min="10758" max="10758" width="12" style="87" customWidth="1"/>
    <col min="10759" max="10759" width="14" style="87" customWidth="1"/>
    <col min="10760" max="10760" width="3" style="87" customWidth="1"/>
    <col min="10761" max="11008" width="11.42578125" style="87"/>
    <col min="11009" max="11009" width="4.28515625" style="87" customWidth="1"/>
    <col min="11010" max="11010" width="27.42578125" style="87" customWidth="1"/>
    <col min="11011" max="11011" width="1.28515625" style="87" customWidth="1"/>
    <col min="11012" max="11012" width="4.7109375" style="87" customWidth="1"/>
    <col min="11013" max="11013" width="6.7109375" style="87" customWidth="1"/>
    <col min="11014" max="11014" width="12" style="87" customWidth="1"/>
    <col min="11015" max="11015" width="14" style="87" customWidth="1"/>
    <col min="11016" max="11016" width="3" style="87" customWidth="1"/>
    <col min="11017" max="11264" width="11.42578125" style="87"/>
    <col min="11265" max="11265" width="4.28515625" style="87" customWidth="1"/>
    <col min="11266" max="11266" width="27.42578125" style="87" customWidth="1"/>
    <col min="11267" max="11267" width="1.28515625" style="87" customWidth="1"/>
    <col min="11268" max="11268" width="4.7109375" style="87" customWidth="1"/>
    <col min="11269" max="11269" width="6.7109375" style="87" customWidth="1"/>
    <col min="11270" max="11270" width="12" style="87" customWidth="1"/>
    <col min="11271" max="11271" width="14" style="87" customWidth="1"/>
    <col min="11272" max="11272" width="3" style="87" customWidth="1"/>
    <col min="11273" max="11520" width="11.42578125" style="87"/>
    <col min="11521" max="11521" width="4.28515625" style="87" customWidth="1"/>
    <col min="11522" max="11522" width="27.42578125" style="87" customWidth="1"/>
    <col min="11523" max="11523" width="1.28515625" style="87" customWidth="1"/>
    <col min="11524" max="11524" width="4.7109375" style="87" customWidth="1"/>
    <col min="11525" max="11525" width="6.7109375" style="87" customWidth="1"/>
    <col min="11526" max="11526" width="12" style="87" customWidth="1"/>
    <col min="11527" max="11527" width="14" style="87" customWidth="1"/>
    <col min="11528" max="11528" width="3" style="87" customWidth="1"/>
    <col min="11529" max="11776" width="11.42578125" style="87"/>
    <col min="11777" max="11777" width="4.28515625" style="87" customWidth="1"/>
    <col min="11778" max="11778" width="27.42578125" style="87" customWidth="1"/>
    <col min="11779" max="11779" width="1.28515625" style="87" customWidth="1"/>
    <col min="11780" max="11780" width="4.7109375" style="87" customWidth="1"/>
    <col min="11781" max="11781" width="6.7109375" style="87" customWidth="1"/>
    <col min="11782" max="11782" width="12" style="87" customWidth="1"/>
    <col min="11783" max="11783" width="14" style="87" customWidth="1"/>
    <col min="11784" max="11784" width="3" style="87" customWidth="1"/>
    <col min="11785" max="12032" width="11.42578125" style="87"/>
    <col min="12033" max="12033" width="4.28515625" style="87" customWidth="1"/>
    <col min="12034" max="12034" width="27.42578125" style="87" customWidth="1"/>
    <col min="12035" max="12035" width="1.28515625" style="87" customWidth="1"/>
    <col min="12036" max="12036" width="4.7109375" style="87" customWidth="1"/>
    <col min="12037" max="12037" width="6.7109375" style="87" customWidth="1"/>
    <col min="12038" max="12038" width="12" style="87" customWidth="1"/>
    <col min="12039" max="12039" width="14" style="87" customWidth="1"/>
    <col min="12040" max="12040" width="3" style="87" customWidth="1"/>
    <col min="12041" max="12288" width="11.42578125" style="87"/>
    <col min="12289" max="12289" width="4.28515625" style="87" customWidth="1"/>
    <col min="12290" max="12290" width="27.42578125" style="87" customWidth="1"/>
    <col min="12291" max="12291" width="1.28515625" style="87" customWidth="1"/>
    <col min="12292" max="12292" width="4.7109375" style="87" customWidth="1"/>
    <col min="12293" max="12293" width="6.7109375" style="87" customWidth="1"/>
    <col min="12294" max="12294" width="12" style="87" customWidth="1"/>
    <col min="12295" max="12295" width="14" style="87" customWidth="1"/>
    <col min="12296" max="12296" width="3" style="87" customWidth="1"/>
    <col min="12297" max="12544" width="11.42578125" style="87"/>
    <col min="12545" max="12545" width="4.28515625" style="87" customWidth="1"/>
    <col min="12546" max="12546" width="27.42578125" style="87" customWidth="1"/>
    <col min="12547" max="12547" width="1.28515625" style="87" customWidth="1"/>
    <col min="12548" max="12548" width="4.7109375" style="87" customWidth="1"/>
    <col min="12549" max="12549" width="6.7109375" style="87" customWidth="1"/>
    <col min="12550" max="12550" width="12" style="87" customWidth="1"/>
    <col min="12551" max="12551" width="14" style="87" customWidth="1"/>
    <col min="12552" max="12552" width="3" style="87" customWidth="1"/>
    <col min="12553" max="12800" width="11.42578125" style="87"/>
    <col min="12801" max="12801" width="4.28515625" style="87" customWidth="1"/>
    <col min="12802" max="12802" width="27.42578125" style="87" customWidth="1"/>
    <col min="12803" max="12803" width="1.28515625" style="87" customWidth="1"/>
    <col min="12804" max="12804" width="4.7109375" style="87" customWidth="1"/>
    <col min="12805" max="12805" width="6.7109375" style="87" customWidth="1"/>
    <col min="12806" max="12806" width="12" style="87" customWidth="1"/>
    <col min="12807" max="12807" width="14" style="87" customWidth="1"/>
    <col min="12808" max="12808" width="3" style="87" customWidth="1"/>
    <col min="12809" max="13056" width="11.42578125" style="87"/>
    <col min="13057" max="13057" width="4.28515625" style="87" customWidth="1"/>
    <col min="13058" max="13058" width="27.42578125" style="87" customWidth="1"/>
    <col min="13059" max="13059" width="1.28515625" style="87" customWidth="1"/>
    <col min="13060" max="13060" width="4.7109375" style="87" customWidth="1"/>
    <col min="13061" max="13061" width="6.7109375" style="87" customWidth="1"/>
    <col min="13062" max="13062" width="12" style="87" customWidth="1"/>
    <col min="13063" max="13063" width="14" style="87" customWidth="1"/>
    <col min="13064" max="13064" width="3" style="87" customWidth="1"/>
    <col min="13065" max="13312" width="11.42578125" style="87"/>
    <col min="13313" max="13313" width="4.28515625" style="87" customWidth="1"/>
    <col min="13314" max="13314" width="27.42578125" style="87" customWidth="1"/>
    <col min="13315" max="13315" width="1.28515625" style="87" customWidth="1"/>
    <col min="13316" max="13316" width="4.7109375" style="87" customWidth="1"/>
    <col min="13317" max="13317" width="6.7109375" style="87" customWidth="1"/>
    <col min="13318" max="13318" width="12" style="87" customWidth="1"/>
    <col min="13319" max="13319" width="14" style="87" customWidth="1"/>
    <col min="13320" max="13320" width="3" style="87" customWidth="1"/>
    <col min="13321" max="13568" width="11.42578125" style="87"/>
    <col min="13569" max="13569" width="4.28515625" style="87" customWidth="1"/>
    <col min="13570" max="13570" width="27.42578125" style="87" customWidth="1"/>
    <col min="13571" max="13571" width="1.28515625" style="87" customWidth="1"/>
    <col min="13572" max="13572" width="4.7109375" style="87" customWidth="1"/>
    <col min="13573" max="13573" width="6.7109375" style="87" customWidth="1"/>
    <col min="13574" max="13574" width="12" style="87" customWidth="1"/>
    <col min="13575" max="13575" width="14" style="87" customWidth="1"/>
    <col min="13576" max="13576" width="3" style="87" customWidth="1"/>
    <col min="13577" max="13824" width="11.42578125" style="87"/>
    <col min="13825" max="13825" width="4.28515625" style="87" customWidth="1"/>
    <col min="13826" max="13826" width="27.42578125" style="87" customWidth="1"/>
    <col min="13827" max="13827" width="1.28515625" style="87" customWidth="1"/>
    <col min="13828" max="13828" width="4.7109375" style="87" customWidth="1"/>
    <col min="13829" max="13829" width="6.7109375" style="87" customWidth="1"/>
    <col min="13830" max="13830" width="12" style="87" customWidth="1"/>
    <col min="13831" max="13831" width="14" style="87" customWidth="1"/>
    <col min="13832" max="13832" width="3" style="87" customWidth="1"/>
    <col min="13833" max="14080" width="11.42578125" style="87"/>
    <col min="14081" max="14081" width="4.28515625" style="87" customWidth="1"/>
    <col min="14082" max="14082" width="27.42578125" style="87" customWidth="1"/>
    <col min="14083" max="14083" width="1.28515625" style="87" customWidth="1"/>
    <col min="14084" max="14084" width="4.7109375" style="87" customWidth="1"/>
    <col min="14085" max="14085" width="6.7109375" style="87" customWidth="1"/>
    <col min="14086" max="14086" width="12" style="87" customWidth="1"/>
    <col min="14087" max="14087" width="14" style="87" customWidth="1"/>
    <col min="14088" max="14088" width="3" style="87" customWidth="1"/>
    <col min="14089" max="14336" width="11.42578125" style="87"/>
    <col min="14337" max="14337" width="4.28515625" style="87" customWidth="1"/>
    <col min="14338" max="14338" width="27.42578125" style="87" customWidth="1"/>
    <col min="14339" max="14339" width="1.28515625" style="87" customWidth="1"/>
    <col min="14340" max="14340" width="4.7109375" style="87" customWidth="1"/>
    <col min="14341" max="14341" width="6.7109375" style="87" customWidth="1"/>
    <col min="14342" max="14342" width="12" style="87" customWidth="1"/>
    <col min="14343" max="14343" width="14" style="87" customWidth="1"/>
    <col min="14344" max="14344" width="3" style="87" customWidth="1"/>
    <col min="14345" max="14592" width="11.42578125" style="87"/>
    <col min="14593" max="14593" width="4.28515625" style="87" customWidth="1"/>
    <col min="14594" max="14594" width="27.42578125" style="87" customWidth="1"/>
    <col min="14595" max="14595" width="1.28515625" style="87" customWidth="1"/>
    <col min="14596" max="14596" width="4.7109375" style="87" customWidth="1"/>
    <col min="14597" max="14597" width="6.7109375" style="87" customWidth="1"/>
    <col min="14598" max="14598" width="12" style="87" customWidth="1"/>
    <col min="14599" max="14599" width="14" style="87" customWidth="1"/>
    <col min="14600" max="14600" width="3" style="87" customWidth="1"/>
    <col min="14601" max="14848" width="11.42578125" style="87"/>
    <col min="14849" max="14849" width="4.28515625" style="87" customWidth="1"/>
    <col min="14850" max="14850" width="27.42578125" style="87" customWidth="1"/>
    <col min="14851" max="14851" width="1.28515625" style="87" customWidth="1"/>
    <col min="14852" max="14852" width="4.7109375" style="87" customWidth="1"/>
    <col min="14853" max="14853" width="6.7109375" style="87" customWidth="1"/>
    <col min="14854" max="14854" width="12" style="87" customWidth="1"/>
    <col min="14855" max="14855" width="14" style="87" customWidth="1"/>
    <col min="14856" max="14856" width="3" style="87" customWidth="1"/>
    <col min="14857" max="15104" width="11.42578125" style="87"/>
    <col min="15105" max="15105" width="4.28515625" style="87" customWidth="1"/>
    <col min="15106" max="15106" width="27.42578125" style="87" customWidth="1"/>
    <col min="15107" max="15107" width="1.28515625" style="87" customWidth="1"/>
    <col min="15108" max="15108" width="4.7109375" style="87" customWidth="1"/>
    <col min="15109" max="15109" width="6.7109375" style="87" customWidth="1"/>
    <col min="15110" max="15110" width="12" style="87" customWidth="1"/>
    <col min="15111" max="15111" width="14" style="87" customWidth="1"/>
    <col min="15112" max="15112" width="3" style="87" customWidth="1"/>
    <col min="15113" max="15360" width="11.42578125" style="87"/>
    <col min="15361" max="15361" width="4.28515625" style="87" customWidth="1"/>
    <col min="15362" max="15362" width="27.42578125" style="87" customWidth="1"/>
    <col min="15363" max="15363" width="1.28515625" style="87" customWidth="1"/>
    <col min="15364" max="15364" width="4.7109375" style="87" customWidth="1"/>
    <col min="15365" max="15365" width="6.7109375" style="87" customWidth="1"/>
    <col min="15366" max="15366" width="12" style="87" customWidth="1"/>
    <col min="15367" max="15367" width="14" style="87" customWidth="1"/>
    <col min="15368" max="15368" width="3" style="87" customWidth="1"/>
    <col min="15369" max="15616" width="11.42578125" style="87"/>
    <col min="15617" max="15617" width="4.28515625" style="87" customWidth="1"/>
    <col min="15618" max="15618" width="27.42578125" style="87" customWidth="1"/>
    <col min="15619" max="15619" width="1.28515625" style="87" customWidth="1"/>
    <col min="15620" max="15620" width="4.7109375" style="87" customWidth="1"/>
    <col min="15621" max="15621" width="6.7109375" style="87" customWidth="1"/>
    <col min="15622" max="15622" width="12" style="87" customWidth="1"/>
    <col min="15623" max="15623" width="14" style="87" customWidth="1"/>
    <col min="15624" max="15624" width="3" style="87" customWidth="1"/>
    <col min="15625" max="15872" width="11.42578125" style="87"/>
    <col min="15873" max="15873" width="4.28515625" style="87" customWidth="1"/>
    <col min="15874" max="15874" width="27.42578125" style="87" customWidth="1"/>
    <col min="15875" max="15875" width="1.28515625" style="87" customWidth="1"/>
    <col min="15876" max="15876" width="4.7109375" style="87" customWidth="1"/>
    <col min="15877" max="15877" width="6.7109375" style="87" customWidth="1"/>
    <col min="15878" max="15878" width="12" style="87" customWidth="1"/>
    <col min="15879" max="15879" width="14" style="87" customWidth="1"/>
    <col min="15880" max="15880" width="3" style="87" customWidth="1"/>
    <col min="15881" max="16128" width="11.42578125" style="87"/>
    <col min="16129" max="16129" width="4.28515625" style="87" customWidth="1"/>
    <col min="16130" max="16130" width="27.42578125" style="87" customWidth="1"/>
    <col min="16131" max="16131" width="1.28515625" style="87" customWidth="1"/>
    <col min="16132" max="16132" width="4.7109375" style="87" customWidth="1"/>
    <col min="16133" max="16133" width="6.7109375" style="87" customWidth="1"/>
    <col min="16134" max="16134" width="12" style="87" customWidth="1"/>
    <col min="16135" max="16135" width="14" style="87" customWidth="1"/>
    <col min="16136" max="16136" width="3" style="87" customWidth="1"/>
    <col min="16137" max="16384" width="11.42578125" style="87"/>
  </cols>
  <sheetData>
    <row r="2" spans="1:8">
      <c r="A2" s="82"/>
      <c r="B2" s="83" t="s">
        <v>72</v>
      </c>
      <c r="C2" s="84"/>
      <c r="D2" s="84"/>
      <c r="E2" s="84"/>
      <c r="F2" s="85"/>
      <c r="G2" s="84"/>
      <c r="H2" s="86"/>
    </row>
    <row r="3" spans="1:8">
      <c r="A3" s="88"/>
      <c r="B3" s="89"/>
      <c r="C3" s="90"/>
      <c r="D3" s="91"/>
      <c r="E3" s="90"/>
      <c r="F3" s="92"/>
      <c r="G3" s="90"/>
      <c r="H3" s="93"/>
    </row>
    <row r="4" spans="1:8">
      <c r="A4" s="88"/>
      <c r="B4" s="112" t="s">
        <v>109</v>
      </c>
      <c r="C4" s="90"/>
      <c r="D4" s="91"/>
      <c r="E4" s="90"/>
      <c r="F4" s="92"/>
      <c r="G4" s="90"/>
      <c r="H4" s="93"/>
    </row>
    <row r="5" spans="1:8">
      <c r="A5" s="88"/>
      <c r="B5" s="112" t="s">
        <v>92</v>
      </c>
      <c r="C5" s="90"/>
      <c r="D5" s="91"/>
      <c r="E5" s="90"/>
      <c r="F5" s="92"/>
      <c r="G5" s="90"/>
      <c r="H5" s="93"/>
    </row>
    <row r="6" spans="1:8">
      <c r="A6" s="88"/>
      <c r="D6" s="91"/>
      <c r="F6" s="94"/>
      <c r="H6" s="93"/>
    </row>
    <row r="7" spans="1:8">
      <c r="A7" s="88"/>
      <c r="B7" s="95" t="s">
        <v>74</v>
      </c>
      <c r="D7" s="96" t="s">
        <v>75</v>
      </c>
      <c r="E7" s="96" t="s">
        <v>71</v>
      </c>
      <c r="F7" s="97" t="s">
        <v>70</v>
      </c>
      <c r="G7" s="96" t="s">
        <v>76</v>
      </c>
      <c r="H7" s="93"/>
    </row>
    <row r="8" spans="1:8">
      <c r="A8" s="88"/>
      <c r="B8" s="98" t="s">
        <v>93</v>
      </c>
      <c r="D8" s="96" t="s">
        <v>94</v>
      </c>
      <c r="E8" s="98">
        <f>0.05*250</f>
        <v>12.5</v>
      </c>
      <c r="F8" s="99">
        <v>400</v>
      </c>
      <c r="G8" s="99">
        <f t="shared" ref="G8:G15" si="0">+E8*F8</f>
        <v>5000</v>
      </c>
      <c r="H8" s="93"/>
    </row>
    <row r="9" spans="1:8">
      <c r="A9" s="88"/>
      <c r="B9" s="98" t="s">
        <v>95</v>
      </c>
      <c r="D9" s="96" t="s">
        <v>1</v>
      </c>
      <c r="E9" s="98">
        <v>2.7E-2</v>
      </c>
      <c r="F9" s="99">
        <v>41000</v>
      </c>
      <c r="G9" s="99">
        <f t="shared" si="0"/>
        <v>1107</v>
      </c>
      <c r="H9" s="93"/>
    </row>
    <row r="10" spans="1:8">
      <c r="A10" s="88"/>
      <c r="B10" s="98" t="s">
        <v>96</v>
      </c>
      <c r="D10" s="96" t="s">
        <v>1</v>
      </c>
      <c r="E10" s="98">
        <v>0.05</v>
      </c>
      <c r="F10" s="99">
        <v>54000</v>
      </c>
      <c r="G10" s="99">
        <f t="shared" si="0"/>
        <v>2700</v>
      </c>
      <c r="H10" s="93"/>
    </row>
    <row r="11" spans="1:8">
      <c r="A11" s="88"/>
      <c r="B11" s="98" t="s">
        <v>97</v>
      </c>
      <c r="D11" s="96" t="s">
        <v>98</v>
      </c>
      <c r="E11" s="98">
        <v>10</v>
      </c>
      <c r="F11" s="99">
        <v>12</v>
      </c>
      <c r="G11" s="99">
        <f t="shared" si="0"/>
        <v>120</v>
      </c>
      <c r="H11" s="93"/>
    </row>
    <row r="12" spans="1:8">
      <c r="A12" s="88"/>
      <c r="B12" s="98" t="s">
        <v>99</v>
      </c>
      <c r="D12" s="96" t="s">
        <v>100</v>
      </c>
      <c r="E12" s="98">
        <v>0.02</v>
      </c>
      <c r="F12" s="99">
        <f>SUM(G8:G11)</f>
        <v>8927</v>
      </c>
      <c r="G12" s="99">
        <f t="shared" si="0"/>
        <v>178.54</v>
      </c>
      <c r="H12" s="93"/>
    </row>
    <row r="13" spans="1:8">
      <c r="A13" s="88"/>
      <c r="B13" s="98"/>
      <c r="D13" s="96"/>
      <c r="E13" s="98"/>
      <c r="F13" s="99"/>
      <c r="G13" s="99">
        <f t="shared" si="0"/>
        <v>0</v>
      </c>
      <c r="H13" s="93"/>
    </row>
    <row r="14" spans="1:8">
      <c r="A14" s="88"/>
      <c r="B14" s="98"/>
      <c r="D14" s="96"/>
      <c r="E14" s="98"/>
      <c r="F14" s="99"/>
      <c r="G14" s="99">
        <f t="shared" si="0"/>
        <v>0</v>
      </c>
      <c r="H14" s="93"/>
    </row>
    <row r="15" spans="1:8" ht="13.5" thickBot="1">
      <c r="A15" s="88"/>
      <c r="B15" s="98"/>
      <c r="D15" s="96"/>
      <c r="E15" s="98"/>
      <c r="F15" s="99"/>
      <c r="G15" s="99">
        <f t="shared" si="0"/>
        <v>0</v>
      </c>
      <c r="H15" s="93"/>
    </row>
    <row r="16" spans="1:8" ht="13.5" thickBot="1">
      <c r="A16" s="88"/>
      <c r="D16" s="91"/>
      <c r="F16" s="100" t="s">
        <v>77</v>
      </c>
      <c r="G16" s="101">
        <f>SUM(G8:G15)</f>
        <v>9105.5400000000009</v>
      </c>
      <c r="H16" s="93"/>
    </row>
    <row r="17" spans="1:8">
      <c r="A17" s="88"/>
      <c r="D17" s="91"/>
      <c r="F17" s="100"/>
      <c r="G17" s="94"/>
      <c r="H17" s="93"/>
    </row>
    <row r="18" spans="1:8">
      <c r="A18" s="88"/>
      <c r="B18" s="95" t="s">
        <v>78</v>
      </c>
      <c r="C18" s="90"/>
      <c r="D18" s="96" t="s">
        <v>79</v>
      </c>
      <c r="E18" s="96"/>
      <c r="F18" s="102" t="s">
        <v>80</v>
      </c>
      <c r="G18" s="97" t="s">
        <v>76</v>
      </c>
      <c r="H18" s="93"/>
    </row>
    <row r="19" spans="1:8">
      <c r="A19" s="88"/>
      <c r="B19" s="98" t="s">
        <v>160</v>
      </c>
      <c r="D19" s="96">
        <v>12.132330809284076</v>
      </c>
      <c r="E19" s="103"/>
      <c r="F19" s="104">
        <f>+'M.O.'!E4</f>
        <v>67666.666666666672</v>
      </c>
      <c r="G19" s="99">
        <f>+F19/D19</f>
        <v>5577.3839116623676</v>
      </c>
      <c r="H19" s="93"/>
    </row>
    <row r="20" spans="1:8">
      <c r="A20" s="88"/>
      <c r="B20" s="98" t="s">
        <v>91</v>
      </c>
      <c r="D20" s="96">
        <f>+D19</f>
        <v>12.132330809284076</v>
      </c>
      <c r="E20" s="103"/>
      <c r="F20" s="104">
        <f>+'M.O.'!E46</f>
        <v>38666.666666666664</v>
      </c>
      <c r="G20" s="99">
        <f>+F20/D20</f>
        <v>3187.0765209499236</v>
      </c>
      <c r="H20" s="93"/>
    </row>
    <row r="21" spans="1:8" ht="13.5" thickBot="1">
      <c r="A21" s="88"/>
      <c r="B21" s="98"/>
      <c r="D21" s="96"/>
      <c r="E21" s="103"/>
      <c r="F21" s="104"/>
      <c r="G21" s="99">
        <v>0</v>
      </c>
      <c r="H21" s="93"/>
    </row>
    <row r="22" spans="1:8" ht="13.5" thickBot="1">
      <c r="A22" s="88"/>
      <c r="D22" s="91"/>
      <c r="F22" s="100" t="s">
        <v>77</v>
      </c>
      <c r="G22" s="101">
        <f>SUM(G19:G21)</f>
        <v>8764.4604326122917</v>
      </c>
      <c r="H22" s="93"/>
    </row>
    <row r="23" spans="1:8">
      <c r="A23" s="88"/>
      <c r="D23" s="91"/>
      <c r="F23" s="94"/>
      <c r="G23" s="94"/>
      <c r="H23" s="93"/>
    </row>
    <row r="24" spans="1:8">
      <c r="A24" s="88"/>
      <c r="B24" s="98" t="s">
        <v>83</v>
      </c>
      <c r="D24" s="91"/>
      <c r="E24" s="96" t="s">
        <v>79</v>
      </c>
      <c r="F24" s="97" t="s">
        <v>84</v>
      </c>
      <c r="G24" s="97" t="s">
        <v>76</v>
      </c>
      <c r="H24" s="93"/>
    </row>
    <row r="25" spans="1:8">
      <c r="A25" s="88"/>
      <c r="B25" s="98"/>
      <c r="D25" s="91"/>
      <c r="E25" s="98">
        <v>1</v>
      </c>
      <c r="F25" s="99"/>
      <c r="G25" s="99">
        <f>F25/E25</f>
        <v>0</v>
      </c>
      <c r="H25" s="93"/>
    </row>
    <row r="26" spans="1:8">
      <c r="A26" s="88"/>
      <c r="B26" s="98" t="s">
        <v>102</v>
      </c>
      <c r="D26" s="91"/>
      <c r="E26" s="98">
        <v>1</v>
      </c>
      <c r="F26" s="99">
        <v>100</v>
      </c>
      <c r="G26" s="99">
        <f>F26/E26</f>
        <v>100</v>
      </c>
      <c r="H26" s="93"/>
    </row>
    <row r="27" spans="1:8">
      <c r="A27" s="88"/>
      <c r="B27" s="98"/>
      <c r="D27" s="91"/>
      <c r="E27" s="98"/>
      <c r="F27" s="99"/>
      <c r="G27" s="99">
        <v>0</v>
      </c>
      <c r="H27" s="93"/>
    </row>
    <row r="28" spans="1:8" ht="13.5" thickBot="1">
      <c r="A28" s="88"/>
      <c r="B28" s="98"/>
      <c r="D28" s="91"/>
      <c r="E28" s="98"/>
      <c r="F28" s="99"/>
      <c r="G28" s="99">
        <v>0</v>
      </c>
      <c r="H28" s="93"/>
    </row>
    <row r="29" spans="1:8" ht="13.5" thickBot="1">
      <c r="A29" s="88"/>
      <c r="D29" s="91"/>
      <c r="F29" s="100" t="s">
        <v>77</v>
      </c>
      <c r="G29" s="101">
        <f>SUM(G25:G28)</f>
        <v>100</v>
      </c>
      <c r="H29" s="93"/>
    </row>
    <row r="30" spans="1:8">
      <c r="A30" s="88"/>
      <c r="D30" s="91"/>
      <c r="F30" s="94"/>
      <c r="G30" s="94"/>
      <c r="H30" s="93"/>
    </row>
    <row r="31" spans="1:8">
      <c r="A31" s="88"/>
      <c r="B31" s="98" t="s">
        <v>86</v>
      </c>
      <c r="D31" s="91"/>
      <c r="E31" s="96" t="s">
        <v>71</v>
      </c>
      <c r="F31" s="97" t="s">
        <v>84</v>
      </c>
      <c r="G31" s="97" t="s">
        <v>76</v>
      </c>
      <c r="H31" s="93"/>
    </row>
    <row r="32" spans="1:8">
      <c r="A32" s="88"/>
      <c r="B32" s="98" t="s">
        <v>103</v>
      </c>
      <c r="D32" s="91"/>
      <c r="E32" s="98">
        <v>1</v>
      </c>
      <c r="F32" s="99"/>
      <c r="G32" s="99">
        <v>30</v>
      </c>
      <c r="H32" s="93"/>
    </row>
    <row r="33" spans="1:8">
      <c r="A33" s="88"/>
      <c r="B33" s="98"/>
      <c r="D33" s="91"/>
      <c r="E33" s="98"/>
      <c r="F33" s="99"/>
      <c r="G33" s="99">
        <f>+E33*F33</f>
        <v>0</v>
      </c>
      <c r="H33" s="93"/>
    </row>
    <row r="34" spans="1:8" ht="13.5" thickBot="1">
      <c r="A34" s="88"/>
      <c r="B34" s="98"/>
      <c r="D34" s="91"/>
      <c r="E34" s="98"/>
      <c r="F34" s="99"/>
      <c r="G34" s="99">
        <f>+E34*F34</f>
        <v>0</v>
      </c>
      <c r="H34" s="93"/>
    </row>
    <row r="35" spans="1:8" ht="13.5" thickBot="1">
      <c r="A35" s="88"/>
      <c r="D35" s="91"/>
      <c r="F35" s="100" t="s">
        <v>77</v>
      </c>
      <c r="G35" s="101">
        <f>SUM(G32:G34)</f>
        <v>30</v>
      </c>
      <c r="H35" s="93"/>
    </row>
    <row r="36" spans="1:8" ht="13.5" thickBot="1">
      <c r="A36" s="88"/>
      <c r="D36" s="91"/>
      <c r="F36" s="94"/>
      <c r="G36" s="94"/>
      <c r="H36" s="93"/>
    </row>
    <row r="37" spans="1:8" ht="13.5" thickBot="1">
      <c r="A37" s="88"/>
      <c r="D37" s="91"/>
      <c r="F37" s="100" t="s">
        <v>87</v>
      </c>
      <c r="G37" s="101">
        <f>+G16+G22+G35+G29</f>
        <v>18000.000432612294</v>
      </c>
      <c r="H37" s="93"/>
    </row>
    <row r="38" spans="1:8">
      <c r="A38" s="105"/>
      <c r="B38" s="106"/>
      <c r="C38" s="106"/>
      <c r="D38" s="107"/>
      <c r="E38" s="106"/>
      <c r="F38" s="108"/>
      <c r="G38" s="106"/>
      <c r="H38" s="109"/>
    </row>
    <row r="39" spans="1:8">
      <c r="D39" s="91"/>
      <c r="F39" s="94"/>
    </row>
    <row r="40" spans="1:8">
      <c r="D40" s="91"/>
      <c r="F40" s="94"/>
    </row>
    <row r="41" spans="1:8">
      <c r="D41" s="91"/>
      <c r="F41" s="94"/>
    </row>
    <row r="42" spans="1:8">
      <c r="A42" s="90"/>
      <c r="B42" s="90"/>
      <c r="C42" s="90"/>
      <c r="D42" s="90"/>
      <c r="E42" s="90"/>
      <c r="F42" s="92"/>
      <c r="G42" s="90"/>
      <c r="H42" s="90"/>
    </row>
    <row r="43" spans="1:8">
      <c r="A43" s="110"/>
      <c r="B43" s="90"/>
      <c r="C43" s="90"/>
      <c r="D43" s="90"/>
      <c r="E43" s="90"/>
      <c r="F43" s="92"/>
      <c r="G43" s="90"/>
      <c r="H43" s="90"/>
    </row>
    <row r="44" spans="1:8">
      <c r="D44" s="91"/>
      <c r="F44" s="94"/>
    </row>
    <row r="45" spans="1:8">
      <c r="D45" s="91"/>
      <c r="F45" s="94"/>
    </row>
    <row r="46" spans="1:8">
      <c r="D46" s="91"/>
      <c r="F46" s="94"/>
    </row>
  </sheetData>
  <pageMargins left="0.92" right="0.75" top="1.58" bottom="1" header="0.511811024" footer="0.511811024"/>
  <pageSetup orientation="portrait" horizontalDpi="360" verticalDpi="36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39"/>
  <sheetViews>
    <sheetView topLeftCell="A13" zoomScale="120" zoomScaleNormal="120" workbookViewId="0">
      <selection activeCell="J26" sqref="J26"/>
    </sheetView>
  </sheetViews>
  <sheetFormatPr baseColWidth="10" defaultRowHeight="12.75"/>
  <cols>
    <col min="1" max="1" width="1.42578125" style="52" customWidth="1"/>
    <col min="2" max="2" width="40.42578125" style="52" customWidth="1"/>
    <col min="3" max="3" width="1.28515625" style="52" customWidth="1"/>
    <col min="4" max="4" width="4.5703125" style="52" customWidth="1"/>
    <col min="5" max="5" width="5" style="52" customWidth="1"/>
    <col min="6" max="7" width="10.85546875" style="52" customWidth="1"/>
    <col min="8" max="8" width="1.42578125" style="52" customWidth="1"/>
    <col min="9" max="11" width="11.42578125" style="52"/>
    <col min="12" max="12" width="15.42578125" style="52" customWidth="1"/>
    <col min="13" max="256" width="11.42578125" style="52"/>
    <col min="257" max="257" width="1.42578125" style="52" customWidth="1"/>
    <col min="258" max="258" width="40.42578125" style="52" customWidth="1"/>
    <col min="259" max="259" width="1.28515625" style="52" customWidth="1"/>
    <col min="260" max="260" width="4.5703125" style="52" customWidth="1"/>
    <col min="261" max="261" width="5" style="52" customWidth="1"/>
    <col min="262" max="263" width="10.85546875" style="52" customWidth="1"/>
    <col min="264" max="264" width="1.42578125" style="52" customWidth="1"/>
    <col min="265" max="267" width="11.42578125" style="52"/>
    <col min="268" max="268" width="15.42578125" style="52" customWidth="1"/>
    <col min="269" max="512" width="11.42578125" style="52"/>
    <col min="513" max="513" width="1.42578125" style="52" customWidth="1"/>
    <col min="514" max="514" width="40.42578125" style="52" customWidth="1"/>
    <col min="515" max="515" width="1.28515625" style="52" customWidth="1"/>
    <col min="516" max="516" width="4.5703125" style="52" customWidth="1"/>
    <col min="517" max="517" width="5" style="52" customWidth="1"/>
    <col min="518" max="519" width="10.85546875" style="52" customWidth="1"/>
    <col min="520" max="520" width="1.42578125" style="52" customWidth="1"/>
    <col min="521" max="523" width="11.42578125" style="52"/>
    <col min="524" max="524" width="15.42578125" style="52" customWidth="1"/>
    <col min="525" max="768" width="11.42578125" style="52"/>
    <col min="769" max="769" width="1.42578125" style="52" customWidth="1"/>
    <col min="770" max="770" width="40.42578125" style="52" customWidth="1"/>
    <col min="771" max="771" width="1.28515625" style="52" customWidth="1"/>
    <col min="772" max="772" width="4.5703125" style="52" customWidth="1"/>
    <col min="773" max="773" width="5" style="52" customWidth="1"/>
    <col min="774" max="775" width="10.85546875" style="52" customWidth="1"/>
    <col min="776" max="776" width="1.42578125" style="52" customWidth="1"/>
    <col min="777" max="779" width="11.42578125" style="52"/>
    <col min="780" max="780" width="15.42578125" style="52" customWidth="1"/>
    <col min="781" max="1024" width="11.42578125" style="52"/>
    <col min="1025" max="1025" width="1.42578125" style="52" customWidth="1"/>
    <col min="1026" max="1026" width="40.42578125" style="52" customWidth="1"/>
    <col min="1027" max="1027" width="1.28515625" style="52" customWidth="1"/>
    <col min="1028" max="1028" width="4.5703125" style="52" customWidth="1"/>
    <col min="1029" max="1029" width="5" style="52" customWidth="1"/>
    <col min="1030" max="1031" width="10.85546875" style="52" customWidth="1"/>
    <col min="1032" max="1032" width="1.42578125" style="52" customWidth="1"/>
    <col min="1033" max="1035" width="11.42578125" style="52"/>
    <col min="1036" max="1036" width="15.42578125" style="52" customWidth="1"/>
    <col min="1037" max="1280" width="11.42578125" style="52"/>
    <col min="1281" max="1281" width="1.42578125" style="52" customWidth="1"/>
    <col min="1282" max="1282" width="40.42578125" style="52" customWidth="1"/>
    <col min="1283" max="1283" width="1.28515625" style="52" customWidth="1"/>
    <col min="1284" max="1284" width="4.5703125" style="52" customWidth="1"/>
    <col min="1285" max="1285" width="5" style="52" customWidth="1"/>
    <col min="1286" max="1287" width="10.85546875" style="52" customWidth="1"/>
    <col min="1288" max="1288" width="1.42578125" style="52" customWidth="1"/>
    <col min="1289" max="1291" width="11.42578125" style="52"/>
    <col min="1292" max="1292" width="15.42578125" style="52" customWidth="1"/>
    <col min="1293" max="1536" width="11.42578125" style="52"/>
    <col min="1537" max="1537" width="1.42578125" style="52" customWidth="1"/>
    <col min="1538" max="1538" width="40.42578125" style="52" customWidth="1"/>
    <col min="1539" max="1539" width="1.28515625" style="52" customWidth="1"/>
    <col min="1540" max="1540" width="4.5703125" style="52" customWidth="1"/>
    <col min="1541" max="1541" width="5" style="52" customWidth="1"/>
    <col min="1542" max="1543" width="10.85546875" style="52" customWidth="1"/>
    <col min="1544" max="1544" width="1.42578125" style="52" customWidth="1"/>
    <col min="1545" max="1547" width="11.42578125" style="52"/>
    <col min="1548" max="1548" width="15.42578125" style="52" customWidth="1"/>
    <col min="1549" max="1792" width="11.42578125" style="52"/>
    <col min="1793" max="1793" width="1.42578125" style="52" customWidth="1"/>
    <col min="1794" max="1794" width="40.42578125" style="52" customWidth="1"/>
    <col min="1795" max="1795" width="1.28515625" style="52" customWidth="1"/>
    <col min="1796" max="1796" width="4.5703125" style="52" customWidth="1"/>
    <col min="1797" max="1797" width="5" style="52" customWidth="1"/>
    <col min="1798" max="1799" width="10.85546875" style="52" customWidth="1"/>
    <col min="1800" max="1800" width="1.42578125" style="52" customWidth="1"/>
    <col min="1801" max="1803" width="11.42578125" style="52"/>
    <col min="1804" max="1804" width="15.42578125" style="52" customWidth="1"/>
    <col min="1805" max="2048" width="11.42578125" style="52"/>
    <col min="2049" max="2049" width="1.42578125" style="52" customWidth="1"/>
    <col min="2050" max="2050" width="40.42578125" style="52" customWidth="1"/>
    <col min="2051" max="2051" width="1.28515625" style="52" customWidth="1"/>
    <col min="2052" max="2052" width="4.5703125" style="52" customWidth="1"/>
    <col min="2053" max="2053" width="5" style="52" customWidth="1"/>
    <col min="2054" max="2055" width="10.85546875" style="52" customWidth="1"/>
    <col min="2056" max="2056" width="1.42578125" style="52" customWidth="1"/>
    <col min="2057" max="2059" width="11.42578125" style="52"/>
    <col min="2060" max="2060" width="15.42578125" style="52" customWidth="1"/>
    <col min="2061" max="2304" width="11.42578125" style="52"/>
    <col min="2305" max="2305" width="1.42578125" style="52" customWidth="1"/>
    <col min="2306" max="2306" width="40.42578125" style="52" customWidth="1"/>
    <col min="2307" max="2307" width="1.28515625" style="52" customWidth="1"/>
    <col min="2308" max="2308" width="4.5703125" style="52" customWidth="1"/>
    <col min="2309" max="2309" width="5" style="52" customWidth="1"/>
    <col min="2310" max="2311" width="10.85546875" style="52" customWidth="1"/>
    <col min="2312" max="2312" width="1.42578125" style="52" customWidth="1"/>
    <col min="2313" max="2315" width="11.42578125" style="52"/>
    <col min="2316" max="2316" width="15.42578125" style="52" customWidth="1"/>
    <col min="2317" max="2560" width="11.42578125" style="52"/>
    <col min="2561" max="2561" width="1.42578125" style="52" customWidth="1"/>
    <col min="2562" max="2562" width="40.42578125" style="52" customWidth="1"/>
    <col min="2563" max="2563" width="1.28515625" style="52" customWidth="1"/>
    <col min="2564" max="2564" width="4.5703125" style="52" customWidth="1"/>
    <col min="2565" max="2565" width="5" style="52" customWidth="1"/>
    <col min="2566" max="2567" width="10.85546875" style="52" customWidth="1"/>
    <col min="2568" max="2568" width="1.42578125" style="52" customWidth="1"/>
    <col min="2569" max="2571" width="11.42578125" style="52"/>
    <col min="2572" max="2572" width="15.42578125" style="52" customWidth="1"/>
    <col min="2573" max="2816" width="11.42578125" style="52"/>
    <col min="2817" max="2817" width="1.42578125" style="52" customWidth="1"/>
    <col min="2818" max="2818" width="40.42578125" style="52" customWidth="1"/>
    <col min="2819" max="2819" width="1.28515625" style="52" customWidth="1"/>
    <col min="2820" max="2820" width="4.5703125" style="52" customWidth="1"/>
    <col min="2821" max="2821" width="5" style="52" customWidth="1"/>
    <col min="2822" max="2823" width="10.85546875" style="52" customWidth="1"/>
    <col min="2824" max="2824" width="1.42578125" style="52" customWidth="1"/>
    <col min="2825" max="2827" width="11.42578125" style="52"/>
    <col min="2828" max="2828" width="15.42578125" style="52" customWidth="1"/>
    <col min="2829" max="3072" width="11.42578125" style="52"/>
    <col min="3073" max="3073" width="1.42578125" style="52" customWidth="1"/>
    <col min="3074" max="3074" width="40.42578125" style="52" customWidth="1"/>
    <col min="3075" max="3075" width="1.28515625" style="52" customWidth="1"/>
    <col min="3076" max="3076" width="4.5703125" style="52" customWidth="1"/>
    <col min="3077" max="3077" width="5" style="52" customWidth="1"/>
    <col min="3078" max="3079" width="10.85546875" style="52" customWidth="1"/>
    <col min="3080" max="3080" width="1.42578125" style="52" customWidth="1"/>
    <col min="3081" max="3083" width="11.42578125" style="52"/>
    <col min="3084" max="3084" width="15.42578125" style="52" customWidth="1"/>
    <col min="3085" max="3328" width="11.42578125" style="52"/>
    <col min="3329" max="3329" width="1.42578125" style="52" customWidth="1"/>
    <col min="3330" max="3330" width="40.42578125" style="52" customWidth="1"/>
    <col min="3331" max="3331" width="1.28515625" style="52" customWidth="1"/>
    <col min="3332" max="3332" width="4.5703125" style="52" customWidth="1"/>
    <col min="3333" max="3333" width="5" style="52" customWidth="1"/>
    <col min="3334" max="3335" width="10.85546875" style="52" customWidth="1"/>
    <col min="3336" max="3336" width="1.42578125" style="52" customWidth="1"/>
    <col min="3337" max="3339" width="11.42578125" style="52"/>
    <col min="3340" max="3340" width="15.42578125" style="52" customWidth="1"/>
    <col min="3341" max="3584" width="11.42578125" style="52"/>
    <col min="3585" max="3585" width="1.42578125" style="52" customWidth="1"/>
    <col min="3586" max="3586" width="40.42578125" style="52" customWidth="1"/>
    <col min="3587" max="3587" width="1.28515625" style="52" customWidth="1"/>
    <col min="3588" max="3588" width="4.5703125" style="52" customWidth="1"/>
    <col min="3589" max="3589" width="5" style="52" customWidth="1"/>
    <col min="3590" max="3591" width="10.85546875" style="52" customWidth="1"/>
    <col min="3592" max="3592" width="1.42578125" style="52" customWidth="1"/>
    <col min="3593" max="3595" width="11.42578125" style="52"/>
    <col min="3596" max="3596" width="15.42578125" style="52" customWidth="1"/>
    <col min="3597" max="3840" width="11.42578125" style="52"/>
    <col min="3841" max="3841" width="1.42578125" style="52" customWidth="1"/>
    <col min="3842" max="3842" width="40.42578125" style="52" customWidth="1"/>
    <col min="3843" max="3843" width="1.28515625" style="52" customWidth="1"/>
    <col min="3844" max="3844" width="4.5703125" style="52" customWidth="1"/>
    <col min="3845" max="3845" width="5" style="52" customWidth="1"/>
    <col min="3846" max="3847" width="10.85546875" style="52" customWidth="1"/>
    <col min="3848" max="3848" width="1.42578125" style="52" customWidth="1"/>
    <col min="3849" max="3851" width="11.42578125" style="52"/>
    <col min="3852" max="3852" width="15.42578125" style="52" customWidth="1"/>
    <col min="3853" max="4096" width="11.42578125" style="52"/>
    <col min="4097" max="4097" width="1.42578125" style="52" customWidth="1"/>
    <col min="4098" max="4098" width="40.42578125" style="52" customWidth="1"/>
    <col min="4099" max="4099" width="1.28515625" style="52" customWidth="1"/>
    <col min="4100" max="4100" width="4.5703125" style="52" customWidth="1"/>
    <col min="4101" max="4101" width="5" style="52" customWidth="1"/>
    <col min="4102" max="4103" width="10.85546875" style="52" customWidth="1"/>
    <col min="4104" max="4104" width="1.42578125" style="52" customWidth="1"/>
    <col min="4105" max="4107" width="11.42578125" style="52"/>
    <col min="4108" max="4108" width="15.42578125" style="52" customWidth="1"/>
    <col min="4109" max="4352" width="11.42578125" style="52"/>
    <col min="4353" max="4353" width="1.42578125" style="52" customWidth="1"/>
    <col min="4354" max="4354" width="40.42578125" style="52" customWidth="1"/>
    <col min="4355" max="4355" width="1.28515625" style="52" customWidth="1"/>
    <col min="4356" max="4356" width="4.5703125" style="52" customWidth="1"/>
    <col min="4357" max="4357" width="5" style="52" customWidth="1"/>
    <col min="4358" max="4359" width="10.85546875" style="52" customWidth="1"/>
    <col min="4360" max="4360" width="1.42578125" style="52" customWidth="1"/>
    <col min="4361" max="4363" width="11.42578125" style="52"/>
    <col min="4364" max="4364" width="15.42578125" style="52" customWidth="1"/>
    <col min="4365" max="4608" width="11.42578125" style="52"/>
    <col min="4609" max="4609" width="1.42578125" style="52" customWidth="1"/>
    <col min="4610" max="4610" width="40.42578125" style="52" customWidth="1"/>
    <col min="4611" max="4611" width="1.28515625" style="52" customWidth="1"/>
    <col min="4612" max="4612" width="4.5703125" style="52" customWidth="1"/>
    <col min="4613" max="4613" width="5" style="52" customWidth="1"/>
    <col min="4614" max="4615" width="10.85546875" style="52" customWidth="1"/>
    <col min="4616" max="4616" width="1.42578125" style="52" customWidth="1"/>
    <col min="4617" max="4619" width="11.42578125" style="52"/>
    <col min="4620" max="4620" width="15.42578125" style="52" customWidth="1"/>
    <col min="4621" max="4864" width="11.42578125" style="52"/>
    <col min="4865" max="4865" width="1.42578125" style="52" customWidth="1"/>
    <col min="4866" max="4866" width="40.42578125" style="52" customWidth="1"/>
    <col min="4867" max="4867" width="1.28515625" style="52" customWidth="1"/>
    <col min="4868" max="4868" width="4.5703125" style="52" customWidth="1"/>
    <col min="4869" max="4869" width="5" style="52" customWidth="1"/>
    <col min="4870" max="4871" width="10.85546875" style="52" customWidth="1"/>
    <col min="4872" max="4872" width="1.42578125" style="52" customWidth="1"/>
    <col min="4873" max="4875" width="11.42578125" style="52"/>
    <col min="4876" max="4876" width="15.42578125" style="52" customWidth="1"/>
    <col min="4877" max="5120" width="11.42578125" style="52"/>
    <col min="5121" max="5121" width="1.42578125" style="52" customWidth="1"/>
    <col min="5122" max="5122" width="40.42578125" style="52" customWidth="1"/>
    <col min="5123" max="5123" width="1.28515625" style="52" customWidth="1"/>
    <col min="5124" max="5124" width="4.5703125" style="52" customWidth="1"/>
    <col min="5125" max="5125" width="5" style="52" customWidth="1"/>
    <col min="5126" max="5127" width="10.85546875" style="52" customWidth="1"/>
    <col min="5128" max="5128" width="1.42578125" style="52" customWidth="1"/>
    <col min="5129" max="5131" width="11.42578125" style="52"/>
    <col min="5132" max="5132" width="15.42578125" style="52" customWidth="1"/>
    <col min="5133" max="5376" width="11.42578125" style="52"/>
    <col min="5377" max="5377" width="1.42578125" style="52" customWidth="1"/>
    <col min="5378" max="5378" width="40.42578125" style="52" customWidth="1"/>
    <col min="5379" max="5379" width="1.28515625" style="52" customWidth="1"/>
    <col min="5380" max="5380" width="4.5703125" style="52" customWidth="1"/>
    <col min="5381" max="5381" width="5" style="52" customWidth="1"/>
    <col min="5382" max="5383" width="10.85546875" style="52" customWidth="1"/>
    <col min="5384" max="5384" width="1.42578125" style="52" customWidth="1"/>
    <col min="5385" max="5387" width="11.42578125" style="52"/>
    <col min="5388" max="5388" width="15.42578125" style="52" customWidth="1"/>
    <col min="5389" max="5632" width="11.42578125" style="52"/>
    <col min="5633" max="5633" width="1.42578125" style="52" customWidth="1"/>
    <col min="5634" max="5634" width="40.42578125" style="52" customWidth="1"/>
    <col min="5635" max="5635" width="1.28515625" style="52" customWidth="1"/>
    <col min="5636" max="5636" width="4.5703125" style="52" customWidth="1"/>
    <col min="5637" max="5637" width="5" style="52" customWidth="1"/>
    <col min="5638" max="5639" width="10.85546875" style="52" customWidth="1"/>
    <col min="5640" max="5640" width="1.42578125" style="52" customWidth="1"/>
    <col min="5641" max="5643" width="11.42578125" style="52"/>
    <col min="5644" max="5644" width="15.42578125" style="52" customWidth="1"/>
    <col min="5645" max="5888" width="11.42578125" style="52"/>
    <col min="5889" max="5889" width="1.42578125" style="52" customWidth="1"/>
    <col min="5890" max="5890" width="40.42578125" style="52" customWidth="1"/>
    <col min="5891" max="5891" width="1.28515625" style="52" customWidth="1"/>
    <col min="5892" max="5892" width="4.5703125" style="52" customWidth="1"/>
    <col min="5893" max="5893" width="5" style="52" customWidth="1"/>
    <col min="5894" max="5895" width="10.85546875" style="52" customWidth="1"/>
    <col min="5896" max="5896" width="1.42578125" style="52" customWidth="1"/>
    <col min="5897" max="5899" width="11.42578125" style="52"/>
    <col min="5900" max="5900" width="15.42578125" style="52" customWidth="1"/>
    <col min="5901" max="6144" width="11.42578125" style="52"/>
    <col min="6145" max="6145" width="1.42578125" style="52" customWidth="1"/>
    <col min="6146" max="6146" width="40.42578125" style="52" customWidth="1"/>
    <col min="6147" max="6147" width="1.28515625" style="52" customWidth="1"/>
    <col min="6148" max="6148" width="4.5703125" style="52" customWidth="1"/>
    <col min="6149" max="6149" width="5" style="52" customWidth="1"/>
    <col min="6150" max="6151" width="10.85546875" style="52" customWidth="1"/>
    <col min="6152" max="6152" width="1.42578125" style="52" customWidth="1"/>
    <col min="6153" max="6155" width="11.42578125" style="52"/>
    <col min="6156" max="6156" width="15.42578125" style="52" customWidth="1"/>
    <col min="6157" max="6400" width="11.42578125" style="52"/>
    <col min="6401" max="6401" width="1.42578125" style="52" customWidth="1"/>
    <col min="6402" max="6402" width="40.42578125" style="52" customWidth="1"/>
    <col min="6403" max="6403" width="1.28515625" style="52" customWidth="1"/>
    <col min="6404" max="6404" width="4.5703125" style="52" customWidth="1"/>
    <col min="6405" max="6405" width="5" style="52" customWidth="1"/>
    <col min="6406" max="6407" width="10.85546875" style="52" customWidth="1"/>
    <col min="6408" max="6408" width="1.42578125" style="52" customWidth="1"/>
    <col min="6409" max="6411" width="11.42578125" style="52"/>
    <col min="6412" max="6412" width="15.42578125" style="52" customWidth="1"/>
    <col min="6413" max="6656" width="11.42578125" style="52"/>
    <col min="6657" max="6657" width="1.42578125" style="52" customWidth="1"/>
    <col min="6658" max="6658" width="40.42578125" style="52" customWidth="1"/>
    <col min="6659" max="6659" width="1.28515625" style="52" customWidth="1"/>
    <col min="6660" max="6660" width="4.5703125" style="52" customWidth="1"/>
    <col min="6661" max="6661" width="5" style="52" customWidth="1"/>
    <col min="6662" max="6663" width="10.85546875" style="52" customWidth="1"/>
    <col min="6664" max="6664" width="1.42578125" style="52" customWidth="1"/>
    <col min="6665" max="6667" width="11.42578125" style="52"/>
    <col min="6668" max="6668" width="15.42578125" style="52" customWidth="1"/>
    <col min="6669" max="6912" width="11.42578125" style="52"/>
    <col min="6913" max="6913" width="1.42578125" style="52" customWidth="1"/>
    <col min="6914" max="6914" width="40.42578125" style="52" customWidth="1"/>
    <col min="6915" max="6915" width="1.28515625" style="52" customWidth="1"/>
    <col min="6916" max="6916" width="4.5703125" style="52" customWidth="1"/>
    <col min="6917" max="6917" width="5" style="52" customWidth="1"/>
    <col min="6918" max="6919" width="10.85546875" style="52" customWidth="1"/>
    <col min="6920" max="6920" width="1.42578125" style="52" customWidth="1"/>
    <col min="6921" max="6923" width="11.42578125" style="52"/>
    <col min="6924" max="6924" width="15.42578125" style="52" customWidth="1"/>
    <col min="6925" max="7168" width="11.42578125" style="52"/>
    <col min="7169" max="7169" width="1.42578125" style="52" customWidth="1"/>
    <col min="7170" max="7170" width="40.42578125" style="52" customWidth="1"/>
    <col min="7171" max="7171" width="1.28515625" style="52" customWidth="1"/>
    <col min="7172" max="7172" width="4.5703125" style="52" customWidth="1"/>
    <col min="7173" max="7173" width="5" style="52" customWidth="1"/>
    <col min="7174" max="7175" width="10.85546875" style="52" customWidth="1"/>
    <col min="7176" max="7176" width="1.42578125" style="52" customWidth="1"/>
    <col min="7177" max="7179" width="11.42578125" style="52"/>
    <col min="7180" max="7180" width="15.42578125" style="52" customWidth="1"/>
    <col min="7181" max="7424" width="11.42578125" style="52"/>
    <col min="7425" max="7425" width="1.42578125" style="52" customWidth="1"/>
    <col min="7426" max="7426" width="40.42578125" style="52" customWidth="1"/>
    <col min="7427" max="7427" width="1.28515625" style="52" customWidth="1"/>
    <col min="7428" max="7428" width="4.5703125" style="52" customWidth="1"/>
    <col min="7429" max="7429" width="5" style="52" customWidth="1"/>
    <col min="7430" max="7431" width="10.85546875" style="52" customWidth="1"/>
    <col min="7432" max="7432" width="1.42578125" style="52" customWidth="1"/>
    <col min="7433" max="7435" width="11.42578125" style="52"/>
    <col min="7436" max="7436" width="15.42578125" style="52" customWidth="1"/>
    <col min="7437" max="7680" width="11.42578125" style="52"/>
    <col min="7681" max="7681" width="1.42578125" style="52" customWidth="1"/>
    <col min="7682" max="7682" width="40.42578125" style="52" customWidth="1"/>
    <col min="7683" max="7683" width="1.28515625" style="52" customWidth="1"/>
    <col min="7684" max="7684" width="4.5703125" style="52" customWidth="1"/>
    <col min="7685" max="7685" width="5" style="52" customWidth="1"/>
    <col min="7686" max="7687" width="10.85546875" style="52" customWidth="1"/>
    <col min="7688" max="7688" width="1.42578125" style="52" customWidth="1"/>
    <col min="7689" max="7691" width="11.42578125" style="52"/>
    <col min="7692" max="7692" width="15.42578125" style="52" customWidth="1"/>
    <col min="7693" max="7936" width="11.42578125" style="52"/>
    <col min="7937" max="7937" width="1.42578125" style="52" customWidth="1"/>
    <col min="7938" max="7938" width="40.42578125" style="52" customWidth="1"/>
    <col min="7939" max="7939" width="1.28515625" style="52" customWidth="1"/>
    <col min="7940" max="7940" width="4.5703125" style="52" customWidth="1"/>
    <col min="7941" max="7941" width="5" style="52" customWidth="1"/>
    <col min="7942" max="7943" width="10.85546875" style="52" customWidth="1"/>
    <col min="7944" max="7944" width="1.42578125" style="52" customWidth="1"/>
    <col min="7945" max="7947" width="11.42578125" style="52"/>
    <col min="7948" max="7948" width="15.42578125" style="52" customWidth="1"/>
    <col min="7949" max="8192" width="11.42578125" style="52"/>
    <col min="8193" max="8193" width="1.42578125" style="52" customWidth="1"/>
    <col min="8194" max="8194" width="40.42578125" style="52" customWidth="1"/>
    <col min="8195" max="8195" width="1.28515625" style="52" customWidth="1"/>
    <col min="8196" max="8196" width="4.5703125" style="52" customWidth="1"/>
    <col min="8197" max="8197" width="5" style="52" customWidth="1"/>
    <col min="8198" max="8199" width="10.85546875" style="52" customWidth="1"/>
    <col min="8200" max="8200" width="1.42578125" style="52" customWidth="1"/>
    <col min="8201" max="8203" width="11.42578125" style="52"/>
    <col min="8204" max="8204" width="15.42578125" style="52" customWidth="1"/>
    <col min="8205" max="8448" width="11.42578125" style="52"/>
    <col min="8449" max="8449" width="1.42578125" style="52" customWidth="1"/>
    <col min="8450" max="8450" width="40.42578125" style="52" customWidth="1"/>
    <col min="8451" max="8451" width="1.28515625" style="52" customWidth="1"/>
    <col min="8452" max="8452" width="4.5703125" style="52" customWidth="1"/>
    <col min="8453" max="8453" width="5" style="52" customWidth="1"/>
    <col min="8454" max="8455" width="10.85546875" style="52" customWidth="1"/>
    <col min="8456" max="8456" width="1.42578125" style="52" customWidth="1"/>
    <col min="8457" max="8459" width="11.42578125" style="52"/>
    <col min="8460" max="8460" width="15.42578125" style="52" customWidth="1"/>
    <col min="8461" max="8704" width="11.42578125" style="52"/>
    <col min="8705" max="8705" width="1.42578125" style="52" customWidth="1"/>
    <col min="8706" max="8706" width="40.42578125" style="52" customWidth="1"/>
    <col min="8707" max="8707" width="1.28515625" style="52" customWidth="1"/>
    <col min="8708" max="8708" width="4.5703125" style="52" customWidth="1"/>
    <col min="8709" max="8709" width="5" style="52" customWidth="1"/>
    <col min="8710" max="8711" width="10.85546875" style="52" customWidth="1"/>
    <col min="8712" max="8712" width="1.42578125" style="52" customWidth="1"/>
    <col min="8713" max="8715" width="11.42578125" style="52"/>
    <col min="8716" max="8716" width="15.42578125" style="52" customWidth="1"/>
    <col min="8717" max="8960" width="11.42578125" style="52"/>
    <col min="8961" max="8961" width="1.42578125" style="52" customWidth="1"/>
    <col min="8962" max="8962" width="40.42578125" style="52" customWidth="1"/>
    <col min="8963" max="8963" width="1.28515625" style="52" customWidth="1"/>
    <col min="8964" max="8964" width="4.5703125" style="52" customWidth="1"/>
    <col min="8965" max="8965" width="5" style="52" customWidth="1"/>
    <col min="8966" max="8967" width="10.85546875" style="52" customWidth="1"/>
    <col min="8968" max="8968" width="1.42578125" style="52" customWidth="1"/>
    <col min="8969" max="8971" width="11.42578125" style="52"/>
    <col min="8972" max="8972" width="15.42578125" style="52" customWidth="1"/>
    <col min="8973" max="9216" width="11.42578125" style="52"/>
    <col min="9217" max="9217" width="1.42578125" style="52" customWidth="1"/>
    <col min="9218" max="9218" width="40.42578125" style="52" customWidth="1"/>
    <col min="9219" max="9219" width="1.28515625" style="52" customWidth="1"/>
    <col min="9220" max="9220" width="4.5703125" style="52" customWidth="1"/>
    <col min="9221" max="9221" width="5" style="52" customWidth="1"/>
    <col min="9222" max="9223" width="10.85546875" style="52" customWidth="1"/>
    <col min="9224" max="9224" width="1.42578125" style="52" customWidth="1"/>
    <col min="9225" max="9227" width="11.42578125" style="52"/>
    <col min="9228" max="9228" width="15.42578125" style="52" customWidth="1"/>
    <col min="9229" max="9472" width="11.42578125" style="52"/>
    <col min="9473" max="9473" width="1.42578125" style="52" customWidth="1"/>
    <col min="9474" max="9474" width="40.42578125" style="52" customWidth="1"/>
    <col min="9475" max="9475" width="1.28515625" style="52" customWidth="1"/>
    <col min="9476" max="9476" width="4.5703125" style="52" customWidth="1"/>
    <col min="9477" max="9477" width="5" style="52" customWidth="1"/>
    <col min="9478" max="9479" width="10.85546875" style="52" customWidth="1"/>
    <col min="9480" max="9480" width="1.42578125" style="52" customWidth="1"/>
    <col min="9481" max="9483" width="11.42578125" style="52"/>
    <col min="9484" max="9484" width="15.42578125" style="52" customWidth="1"/>
    <col min="9485" max="9728" width="11.42578125" style="52"/>
    <col min="9729" max="9729" width="1.42578125" style="52" customWidth="1"/>
    <col min="9730" max="9730" width="40.42578125" style="52" customWidth="1"/>
    <col min="9731" max="9731" width="1.28515625" style="52" customWidth="1"/>
    <col min="9732" max="9732" width="4.5703125" style="52" customWidth="1"/>
    <col min="9733" max="9733" width="5" style="52" customWidth="1"/>
    <col min="9734" max="9735" width="10.85546875" style="52" customWidth="1"/>
    <col min="9736" max="9736" width="1.42578125" style="52" customWidth="1"/>
    <col min="9737" max="9739" width="11.42578125" style="52"/>
    <col min="9740" max="9740" width="15.42578125" style="52" customWidth="1"/>
    <col min="9741" max="9984" width="11.42578125" style="52"/>
    <col min="9985" max="9985" width="1.42578125" style="52" customWidth="1"/>
    <col min="9986" max="9986" width="40.42578125" style="52" customWidth="1"/>
    <col min="9987" max="9987" width="1.28515625" style="52" customWidth="1"/>
    <col min="9988" max="9988" width="4.5703125" style="52" customWidth="1"/>
    <col min="9989" max="9989" width="5" style="52" customWidth="1"/>
    <col min="9990" max="9991" width="10.85546875" style="52" customWidth="1"/>
    <col min="9992" max="9992" width="1.42578125" style="52" customWidth="1"/>
    <col min="9993" max="9995" width="11.42578125" style="52"/>
    <col min="9996" max="9996" width="15.42578125" style="52" customWidth="1"/>
    <col min="9997" max="10240" width="11.42578125" style="52"/>
    <col min="10241" max="10241" width="1.42578125" style="52" customWidth="1"/>
    <col min="10242" max="10242" width="40.42578125" style="52" customWidth="1"/>
    <col min="10243" max="10243" width="1.28515625" style="52" customWidth="1"/>
    <col min="10244" max="10244" width="4.5703125" style="52" customWidth="1"/>
    <col min="10245" max="10245" width="5" style="52" customWidth="1"/>
    <col min="10246" max="10247" width="10.85546875" style="52" customWidth="1"/>
    <col min="10248" max="10248" width="1.42578125" style="52" customWidth="1"/>
    <col min="10249" max="10251" width="11.42578125" style="52"/>
    <col min="10252" max="10252" width="15.42578125" style="52" customWidth="1"/>
    <col min="10253" max="10496" width="11.42578125" style="52"/>
    <col min="10497" max="10497" width="1.42578125" style="52" customWidth="1"/>
    <col min="10498" max="10498" width="40.42578125" style="52" customWidth="1"/>
    <col min="10499" max="10499" width="1.28515625" style="52" customWidth="1"/>
    <col min="10500" max="10500" width="4.5703125" style="52" customWidth="1"/>
    <col min="10501" max="10501" width="5" style="52" customWidth="1"/>
    <col min="10502" max="10503" width="10.85546875" style="52" customWidth="1"/>
    <col min="10504" max="10504" width="1.42578125" style="52" customWidth="1"/>
    <col min="10505" max="10507" width="11.42578125" style="52"/>
    <col min="10508" max="10508" width="15.42578125" style="52" customWidth="1"/>
    <col min="10509" max="10752" width="11.42578125" style="52"/>
    <col min="10753" max="10753" width="1.42578125" style="52" customWidth="1"/>
    <col min="10754" max="10754" width="40.42578125" style="52" customWidth="1"/>
    <col min="10755" max="10755" width="1.28515625" style="52" customWidth="1"/>
    <col min="10756" max="10756" width="4.5703125" style="52" customWidth="1"/>
    <col min="10757" max="10757" width="5" style="52" customWidth="1"/>
    <col min="10758" max="10759" width="10.85546875" style="52" customWidth="1"/>
    <col min="10760" max="10760" width="1.42578125" style="52" customWidth="1"/>
    <col min="10761" max="10763" width="11.42578125" style="52"/>
    <col min="10764" max="10764" width="15.42578125" style="52" customWidth="1"/>
    <col min="10765" max="11008" width="11.42578125" style="52"/>
    <col min="11009" max="11009" width="1.42578125" style="52" customWidth="1"/>
    <col min="11010" max="11010" width="40.42578125" style="52" customWidth="1"/>
    <col min="11011" max="11011" width="1.28515625" style="52" customWidth="1"/>
    <col min="11012" max="11012" width="4.5703125" style="52" customWidth="1"/>
    <col min="11013" max="11013" width="5" style="52" customWidth="1"/>
    <col min="11014" max="11015" width="10.85546875" style="52" customWidth="1"/>
    <col min="11016" max="11016" width="1.42578125" style="52" customWidth="1"/>
    <col min="11017" max="11019" width="11.42578125" style="52"/>
    <col min="11020" max="11020" width="15.42578125" style="52" customWidth="1"/>
    <col min="11021" max="11264" width="11.42578125" style="52"/>
    <col min="11265" max="11265" width="1.42578125" style="52" customWidth="1"/>
    <col min="11266" max="11266" width="40.42578125" style="52" customWidth="1"/>
    <col min="11267" max="11267" width="1.28515625" style="52" customWidth="1"/>
    <col min="11268" max="11268" width="4.5703125" style="52" customWidth="1"/>
    <col min="11269" max="11269" width="5" style="52" customWidth="1"/>
    <col min="11270" max="11271" width="10.85546875" style="52" customWidth="1"/>
    <col min="11272" max="11272" width="1.42578125" style="52" customWidth="1"/>
    <col min="11273" max="11275" width="11.42578125" style="52"/>
    <col min="11276" max="11276" width="15.42578125" style="52" customWidth="1"/>
    <col min="11277" max="11520" width="11.42578125" style="52"/>
    <col min="11521" max="11521" width="1.42578125" style="52" customWidth="1"/>
    <col min="11522" max="11522" width="40.42578125" style="52" customWidth="1"/>
    <col min="11523" max="11523" width="1.28515625" style="52" customWidth="1"/>
    <col min="11524" max="11524" width="4.5703125" style="52" customWidth="1"/>
    <col min="11525" max="11525" width="5" style="52" customWidth="1"/>
    <col min="11526" max="11527" width="10.85546875" style="52" customWidth="1"/>
    <col min="11528" max="11528" width="1.42578125" style="52" customWidth="1"/>
    <col min="11529" max="11531" width="11.42578125" style="52"/>
    <col min="11532" max="11532" width="15.42578125" style="52" customWidth="1"/>
    <col min="11533" max="11776" width="11.42578125" style="52"/>
    <col min="11777" max="11777" width="1.42578125" style="52" customWidth="1"/>
    <col min="11778" max="11778" width="40.42578125" style="52" customWidth="1"/>
    <col min="11779" max="11779" width="1.28515625" style="52" customWidth="1"/>
    <col min="11780" max="11780" width="4.5703125" style="52" customWidth="1"/>
    <col min="11781" max="11781" width="5" style="52" customWidth="1"/>
    <col min="11782" max="11783" width="10.85546875" style="52" customWidth="1"/>
    <col min="11784" max="11784" width="1.42578125" style="52" customWidth="1"/>
    <col min="11785" max="11787" width="11.42578125" style="52"/>
    <col min="11788" max="11788" width="15.42578125" style="52" customWidth="1"/>
    <col min="11789" max="12032" width="11.42578125" style="52"/>
    <col min="12033" max="12033" width="1.42578125" style="52" customWidth="1"/>
    <col min="12034" max="12034" width="40.42578125" style="52" customWidth="1"/>
    <col min="12035" max="12035" width="1.28515625" style="52" customWidth="1"/>
    <col min="12036" max="12036" width="4.5703125" style="52" customWidth="1"/>
    <col min="12037" max="12037" width="5" style="52" customWidth="1"/>
    <col min="12038" max="12039" width="10.85546875" style="52" customWidth="1"/>
    <col min="12040" max="12040" width="1.42578125" style="52" customWidth="1"/>
    <col min="12041" max="12043" width="11.42578125" style="52"/>
    <col min="12044" max="12044" width="15.42578125" style="52" customWidth="1"/>
    <col min="12045" max="12288" width="11.42578125" style="52"/>
    <col min="12289" max="12289" width="1.42578125" style="52" customWidth="1"/>
    <col min="12290" max="12290" width="40.42578125" style="52" customWidth="1"/>
    <col min="12291" max="12291" width="1.28515625" style="52" customWidth="1"/>
    <col min="12292" max="12292" width="4.5703125" style="52" customWidth="1"/>
    <col min="12293" max="12293" width="5" style="52" customWidth="1"/>
    <col min="12294" max="12295" width="10.85546875" style="52" customWidth="1"/>
    <col min="12296" max="12296" width="1.42578125" style="52" customWidth="1"/>
    <col min="12297" max="12299" width="11.42578125" style="52"/>
    <col min="12300" max="12300" width="15.42578125" style="52" customWidth="1"/>
    <col min="12301" max="12544" width="11.42578125" style="52"/>
    <col min="12545" max="12545" width="1.42578125" style="52" customWidth="1"/>
    <col min="12546" max="12546" width="40.42578125" style="52" customWidth="1"/>
    <col min="12547" max="12547" width="1.28515625" style="52" customWidth="1"/>
    <col min="12548" max="12548" width="4.5703125" style="52" customWidth="1"/>
    <col min="12549" max="12549" width="5" style="52" customWidth="1"/>
    <col min="12550" max="12551" width="10.85546875" style="52" customWidth="1"/>
    <col min="12552" max="12552" width="1.42578125" style="52" customWidth="1"/>
    <col min="12553" max="12555" width="11.42578125" style="52"/>
    <col min="12556" max="12556" width="15.42578125" style="52" customWidth="1"/>
    <col min="12557" max="12800" width="11.42578125" style="52"/>
    <col min="12801" max="12801" width="1.42578125" style="52" customWidth="1"/>
    <col min="12802" max="12802" width="40.42578125" style="52" customWidth="1"/>
    <col min="12803" max="12803" width="1.28515625" style="52" customWidth="1"/>
    <col min="12804" max="12804" width="4.5703125" style="52" customWidth="1"/>
    <col min="12805" max="12805" width="5" style="52" customWidth="1"/>
    <col min="12806" max="12807" width="10.85546875" style="52" customWidth="1"/>
    <col min="12808" max="12808" width="1.42578125" style="52" customWidth="1"/>
    <col min="12809" max="12811" width="11.42578125" style="52"/>
    <col min="12812" max="12812" width="15.42578125" style="52" customWidth="1"/>
    <col min="12813" max="13056" width="11.42578125" style="52"/>
    <col min="13057" max="13057" width="1.42578125" style="52" customWidth="1"/>
    <col min="13058" max="13058" width="40.42578125" style="52" customWidth="1"/>
    <col min="13059" max="13059" width="1.28515625" style="52" customWidth="1"/>
    <col min="13060" max="13060" width="4.5703125" style="52" customWidth="1"/>
    <col min="13061" max="13061" width="5" style="52" customWidth="1"/>
    <col min="13062" max="13063" width="10.85546875" style="52" customWidth="1"/>
    <col min="13064" max="13064" width="1.42578125" style="52" customWidth="1"/>
    <col min="13065" max="13067" width="11.42578125" style="52"/>
    <col min="13068" max="13068" width="15.42578125" style="52" customWidth="1"/>
    <col min="13069" max="13312" width="11.42578125" style="52"/>
    <col min="13313" max="13313" width="1.42578125" style="52" customWidth="1"/>
    <col min="13314" max="13314" width="40.42578125" style="52" customWidth="1"/>
    <col min="13315" max="13315" width="1.28515625" style="52" customWidth="1"/>
    <col min="13316" max="13316" width="4.5703125" style="52" customWidth="1"/>
    <col min="13317" max="13317" width="5" style="52" customWidth="1"/>
    <col min="13318" max="13319" width="10.85546875" style="52" customWidth="1"/>
    <col min="13320" max="13320" width="1.42578125" style="52" customWidth="1"/>
    <col min="13321" max="13323" width="11.42578125" style="52"/>
    <col min="13324" max="13324" width="15.42578125" style="52" customWidth="1"/>
    <col min="13325" max="13568" width="11.42578125" style="52"/>
    <col min="13569" max="13569" width="1.42578125" style="52" customWidth="1"/>
    <col min="13570" max="13570" width="40.42578125" style="52" customWidth="1"/>
    <col min="13571" max="13571" width="1.28515625" style="52" customWidth="1"/>
    <col min="13572" max="13572" width="4.5703125" style="52" customWidth="1"/>
    <col min="13573" max="13573" width="5" style="52" customWidth="1"/>
    <col min="13574" max="13575" width="10.85546875" style="52" customWidth="1"/>
    <col min="13576" max="13576" width="1.42578125" style="52" customWidth="1"/>
    <col min="13577" max="13579" width="11.42578125" style="52"/>
    <col min="13580" max="13580" width="15.42578125" style="52" customWidth="1"/>
    <col min="13581" max="13824" width="11.42578125" style="52"/>
    <col min="13825" max="13825" width="1.42578125" style="52" customWidth="1"/>
    <col min="13826" max="13826" width="40.42578125" style="52" customWidth="1"/>
    <col min="13827" max="13827" width="1.28515625" style="52" customWidth="1"/>
    <col min="13828" max="13828" width="4.5703125" style="52" customWidth="1"/>
    <col min="13829" max="13829" width="5" style="52" customWidth="1"/>
    <col min="13830" max="13831" width="10.85546875" style="52" customWidth="1"/>
    <col min="13832" max="13832" width="1.42578125" style="52" customWidth="1"/>
    <col min="13833" max="13835" width="11.42578125" style="52"/>
    <col min="13836" max="13836" width="15.42578125" style="52" customWidth="1"/>
    <col min="13837" max="14080" width="11.42578125" style="52"/>
    <col min="14081" max="14081" width="1.42578125" style="52" customWidth="1"/>
    <col min="14082" max="14082" width="40.42578125" style="52" customWidth="1"/>
    <col min="14083" max="14083" width="1.28515625" style="52" customWidth="1"/>
    <col min="14084" max="14084" width="4.5703125" style="52" customWidth="1"/>
    <col min="14085" max="14085" width="5" style="52" customWidth="1"/>
    <col min="14086" max="14087" width="10.85546875" style="52" customWidth="1"/>
    <col min="14088" max="14088" width="1.42578125" style="52" customWidth="1"/>
    <col min="14089" max="14091" width="11.42578125" style="52"/>
    <col min="14092" max="14092" width="15.42578125" style="52" customWidth="1"/>
    <col min="14093" max="14336" width="11.42578125" style="52"/>
    <col min="14337" max="14337" width="1.42578125" style="52" customWidth="1"/>
    <col min="14338" max="14338" width="40.42578125" style="52" customWidth="1"/>
    <col min="14339" max="14339" width="1.28515625" style="52" customWidth="1"/>
    <col min="14340" max="14340" width="4.5703125" style="52" customWidth="1"/>
    <col min="14341" max="14341" width="5" style="52" customWidth="1"/>
    <col min="14342" max="14343" width="10.85546875" style="52" customWidth="1"/>
    <col min="14344" max="14344" width="1.42578125" style="52" customWidth="1"/>
    <col min="14345" max="14347" width="11.42578125" style="52"/>
    <col min="14348" max="14348" width="15.42578125" style="52" customWidth="1"/>
    <col min="14349" max="14592" width="11.42578125" style="52"/>
    <col min="14593" max="14593" width="1.42578125" style="52" customWidth="1"/>
    <col min="14594" max="14594" width="40.42578125" style="52" customWidth="1"/>
    <col min="14595" max="14595" width="1.28515625" style="52" customWidth="1"/>
    <col min="14596" max="14596" width="4.5703125" style="52" customWidth="1"/>
    <col min="14597" max="14597" width="5" style="52" customWidth="1"/>
    <col min="14598" max="14599" width="10.85546875" style="52" customWidth="1"/>
    <col min="14600" max="14600" width="1.42578125" style="52" customWidth="1"/>
    <col min="14601" max="14603" width="11.42578125" style="52"/>
    <col min="14604" max="14604" width="15.42578125" style="52" customWidth="1"/>
    <col min="14605" max="14848" width="11.42578125" style="52"/>
    <col min="14849" max="14849" width="1.42578125" style="52" customWidth="1"/>
    <col min="14850" max="14850" width="40.42578125" style="52" customWidth="1"/>
    <col min="14851" max="14851" width="1.28515625" style="52" customWidth="1"/>
    <col min="14852" max="14852" width="4.5703125" style="52" customWidth="1"/>
    <col min="14853" max="14853" width="5" style="52" customWidth="1"/>
    <col min="14854" max="14855" width="10.85546875" style="52" customWidth="1"/>
    <col min="14856" max="14856" width="1.42578125" style="52" customWidth="1"/>
    <col min="14857" max="14859" width="11.42578125" style="52"/>
    <col min="14860" max="14860" width="15.42578125" style="52" customWidth="1"/>
    <col min="14861" max="15104" width="11.42578125" style="52"/>
    <col min="15105" max="15105" width="1.42578125" style="52" customWidth="1"/>
    <col min="15106" max="15106" width="40.42578125" style="52" customWidth="1"/>
    <col min="15107" max="15107" width="1.28515625" style="52" customWidth="1"/>
    <col min="15108" max="15108" width="4.5703125" style="52" customWidth="1"/>
    <col min="15109" max="15109" width="5" style="52" customWidth="1"/>
    <col min="15110" max="15111" width="10.85546875" style="52" customWidth="1"/>
    <col min="15112" max="15112" width="1.42578125" style="52" customWidth="1"/>
    <col min="15113" max="15115" width="11.42578125" style="52"/>
    <col min="15116" max="15116" width="15.42578125" style="52" customWidth="1"/>
    <col min="15117" max="15360" width="11.42578125" style="52"/>
    <col min="15361" max="15361" width="1.42578125" style="52" customWidth="1"/>
    <col min="15362" max="15362" width="40.42578125" style="52" customWidth="1"/>
    <col min="15363" max="15363" width="1.28515625" style="52" customWidth="1"/>
    <col min="15364" max="15364" width="4.5703125" style="52" customWidth="1"/>
    <col min="15365" max="15365" width="5" style="52" customWidth="1"/>
    <col min="15366" max="15367" width="10.85546875" style="52" customWidth="1"/>
    <col min="15368" max="15368" width="1.42578125" style="52" customWidth="1"/>
    <col min="15369" max="15371" width="11.42578125" style="52"/>
    <col min="15372" max="15372" width="15.42578125" style="52" customWidth="1"/>
    <col min="15373" max="15616" width="11.42578125" style="52"/>
    <col min="15617" max="15617" width="1.42578125" style="52" customWidth="1"/>
    <col min="15618" max="15618" width="40.42578125" style="52" customWidth="1"/>
    <col min="15619" max="15619" width="1.28515625" style="52" customWidth="1"/>
    <col min="15620" max="15620" width="4.5703125" style="52" customWidth="1"/>
    <col min="15621" max="15621" width="5" style="52" customWidth="1"/>
    <col min="15622" max="15623" width="10.85546875" style="52" customWidth="1"/>
    <col min="15624" max="15624" width="1.42578125" style="52" customWidth="1"/>
    <col min="15625" max="15627" width="11.42578125" style="52"/>
    <col min="15628" max="15628" width="15.42578125" style="52" customWidth="1"/>
    <col min="15629" max="15872" width="11.42578125" style="52"/>
    <col min="15873" max="15873" width="1.42578125" style="52" customWidth="1"/>
    <col min="15874" max="15874" width="40.42578125" style="52" customWidth="1"/>
    <col min="15875" max="15875" width="1.28515625" style="52" customWidth="1"/>
    <col min="15876" max="15876" width="4.5703125" style="52" customWidth="1"/>
    <col min="15877" max="15877" width="5" style="52" customWidth="1"/>
    <col min="15878" max="15879" width="10.85546875" style="52" customWidth="1"/>
    <col min="15880" max="15880" width="1.42578125" style="52" customWidth="1"/>
    <col min="15881" max="15883" width="11.42578125" style="52"/>
    <col min="15884" max="15884" width="15.42578125" style="52" customWidth="1"/>
    <col min="15885" max="16128" width="11.42578125" style="52"/>
    <col min="16129" max="16129" width="1.42578125" style="52" customWidth="1"/>
    <col min="16130" max="16130" width="40.42578125" style="52" customWidth="1"/>
    <col min="16131" max="16131" width="1.28515625" style="52" customWidth="1"/>
    <col min="16132" max="16132" width="4.5703125" style="52" customWidth="1"/>
    <col min="16133" max="16133" width="5" style="52" customWidth="1"/>
    <col min="16134" max="16135" width="10.85546875" style="52" customWidth="1"/>
    <col min="16136" max="16136" width="1.42578125" style="52" customWidth="1"/>
    <col min="16137" max="16139" width="11.42578125" style="52"/>
    <col min="16140" max="16140" width="15.42578125" style="52" customWidth="1"/>
    <col min="16141" max="16384" width="11.42578125" style="52"/>
  </cols>
  <sheetData>
    <row r="1" spans="1:8" ht="8.25" customHeight="1"/>
    <row r="2" spans="1:8">
      <c r="A2" s="53"/>
      <c r="B2" s="54" t="s">
        <v>72</v>
      </c>
      <c r="C2" s="55"/>
      <c r="D2" s="55"/>
      <c r="E2" s="55"/>
      <c r="F2" s="55"/>
      <c r="G2" s="55"/>
      <c r="H2" s="56"/>
    </row>
    <row r="3" spans="1:8">
      <c r="A3" s="57"/>
      <c r="B3" s="58"/>
      <c r="C3" s="59"/>
      <c r="D3" s="59"/>
      <c r="E3" s="59"/>
      <c r="F3" s="59"/>
      <c r="G3" s="59"/>
      <c r="H3" s="60"/>
    </row>
    <row r="4" spans="1:8">
      <c r="A4" s="57"/>
      <c r="B4" s="112" t="s">
        <v>105</v>
      </c>
      <c r="C4" s="59"/>
      <c r="D4" s="59"/>
      <c r="E4" s="59"/>
      <c r="F4" s="59"/>
      <c r="G4" s="59"/>
      <c r="H4" s="60"/>
    </row>
    <row r="5" spans="1:8">
      <c r="A5" s="57"/>
      <c r="B5" s="112" t="s">
        <v>106</v>
      </c>
      <c r="C5" s="59"/>
      <c r="D5" s="59"/>
      <c r="E5" s="59"/>
      <c r="F5" s="59"/>
      <c r="G5" s="59"/>
      <c r="H5" s="60"/>
    </row>
    <row r="6" spans="1:8">
      <c r="A6" s="57"/>
      <c r="B6" s="111"/>
      <c r="H6" s="60"/>
    </row>
    <row r="7" spans="1:8">
      <c r="A7" s="57"/>
      <c r="B7" s="61" t="s">
        <v>74</v>
      </c>
      <c r="D7" s="62" t="s">
        <v>75</v>
      </c>
      <c r="E7" s="62" t="s">
        <v>71</v>
      </c>
      <c r="F7" s="62" t="s">
        <v>70</v>
      </c>
      <c r="G7" s="62" t="s">
        <v>76</v>
      </c>
      <c r="H7" s="60"/>
    </row>
    <row r="8" spans="1:8">
      <c r="A8" s="57"/>
      <c r="B8" s="63"/>
      <c r="D8" s="63"/>
      <c r="E8" s="63"/>
      <c r="F8" s="64"/>
      <c r="G8" s="64">
        <f t="shared" ref="G8:G10" si="0">+E8*F8</f>
        <v>0</v>
      </c>
      <c r="H8" s="60"/>
    </row>
    <row r="9" spans="1:8">
      <c r="A9" s="57"/>
      <c r="B9" s="63"/>
      <c r="D9" s="63"/>
      <c r="E9" s="63"/>
      <c r="F9" s="64"/>
      <c r="G9" s="64">
        <f t="shared" si="0"/>
        <v>0</v>
      </c>
      <c r="H9" s="60"/>
    </row>
    <row r="10" spans="1:8" ht="13.5" thickBot="1">
      <c r="A10" s="57"/>
      <c r="B10" s="63"/>
      <c r="D10" s="63"/>
      <c r="E10" s="63"/>
      <c r="F10" s="64"/>
      <c r="G10" s="64">
        <f t="shared" si="0"/>
        <v>0</v>
      </c>
      <c r="H10" s="60"/>
    </row>
    <row r="11" spans="1:8" ht="13.5" thickBot="1">
      <c r="A11" s="57"/>
      <c r="F11" s="65" t="s">
        <v>77</v>
      </c>
      <c r="G11" s="66">
        <f>SUM(G8:G10)</f>
        <v>0</v>
      </c>
      <c r="H11" s="60"/>
    </row>
    <row r="12" spans="1:8">
      <c r="A12" s="57"/>
      <c r="F12" s="65"/>
      <c r="G12" s="67"/>
      <c r="H12" s="60"/>
    </row>
    <row r="13" spans="1:8">
      <c r="A13" s="57"/>
      <c r="B13" s="61" t="s">
        <v>78</v>
      </c>
      <c r="C13" s="59"/>
      <c r="D13" s="62" t="s">
        <v>79</v>
      </c>
      <c r="E13" s="62"/>
      <c r="F13" s="68" t="s">
        <v>80</v>
      </c>
      <c r="G13" s="69" t="s">
        <v>76</v>
      </c>
      <c r="H13" s="60"/>
    </row>
    <row r="14" spans="1:8">
      <c r="A14" s="57"/>
      <c r="B14" s="63" t="s">
        <v>82</v>
      </c>
      <c r="D14" s="81">
        <v>5.1901565996166017</v>
      </c>
      <c r="E14" s="70"/>
      <c r="F14" s="71">
        <f>2*'M.O.'!E46</f>
        <v>77333.333333333328</v>
      </c>
      <c r="G14" s="64">
        <f>+F14/D14</f>
        <v>14899.999999816184</v>
      </c>
      <c r="H14" s="60"/>
    </row>
    <row r="15" spans="1:8">
      <c r="A15" s="57"/>
      <c r="B15" s="63"/>
      <c r="D15" s="63"/>
      <c r="E15" s="70"/>
      <c r="F15" s="71"/>
      <c r="G15" s="64">
        <v>0</v>
      </c>
      <c r="H15" s="60"/>
    </row>
    <row r="16" spans="1:8" ht="13.5" thickBot="1">
      <c r="A16" s="57"/>
      <c r="B16" s="63"/>
      <c r="D16" s="63"/>
      <c r="E16" s="70"/>
      <c r="F16" s="71"/>
      <c r="G16" s="64">
        <v>0</v>
      </c>
      <c r="H16" s="60"/>
    </row>
    <row r="17" spans="1:8" ht="13.5" thickBot="1">
      <c r="A17" s="57"/>
      <c r="F17" s="65" t="s">
        <v>77</v>
      </c>
      <c r="G17" s="66">
        <f>SUM(G14:G16)</f>
        <v>14899.999999816184</v>
      </c>
      <c r="H17" s="60"/>
    </row>
    <row r="18" spans="1:8">
      <c r="A18" s="57"/>
      <c r="F18" s="67"/>
      <c r="G18" s="67"/>
      <c r="H18" s="60"/>
    </row>
    <row r="19" spans="1:8">
      <c r="A19" s="57"/>
      <c r="B19" s="63" t="s">
        <v>83</v>
      </c>
      <c r="E19" s="62" t="s">
        <v>79</v>
      </c>
      <c r="F19" s="69" t="s">
        <v>84</v>
      </c>
      <c r="G19" s="69" t="s">
        <v>76</v>
      </c>
      <c r="H19" s="60"/>
    </row>
    <row r="20" spans="1:8">
      <c r="A20" s="57"/>
      <c r="B20" s="63" t="s">
        <v>85</v>
      </c>
      <c r="E20" s="63">
        <v>1</v>
      </c>
      <c r="F20" s="64">
        <v>100</v>
      </c>
      <c r="G20" s="64">
        <f>+F20/E20</f>
        <v>100</v>
      </c>
      <c r="H20" s="60"/>
    </row>
    <row r="21" spans="1:8">
      <c r="A21" s="57"/>
      <c r="B21" s="63"/>
      <c r="E21" s="63"/>
      <c r="F21" s="64"/>
      <c r="G21" s="64">
        <v>0</v>
      </c>
      <c r="H21" s="60"/>
    </row>
    <row r="22" spans="1:8" ht="13.5" thickBot="1">
      <c r="A22" s="57"/>
      <c r="B22" s="63"/>
      <c r="E22" s="63"/>
      <c r="F22" s="64"/>
      <c r="G22" s="64">
        <v>0</v>
      </c>
      <c r="H22" s="60"/>
    </row>
    <row r="23" spans="1:8" ht="13.5" thickBot="1">
      <c r="A23" s="57"/>
      <c r="F23" s="65" t="s">
        <v>77</v>
      </c>
      <c r="G23" s="66">
        <f>SUM(G20:G22)</f>
        <v>100</v>
      </c>
      <c r="H23" s="60"/>
    </row>
    <row r="24" spans="1:8">
      <c r="A24" s="57"/>
      <c r="F24" s="67"/>
      <c r="G24" s="67"/>
      <c r="H24" s="60"/>
    </row>
    <row r="25" spans="1:8">
      <c r="A25" s="57"/>
      <c r="B25" s="63" t="s">
        <v>86</v>
      </c>
      <c r="E25" s="62" t="s">
        <v>71</v>
      </c>
      <c r="F25" s="69" t="s">
        <v>84</v>
      </c>
      <c r="G25" s="69" t="s">
        <v>76</v>
      </c>
      <c r="H25" s="60"/>
    </row>
    <row r="26" spans="1:8">
      <c r="A26" s="57"/>
      <c r="B26" s="63"/>
      <c r="E26" s="63"/>
      <c r="F26" s="64"/>
      <c r="G26" s="64">
        <f>+E26*F26</f>
        <v>0</v>
      </c>
      <c r="H26" s="60"/>
    </row>
    <row r="27" spans="1:8">
      <c r="A27" s="57"/>
      <c r="B27" s="63"/>
      <c r="E27" s="63"/>
      <c r="F27" s="64"/>
      <c r="G27" s="64">
        <f>+E27*F27</f>
        <v>0</v>
      </c>
      <c r="H27" s="60"/>
    </row>
    <row r="28" spans="1:8" ht="13.5" thickBot="1">
      <c r="A28" s="57"/>
      <c r="B28" s="63"/>
      <c r="E28" s="63"/>
      <c r="F28" s="64"/>
      <c r="G28" s="64">
        <f>+E28*F28</f>
        <v>0</v>
      </c>
      <c r="H28" s="60"/>
    </row>
    <row r="29" spans="1:8" ht="13.5" thickBot="1">
      <c r="A29" s="57"/>
      <c r="F29" s="65" t="s">
        <v>77</v>
      </c>
      <c r="G29" s="66">
        <f>SUM(G26:G28)</f>
        <v>0</v>
      </c>
      <c r="H29" s="60"/>
    </row>
    <row r="30" spans="1:8" ht="13.5" thickBot="1">
      <c r="A30" s="57"/>
      <c r="F30" s="67"/>
      <c r="G30" s="67"/>
      <c r="H30" s="60"/>
    </row>
    <row r="31" spans="1:8" ht="13.5" thickBot="1">
      <c r="A31" s="57"/>
      <c r="F31" s="65" t="s">
        <v>87</v>
      </c>
      <c r="G31" s="66">
        <f>+G11+G17+G29+G23</f>
        <v>14999.999999816184</v>
      </c>
      <c r="H31" s="60"/>
    </row>
    <row r="32" spans="1:8">
      <c r="A32" s="72"/>
      <c r="B32" s="73"/>
      <c r="C32" s="73"/>
      <c r="D32" s="73"/>
      <c r="E32" s="73"/>
      <c r="F32" s="73"/>
      <c r="G32" s="73"/>
      <c r="H32" s="74"/>
    </row>
    <row r="36" spans="1:8">
      <c r="G36" s="67"/>
    </row>
    <row r="38" spans="1:8">
      <c r="A38" s="59"/>
      <c r="B38" s="59"/>
      <c r="C38" s="59"/>
      <c r="D38" s="59"/>
      <c r="E38" s="59"/>
      <c r="F38" s="59"/>
      <c r="G38" s="59"/>
      <c r="H38" s="59"/>
    </row>
    <row r="39" spans="1:8">
      <c r="A39" s="59"/>
      <c r="B39" s="59"/>
      <c r="C39" s="59"/>
      <c r="D39" s="59"/>
      <c r="E39" s="59"/>
      <c r="F39" s="59"/>
      <c r="G39" s="59"/>
      <c r="H39" s="59"/>
    </row>
  </sheetData>
  <printOptions horizontalCentered="1"/>
  <pageMargins left="0.83" right="0.56999999999999995" top="1.51" bottom="1" header="0.511811024" footer="0.511811024"/>
  <pageSetup orientation="portrait" horizontalDpi="120" verticalDpi="144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J40"/>
  <sheetViews>
    <sheetView topLeftCell="A7" zoomScale="120" zoomScaleNormal="120" workbookViewId="0">
      <selection activeCell="F21" sqref="F21"/>
    </sheetView>
  </sheetViews>
  <sheetFormatPr baseColWidth="10" defaultRowHeight="12.75"/>
  <cols>
    <col min="1" max="1" width="1.42578125" style="52" customWidth="1"/>
    <col min="2" max="2" width="40.42578125" style="52" customWidth="1"/>
    <col min="3" max="3" width="1.28515625" style="52" customWidth="1"/>
    <col min="4" max="4" width="5.28515625" style="76" customWidth="1"/>
    <col min="5" max="5" width="5" style="52" customWidth="1"/>
    <col min="6" max="6" width="15" style="52" customWidth="1"/>
    <col min="7" max="7" width="12.7109375" style="52" customWidth="1"/>
    <col min="8" max="8" width="1.42578125" style="52" customWidth="1"/>
    <col min="9" max="16384" width="11.42578125" style="52"/>
  </cols>
  <sheetData>
    <row r="1" spans="1:8" ht="8.25" customHeight="1"/>
    <row r="2" spans="1:8">
      <c r="A2" s="53"/>
      <c r="B2" s="54" t="s">
        <v>72</v>
      </c>
      <c r="C2" s="55"/>
      <c r="D2" s="55"/>
      <c r="E2" s="55"/>
      <c r="F2" s="55"/>
      <c r="G2" s="55"/>
      <c r="H2" s="77"/>
    </row>
    <row r="3" spans="1:8">
      <c r="A3" s="57"/>
      <c r="B3" s="58"/>
      <c r="C3" s="59"/>
      <c r="E3" s="59"/>
      <c r="F3" s="59"/>
      <c r="G3" s="59"/>
      <c r="H3" s="60"/>
    </row>
    <row r="4" spans="1:8">
      <c r="A4" s="57"/>
      <c r="B4" s="112" t="s">
        <v>108</v>
      </c>
      <c r="C4" s="59"/>
      <c r="E4" s="59"/>
      <c r="F4" s="59"/>
      <c r="G4" s="59"/>
      <c r="H4" s="60"/>
    </row>
    <row r="5" spans="1:8">
      <c r="A5" s="57"/>
      <c r="B5" s="112" t="s">
        <v>89</v>
      </c>
      <c r="C5" s="59"/>
      <c r="E5" s="59"/>
      <c r="F5" s="59"/>
      <c r="G5" s="59"/>
      <c r="H5" s="60"/>
    </row>
    <row r="6" spans="1:8">
      <c r="A6" s="57"/>
      <c r="H6" s="60"/>
    </row>
    <row r="7" spans="1:8">
      <c r="A7" s="57"/>
      <c r="B7" s="61" t="s">
        <v>74</v>
      </c>
      <c r="D7" s="62" t="s">
        <v>75</v>
      </c>
      <c r="E7" s="62" t="s">
        <v>71</v>
      </c>
      <c r="F7" s="62" t="s">
        <v>70</v>
      </c>
      <c r="G7" s="62" t="s">
        <v>76</v>
      </c>
      <c r="H7" s="60"/>
    </row>
    <row r="8" spans="1:8">
      <c r="A8" s="57"/>
      <c r="B8" s="63"/>
      <c r="D8" s="62"/>
      <c r="E8" s="63"/>
      <c r="F8" s="64"/>
      <c r="G8" s="64">
        <f t="shared" ref="G8:G10" si="0">+E8*F8</f>
        <v>0</v>
      </c>
      <c r="H8" s="60"/>
    </row>
    <row r="9" spans="1:8">
      <c r="A9" s="57"/>
      <c r="B9" s="63"/>
      <c r="D9" s="62"/>
      <c r="E9" s="63"/>
      <c r="F9" s="64"/>
      <c r="G9" s="64">
        <f t="shared" si="0"/>
        <v>0</v>
      </c>
      <c r="H9" s="60"/>
    </row>
    <row r="10" spans="1:8" ht="13.5" thickBot="1">
      <c r="A10" s="57"/>
      <c r="B10" s="63"/>
      <c r="D10" s="62"/>
      <c r="E10" s="63"/>
      <c r="F10" s="64"/>
      <c r="G10" s="64">
        <f t="shared" si="0"/>
        <v>0</v>
      </c>
      <c r="H10" s="60"/>
    </row>
    <row r="11" spans="1:8" ht="13.5" thickBot="1">
      <c r="A11" s="57"/>
      <c r="F11" s="65" t="s">
        <v>77</v>
      </c>
      <c r="G11" s="66">
        <f>SUM(G8:G10)</f>
        <v>0</v>
      </c>
      <c r="H11" s="60"/>
    </row>
    <row r="12" spans="1:8">
      <c r="A12" s="57"/>
      <c r="F12" s="65"/>
      <c r="G12" s="67"/>
      <c r="H12" s="60"/>
    </row>
    <row r="13" spans="1:8">
      <c r="A13" s="57"/>
      <c r="B13" s="61" t="s">
        <v>78</v>
      </c>
      <c r="C13" s="59"/>
      <c r="D13" s="62" t="s">
        <v>79</v>
      </c>
      <c r="E13" s="62"/>
      <c r="F13" s="68" t="s">
        <v>80</v>
      </c>
      <c r="G13" s="69" t="s">
        <v>76</v>
      </c>
      <c r="H13" s="60"/>
    </row>
    <row r="14" spans="1:8">
      <c r="A14" s="57"/>
      <c r="B14" s="129" t="s">
        <v>91</v>
      </c>
      <c r="D14" s="128">
        <v>150</v>
      </c>
      <c r="E14" s="70"/>
      <c r="F14" s="71">
        <f>+'M.O.'!E46</f>
        <v>38666.666666666664</v>
      </c>
      <c r="G14" s="64">
        <f>+F14/D14</f>
        <v>257.77777777777777</v>
      </c>
      <c r="H14" s="60"/>
    </row>
    <row r="15" spans="1:8">
      <c r="A15" s="57"/>
      <c r="B15" s="63"/>
      <c r="D15" s="62">
        <v>1</v>
      </c>
      <c r="E15" s="70"/>
      <c r="F15" s="71"/>
      <c r="G15" s="64">
        <f>+F15/D15</f>
        <v>0</v>
      </c>
      <c r="H15" s="60"/>
    </row>
    <row r="16" spans="1:8" ht="13.5" thickBot="1">
      <c r="A16" s="57"/>
      <c r="B16" s="63"/>
      <c r="D16" s="62">
        <v>1</v>
      </c>
      <c r="E16" s="70"/>
      <c r="F16" s="71"/>
      <c r="G16" s="64">
        <f>+F16/D16</f>
        <v>0</v>
      </c>
      <c r="H16" s="60"/>
    </row>
    <row r="17" spans="1:10" ht="13.5" thickBot="1">
      <c r="A17" s="57"/>
      <c r="F17" s="65" t="s">
        <v>77</v>
      </c>
      <c r="G17" s="66">
        <f>SUM(G14:G16)</f>
        <v>257.77777777777777</v>
      </c>
      <c r="H17" s="60"/>
      <c r="J17" s="67"/>
    </row>
    <row r="18" spans="1:10">
      <c r="A18" s="57"/>
      <c r="F18" s="67"/>
      <c r="G18" s="67"/>
      <c r="H18" s="60"/>
    </row>
    <row r="19" spans="1:10">
      <c r="A19" s="57"/>
      <c r="B19" s="63" t="s">
        <v>83</v>
      </c>
      <c r="E19" s="62" t="s">
        <v>79</v>
      </c>
      <c r="F19" s="69" t="s">
        <v>84</v>
      </c>
      <c r="G19" s="69" t="s">
        <v>76</v>
      </c>
      <c r="H19" s="60"/>
    </row>
    <row r="20" spans="1:10">
      <c r="A20" s="57"/>
      <c r="B20" s="129" t="s">
        <v>85</v>
      </c>
      <c r="E20" s="80">
        <v>150</v>
      </c>
      <c r="F20" s="79">
        <f>100*294/8</f>
        <v>3675</v>
      </c>
      <c r="G20" s="64">
        <f>+F20/E20</f>
        <v>24.5</v>
      </c>
      <c r="H20" s="60"/>
    </row>
    <row r="21" spans="1:10">
      <c r="A21" s="57"/>
      <c r="B21" s="129" t="s">
        <v>159</v>
      </c>
      <c r="E21" s="80">
        <v>150</v>
      </c>
      <c r="F21" s="79">
        <f>220000</f>
        <v>220000</v>
      </c>
      <c r="G21" s="64">
        <f>+F21/E21</f>
        <v>1466.6666666666667</v>
      </c>
      <c r="H21" s="60"/>
    </row>
    <row r="22" spans="1:10">
      <c r="A22" s="57"/>
      <c r="B22" s="63"/>
      <c r="E22" s="63"/>
      <c r="F22" s="64"/>
      <c r="G22" s="64">
        <v>0</v>
      </c>
      <c r="H22" s="60"/>
    </row>
    <row r="23" spans="1:10" ht="13.5" thickBot="1">
      <c r="A23" s="57"/>
      <c r="B23" s="63"/>
      <c r="E23" s="63"/>
      <c r="F23" s="64"/>
      <c r="G23" s="64">
        <v>0</v>
      </c>
      <c r="H23" s="60"/>
    </row>
    <row r="24" spans="1:10" ht="13.5" thickBot="1">
      <c r="A24" s="57"/>
      <c r="F24" s="65" t="s">
        <v>77</v>
      </c>
      <c r="G24" s="66">
        <f>SUM(G20:G23)</f>
        <v>1491.1666666666667</v>
      </c>
      <c r="H24" s="60"/>
    </row>
    <row r="25" spans="1:10">
      <c r="A25" s="57"/>
      <c r="F25" s="67"/>
      <c r="G25" s="67"/>
      <c r="H25" s="60"/>
    </row>
    <row r="26" spans="1:10">
      <c r="A26" s="57"/>
      <c r="B26" s="63" t="s">
        <v>86</v>
      </c>
      <c r="E26" s="62" t="s">
        <v>71</v>
      </c>
      <c r="F26" s="69" t="s">
        <v>84</v>
      </c>
      <c r="G26" s="69" t="s">
        <v>76</v>
      </c>
      <c r="H26" s="60"/>
    </row>
    <row r="27" spans="1:10">
      <c r="A27" s="57"/>
      <c r="B27" s="63" t="s">
        <v>349</v>
      </c>
      <c r="E27" s="62">
        <v>2</v>
      </c>
      <c r="F27" s="265">
        <f>2000000/150</f>
        <v>13333.333333333334</v>
      </c>
      <c r="G27" s="64">
        <f>+E27*F27</f>
        <v>26666.666666666668</v>
      </c>
      <c r="H27" s="60"/>
    </row>
    <row r="28" spans="1:10">
      <c r="A28" s="57"/>
      <c r="B28" s="63"/>
      <c r="E28" s="63"/>
      <c r="F28" s="64"/>
      <c r="G28" s="64">
        <f>+E28*F28</f>
        <v>0</v>
      </c>
      <c r="H28" s="60"/>
    </row>
    <row r="29" spans="1:10" ht="13.5" thickBot="1">
      <c r="A29" s="57"/>
      <c r="B29" s="63"/>
      <c r="E29" s="63"/>
      <c r="F29" s="64"/>
      <c r="G29" s="64">
        <f>+E29*F29</f>
        <v>0</v>
      </c>
      <c r="H29" s="60"/>
    </row>
    <row r="30" spans="1:10" ht="13.5" thickBot="1">
      <c r="A30" s="57"/>
      <c r="F30" s="65" t="s">
        <v>77</v>
      </c>
      <c r="G30" s="66">
        <f>SUM(G27:G29)</f>
        <v>26666.666666666668</v>
      </c>
      <c r="H30" s="60"/>
    </row>
    <row r="31" spans="1:10" ht="13.5" thickBot="1">
      <c r="A31" s="57"/>
      <c r="F31" s="67"/>
      <c r="G31" s="67"/>
      <c r="H31" s="60"/>
    </row>
    <row r="32" spans="1:10" ht="13.5" thickBot="1">
      <c r="A32" s="57"/>
      <c r="F32" s="65" t="s">
        <v>87</v>
      </c>
      <c r="G32" s="66">
        <f>+G11+G17+G30+G24</f>
        <v>28415.611111111113</v>
      </c>
      <c r="H32" s="60"/>
    </row>
    <row r="33" spans="1:8">
      <c r="A33" s="72"/>
      <c r="B33" s="73"/>
      <c r="C33" s="73"/>
      <c r="D33" s="78"/>
      <c r="E33" s="73"/>
      <c r="F33" s="73"/>
      <c r="G33" s="73"/>
      <c r="H33" s="74"/>
    </row>
    <row r="39" spans="1:8">
      <c r="A39" s="59"/>
      <c r="B39" s="59"/>
      <c r="C39" s="59"/>
      <c r="D39" s="59"/>
      <c r="E39" s="59"/>
      <c r="F39" s="59"/>
      <c r="G39" s="59"/>
      <c r="H39" s="59"/>
    </row>
    <row r="40" spans="1:8">
      <c r="A40" s="59"/>
      <c r="B40" s="59"/>
      <c r="C40" s="59"/>
      <c r="D40" s="59"/>
      <c r="E40" s="59"/>
      <c r="F40" s="59"/>
      <c r="G40" s="59"/>
      <c r="H40" s="59"/>
    </row>
  </sheetData>
  <printOptions horizontalCentered="1"/>
  <pageMargins left="0.83" right="0.39" top="1.51" bottom="1" header="0.511811024" footer="0.511811024"/>
  <pageSetup orientation="portrait" horizontalDpi="120" verticalDpi="144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39"/>
  <sheetViews>
    <sheetView topLeftCell="A13" zoomScale="120" zoomScaleNormal="120" workbookViewId="0">
      <selection activeCell="J23" sqref="J23"/>
    </sheetView>
  </sheetViews>
  <sheetFormatPr baseColWidth="10" defaultRowHeight="12.75"/>
  <cols>
    <col min="1" max="1" width="1.42578125" style="52" customWidth="1"/>
    <col min="2" max="2" width="40.42578125" style="52" customWidth="1"/>
    <col min="3" max="3" width="1.28515625" style="52" customWidth="1"/>
    <col min="4" max="4" width="4.5703125" style="52" customWidth="1"/>
    <col min="5" max="5" width="5" style="52" customWidth="1"/>
    <col min="6" max="6" width="10.85546875" style="52" customWidth="1"/>
    <col min="7" max="7" width="10.5703125" style="52" customWidth="1"/>
    <col min="8" max="8" width="1.42578125" style="52" customWidth="1"/>
    <col min="9" max="16384" width="11.42578125" style="52"/>
  </cols>
  <sheetData>
    <row r="1" spans="1:8" ht="8.25" customHeight="1"/>
    <row r="2" spans="1:8">
      <c r="A2" s="53"/>
      <c r="B2" s="54" t="s">
        <v>72</v>
      </c>
      <c r="C2" s="55"/>
      <c r="D2" s="55"/>
      <c r="E2" s="55"/>
      <c r="F2" s="55"/>
      <c r="G2" s="55"/>
      <c r="H2" s="56"/>
    </row>
    <row r="3" spans="1:8">
      <c r="A3" s="57"/>
      <c r="B3" s="58"/>
      <c r="C3" s="59"/>
      <c r="D3" s="59"/>
      <c r="E3" s="59"/>
      <c r="F3" s="59"/>
      <c r="G3" s="59"/>
      <c r="H3" s="60"/>
    </row>
    <row r="4" spans="1:8">
      <c r="A4" s="57"/>
      <c r="B4" s="112" t="s">
        <v>107</v>
      </c>
      <c r="C4" s="59"/>
      <c r="D4" s="59"/>
      <c r="E4" s="59"/>
      <c r="F4" s="59"/>
      <c r="G4" s="59"/>
      <c r="H4" s="60"/>
    </row>
    <row r="5" spans="1:8">
      <c r="A5" s="57"/>
      <c r="B5" s="112" t="s">
        <v>73</v>
      </c>
      <c r="C5" s="59"/>
      <c r="D5" s="59"/>
      <c r="E5" s="59"/>
      <c r="F5" s="59"/>
      <c r="G5" s="59"/>
      <c r="H5" s="60"/>
    </row>
    <row r="6" spans="1:8">
      <c r="A6" s="57"/>
      <c r="H6" s="60"/>
    </row>
    <row r="7" spans="1:8">
      <c r="A7" s="57"/>
      <c r="B7" s="61" t="s">
        <v>74</v>
      </c>
      <c r="D7" s="62" t="s">
        <v>75</v>
      </c>
      <c r="E7" s="62" t="s">
        <v>71</v>
      </c>
      <c r="F7" s="62" t="s">
        <v>70</v>
      </c>
      <c r="G7" s="62" t="s">
        <v>76</v>
      </c>
      <c r="H7" s="60"/>
    </row>
    <row r="8" spans="1:8">
      <c r="A8" s="57"/>
      <c r="B8" s="63"/>
      <c r="D8" s="63"/>
      <c r="E8" s="63"/>
      <c r="F8" s="64"/>
      <c r="G8" s="64">
        <f t="shared" ref="G8:G10" si="0">+E8*F8</f>
        <v>0</v>
      </c>
      <c r="H8" s="60"/>
    </row>
    <row r="9" spans="1:8">
      <c r="A9" s="57"/>
      <c r="B9" s="63"/>
      <c r="D9" s="63"/>
      <c r="E9" s="63"/>
      <c r="F9" s="64"/>
      <c r="G9" s="64">
        <f t="shared" si="0"/>
        <v>0</v>
      </c>
      <c r="H9" s="60"/>
    </row>
    <row r="10" spans="1:8" ht="13.5" thickBot="1">
      <c r="A10" s="57"/>
      <c r="B10" s="63"/>
      <c r="D10" s="63"/>
      <c r="E10" s="63"/>
      <c r="F10" s="64"/>
      <c r="G10" s="64">
        <f t="shared" si="0"/>
        <v>0</v>
      </c>
      <c r="H10" s="60"/>
    </row>
    <row r="11" spans="1:8" ht="13.5" thickBot="1">
      <c r="A11" s="57"/>
      <c r="F11" s="65" t="s">
        <v>77</v>
      </c>
      <c r="G11" s="66">
        <f>SUM(G8:G10)</f>
        <v>0</v>
      </c>
      <c r="H11" s="60"/>
    </row>
    <row r="12" spans="1:8">
      <c r="A12" s="57"/>
      <c r="F12" s="65"/>
      <c r="G12" s="67"/>
      <c r="H12" s="60"/>
    </row>
    <row r="13" spans="1:8">
      <c r="A13" s="57"/>
      <c r="B13" s="61" t="s">
        <v>78</v>
      </c>
      <c r="C13" s="59"/>
      <c r="D13" s="62" t="s">
        <v>79</v>
      </c>
      <c r="E13" s="62"/>
      <c r="F13" s="75" t="s">
        <v>80</v>
      </c>
      <c r="G13" s="69" t="s">
        <v>76</v>
      </c>
      <c r="H13" s="60"/>
    </row>
    <row r="14" spans="1:8">
      <c r="A14" s="57"/>
      <c r="B14" s="63" t="s">
        <v>81</v>
      </c>
      <c r="D14" s="127">
        <v>81.794871488206908</v>
      </c>
      <c r="E14" s="70"/>
      <c r="F14" s="71">
        <f>+'M.O.'!E4</f>
        <v>67666.666666666672</v>
      </c>
      <c r="G14" s="64">
        <f>+F14/D14</f>
        <v>827.27273037433372</v>
      </c>
      <c r="H14" s="60"/>
    </row>
    <row r="15" spans="1:8">
      <c r="A15" s="57"/>
      <c r="B15" s="63" t="s">
        <v>91</v>
      </c>
      <c r="D15" s="127">
        <f>+D14</f>
        <v>81.794871488206908</v>
      </c>
      <c r="E15" s="70"/>
      <c r="F15" s="71">
        <f>+'M.O.'!E46</f>
        <v>38666.666666666664</v>
      </c>
      <c r="G15" s="64">
        <f>+F15/D15</f>
        <v>472.72727449961923</v>
      </c>
      <c r="H15" s="60"/>
    </row>
    <row r="16" spans="1:8" ht="13.5" thickBot="1">
      <c r="A16" s="57"/>
      <c r="B16" s="63"/>
      <c r="D16" s="63"/>
      <c r="E16" s="70"/>
      <c r="F16" s="71"/>
      <c r="G16" s="64">
        <v>0</v>
      </c>
      <c r="H16" s="60"/>
    </row>
    <row r="17" spans="1:8" ht="13.5" thickBot="1">
      <c r="A17" s="57"/>
      <c r="F17" s="65" t="s">
        <v>77</v>
      </c>
      <c r="G17" s="66">
        <f>SUM(G14:G16)</f>
        <v>1300.000004873953</v>
      </c>
      <c r="H17" s="60"/>
    </row>
    <row r="18" spans="1:8">
      <c r="A18" s="57"/>
      <c r="F18" s="67"/>
      <c r="G18" s="67"/>
      <c r="H18" s="60"/>
    </row>
    <row r="19" spans="1:8">
      <c r="A19" s="57"/>
      <c r="B19" s="63" t="s">
        <v>83</v>
      </c>
      <c r="E19" s="62" t="s">
        <v>79</v>
      </c>
      <c r="F19" s="69" t="s">
        <v>84</v>
      </c>
      <c r="G19" s="69" t="s">
        <v>76</v>
      </c>
      <c r="H19" s="60"/>
    </row>
    <row r="20" spans="1:8">
      <c r="A20" s="57"/>
      <c r="B20" s="63" t="s">
        <v>85</v>
      </c>
      <c r="E20" s="63">
        <v>1</v>
      </c>
      <c r="F20" s="64">
        <v>200</v>
      </c>
      <c r="G20" s="64">
        <f>F20/E20</f>
        <v>200</v>
      </c>
      <c r="H20" s="60"/>
    </row>
    <row r="21" spans="1:8">
      <c r="A21" s="57"/>
      <c r="B21" s="63"/>
      <c r="E21" s="63"/>
      <c r="F21" s="64"/>
      <c r="G21" s="64">
        <v>0</v>
      </c>
      <c r="H21" s="60"/>
    </row>
    <row r="22" spans="1:8" ht="13.5" thickBot="1">
      <c r="A22" s="57"/>
      <c r="B22" s="63"/>
      <c r="E22" s="63"/>
      <c r="F22" s="64"/>
      <c r="G22" s="64">
        <v>0</v>
      </c>
      <c r="H22" s="60"/>
    </row>
    <row r="23" spans="1:8" ht="13.5" thickBot="1">
      <c r="A23" s="57"/>
      <c r="F23" s="65" t="s">
        <v>77</v>
      </c>
      <c r="G23" s="66">
        <f>SUM(G20:G22)</f>
        <v>200</v>
      </c>
      <c r="H23" s="60"/>
    </row>
    <row r="24" spans="1:8">
      <c r="A24" s="57"/>
      <c r="F24" s="67"/>
      <c r="G24" s="67"/>
      <c r="H24" s="60"/>
    </row>
    <row r="25" spans="1:8">
      <c r="A25" s="57"/>
      <c r="B25" s="63" t="s">
        <v>86</v>
      </c>
      <c r="E25" s="62" t="s">
        <v>71</v>
      </c>
      <c r="F25" s="69" t="s">
        <v>84</v>
      </c>
      <c r="G25" s="69" t="s">
        <v>76</v>
      </c>
      <c r="H25" s="60"/>
    </row>
    <row r="26" spans="1:8">
      <c r="A26" s="57"/>
      <c r="B26" s="63"/>
      <c r="E26" s="63"/>
      <c r="F26" s="64"/>
      <c r="G26" s="64">
        <f>+E26*F26</f>
        <v>0</v>
      </c>
      <c r="H26" s="60"/>
    </row>
    <row r="27" spans="1:8">
      <c r="A27" s="57"/>
      <c r="B27" s="63"/>
      <c r="E27" s="63"/>
      <c r="F27" s="64"/>
      <c r="G27" s="64">
        <f>+E27*F27</f>
        <v>0</v>
      </c>
      <c r="H27" s="60"/>
    </row>
    <row r="28" spans="1:8" ht="13.5" thickBot="1">
      <c r="A28" s="57"/>
      <c r="B28" s="63"/>
      <c r="E28" s="63"/>
      <c r="F28" s="64"/>
      <c r="G28" s="64">
        <f>+E28*F28</f>
        <v>0</v>
      </c>
      <c r="H28" s="60"/>
    </row>
    <row r="29" spans="1:8" ht="13.5" thickBot="1">
      <c r="A29" s="57"/>
      <c r="F29" s="65" t="s">
        <v>77</v>
      </c>
      <c r="G29" s="66">
        <f>SUM(G26:G28)</f>
        <v>0</v>
      </c>
      <c r="H29" s="60"/>
    </row>
    <row r="30" spans="1:8" ht="13.5" thickBot="1">
      <c r="A30" s="57"/>
      <c r="F30" s="67"/>
      <c r="G30" s="67"/>
      <c r="H30" s="60"/>
    </row>
    <row r="31" spans="1:8" ht="13.5" thickBot="1">
      <c r="A31" s="57"/>
      <c r="F31" s="65" t="s">
        <v>87</v>
      </c>
      <c r="G31" s="66">
        <f>+G11+G17+G29+G23</f>
        <v>1500.000004873953</v>
      </c>
      <c r="H31" s="60"/>
    </row>
    <row r="32" spans="1:8">
      <c r="A32" s="72"/>
      <c r="B32" s="73"/>
      <c r="C32" s="73"/>
      <c r="D32" s="73"/>
      <c r="E32" s="73"/>
      <c r="F32" s="73"/>
      <c r="G32" s="73"/>
      <c r="H32" s="74"/>
    </row>
    <row r="37" spans="1:8">
      <c r="C37" s="59"/>
    </row>
    <row r="38" spans="1:8">
      <c r="A38" s="59"/>
      <c r="B38" s="59"/>
      <c r="C38" s="59"/>
      <c r="D38" s="59"/>
      <c r="E38" s="59"/>
      <c r="F38" s="59"/>
      <c r="G38" s="59"/>
      <c r="H38" s="59"/>
    </row>
    <row r="39" spans="1:8">
      <c r="B39" s="59"/>
      <c r="C39" s="59"/>
      <c r="D39" s="59"/>
      <c r="E39" s="59"/>
      <c r="F39" s="59"/>
      <c r="G39" s="59"/>
      <c r="H39" s="59"/>
    </row>
  </sheetData>
  <printOptions horizontalCentered="1"/>
  <pageMargins left="0.83" right="0.59" top="1.51" bottom="1" header="0.511811024" footer="0.511811024"/>
  <pageSetup orientation="portrait" horizontalDpi="120" verticalDpi="14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8"/>
  <sheetViews>
    <sheetView topLeftCell="A5" zoomScaleNormal="100" workbookViewId="0">
      <selection activeCell="D15" sqref="D15"/>
    </sheetView>
  </sheetViews>
  <sheetFormatPr baseColWidth="10" defaultRowHeight="12.75"/>
  <cols>
    <col min="1" max="1" width="2.42578125" style="87" customWidth="1"/>
    <col min="2" max="2" width="40.42578125" style="87" customWidth="1"/>
    <col min="3" max="3" width="1.28515625" style="87" customWidth="1"/>
    <col min="4" max="4" width="4.5703125" style="91" customWidth="1"/>
    <col min="5" max="5" width="5" style="87" customWidth="1"/>
    <col min="6" max="6" width="10.85546875" style="87" customWidth="1"/>
    <col min="7" max="7" width="12.28515625" style="87" customWidth="1"/>
    <col min="8" max="8" width="3.140625" style="87" customWidth="1"/>
    <col min="9" max="256" width="11.42578125" style="87"/>
    <col min="257" max="257" width="1.42578125" style="87" customWidth="1"/>
    <col min="258" max="258" width="40.42578125" style="87" customWidth="1"/>
    <col min="259" max="259" width="1.28515625" style="87" customWidth="1"/>
    <col min="260" max="260" width="4.5703125" style="87" customWidth="1"/>
    <col min="261" max="261" width="5" style="87" customWidth="1"/>
    <col min="262" max="263" width="10.85546875" style="87" customWidth="1"/>
    <col min="264" max="264" width="1.42578125" style="87" customWidth="1"/>
    <col min="265" max="512" width="11.42578125" style="87"/>
    <col min="513" max="513" width="1.42578125" style="87" customWidth="1"/>
    <col min="514" max="514" width="40.42578125" style="87" customWidth="1"/>
    <col min="515" max="515" width="1.28515625" style="87" customWidth="1"/>
    <col min="516" max="516" width="4.5703125" style="87" customWidth="1"/>
    <col min="517" max="517" width="5" style="87" customWidth="1"/>
    <col min="518" max="519" width="10.85546875" style="87" customWidth="1"/>
    <col min="520" max="520" width="1.42578125" style="87" customWidth="1"/>
    <col min="521" max="768" width="11.42578125" style="87"/>
    <col min="769" max="769" width="1.42578125" style="87" customWidth="1"/>
    <col min="770" max="770" width="40.42578125" style="87" customWidth="1"/>
    <col min="771" max="771" width="1.28515625" style="87" customWidth="1"/>
    <col min="772" max="772" width="4.5703125" style="87" customWidth="1"/>
    <col min="773" max="773" width="5" style="87" customWidth="1"/>
    <col min="774" max="775" width="10.85546875" style="87" customWidth="1"/>
    <col min="776" max="776" width="1.42578125" style="87" customWidth="1"/>
    <col min="777" max="1024" width="11.42578125" style="87"/>
    <col min="1025" max="1025" width="1.42578125" style="87" customWidth="1"/>
    <col min="1026" max="1026" width="40.42578125" style="87" customWidth="1"/>
    <col min="1027" max="1027" width="1.28515625" style="87" customWidth="1"/>
    <col min="1028" max="1028" width="4.5703125" style="87" customWidth="1"/>
    <col min="1029" max="1029" width="5" style="87" customWidth="1"/>
    <col min="1030" max="1031" width="10.85546875" style="87" customWidth="1"/>
    <col min="1032" max="1032" width="1.42578125" style="87" customWidth="1"/>
    <col min="1033" max="1280" width="11.42578125" style="87"/>
    <col min="1281" max="1281" width="1.42578125" style="87" customWidth="1"/>
    <col min="1282" max="1282" width="40.42578125" style="87" customWidth="1"/>
    <col min="1283" max="1283" width="1.28515625" style="87" customWidth="1"/>
    <col min="1284" max="1284" width="4.5703125" style="87" customWidth="1"/>
    <col min="1285" max="1285" width="5" style="87" customWidth="1"/>
    <col min="1286" max="1287" width="10.85546875" style="87" customWidth="1"/>
    <col min="1288" max="1288" width="1.42578125" style="87" customWidth="1"/>
    <col min="1289" max="1536" width="11.42578125" style="87"/>
    <col min="1537" max="1537" width="1.42578125" style="87" customWidth="1"/>
    <col min="1538" max="1538" width="40.42578125" style="87" customWidth="1"/>
    <col min="1539" max="1539" width="1.28515625" style="87" customWidth="1"/>
    <col min="1540" max="1540" width="4.5703125" style="87" customWidth="1"/>
    <col min="1541" max="1541" width="5" style="87" customWidth="1"/>
    <col min="1542" max="1543" width="10.85546875" style="87" customWidth="1"/>
    <col min="1544" max="1544" width="1.42578125" style="87" customWidth="1"/>
    <col min="1545" max="1792" width="11.42578125" style="87"/>
    <col min="1793" max="1793" width="1.42578125" style="87" customWidth="1"/>
    <col min="1794" max="1794" width="40.42578125" style="87" customWidth="1"/>
    <col min="1795" max="1795" width="1.28515625" style="87" customWidth="1"/>
    <col min="1796" max="1796" width="4.5703125" style="87" customWidth="1"/>
    <col min="1797" max="1797" width="5" style="87" customWidth="1"/>
    <col min="1798" max="1799" width="10.85546875" style="87" customWidth="1"/>
    <col min="1800" max="1800" width="1.42578125" style="87" customWidth="1"/>
    <col min="1801" max="2048" width="11.42578125" style="87"/>
    <col min="2049" max="2049" width="1.42578125" style="87" customWidth="1"/>
    <col min="2050" max="2050" width="40.42578125" style="87" customWidth="1"/>
    <col min="2051" max="2051" width="1.28515625" style="87" customWidth="1"/>
    <col min="2052" max="2052" width="4.5703125" style="87" customWidth="1"/>
    <col min="2053" max="2053" width="5" style="87" customWidth="1"/>
    <col min="2054" max="2055" width="10.85546875" style="87" customWidth="1"/>
    <col min="2056" max="2056" width="1.42578125" style="87" customWidth="1"/>
    <col min="2057" max="2304" width="11.42578125" style="87"/>
    <col min="2305" max="2305" width="1.42578125" style="87" customWidth="1"/>
    <col min="2306" max="2306" width="40.42578125" style="87" customWidth="1"/>
    <col min="2307" max="2307" width="1.28515625" style="87" customWidth="1"/>
    <col min="2308" max="2308" width="4.5703125" style="87" customWidth="1"/>
    <col min="2309" max="2309" width="5" style="87" customWidth="1"/>
    <col min="2310" max="2311" width="10.85546875" style="87" customWidth="1"/>
    <col min="2312" max="2312" width="1.42578125" style="87" customWidth="1"/>
    <col min="2313" max="2560" width="11.42578125" style="87"/>
    <col min="2561" max="2561" width="1.42578125" style="87" customWidth="1"/>
    <col min="2562" max="2562" width="40.42578125" style="87" customWidth="1"/>
    <col min="2563" max="2563" width="1.28515625" style="87" customWidth="1"/>
    <col min="2564" max="2564" width="4.5703125" style="87" customWidth="1"/>
    <col min="2565" max="2565" width="5" style="87" customWidth="1"/>
    <col min="2566" max="2567" width="10.85546875" style="87" customWidth="1"/>
    <col min="2568" max="2568" width="1.42578125" style="87" customWidth="1"/>
    <col min="2569" max="2816" width="11.42578125" style="87"/>
    <col min="2817" max="2817" width="1.42578125" style="87" customWidth="1"/>
    <col min="2818" max="2818" width="40.42578125" style="87" customWidth="1"/>
    <col min="2819" max="2819" width="1.28515625" style="87" customWidth="1"/>
    <col min="2820" max="2820" width="4.5703125" style="87" customWidth="1"/>
    <col min="2821" max="2821" width="5" style="87" customWidth="1"/>
    <col min="2822" max="2823" width="10.85546875" style="87" customWidth="1"/>
    <col min="2824" max="2824" width="1.42578125" style="87" customWidth="1"/>
    <col min="2825" max="3072" width="11.42578125" style="87"/>
    <col min="3073" max="3073" width="1.42578125" style="87" customWidth="1"/>
    <col min="3074" max="3074" width="40.42578125" style="87" customWidth="1"/>
    <col min="3075" max="3075" width="1.28515625" style="87" customWidth="1"/>
    <col min="3076" max="3076" width="4.5703125" style="87" customWidth="1"/>
    <col min="3077" max="3077" width="5" style="87" customWidth="1"/>
    <col min="3078" max="3079" width="10.85546875" style="87" customWidth="1"/>
    <col min="3080" max="3080" width="1.42578125" style="87" customWidth="1"/>
    <col min="3081" max="3328" width="11.42578125" style="87"/>
    <col min="3329" max="3329" width="1.42578125" style="87" customWidth="1"/>
    <col min="3330" max="3330" width="40.42578125" style="87" customWidth="1"/>
    <col min="3331" max="3331" width="1.28515625" style="87" customWidth="1"/>
    <col min="3332" max="3332" width="4.5703125" style="87" customWidth="1"/>
    <col min="3333" max="3333" width="5" style="87" customWidth="1"/>
    <col min="3334" max="3335" width="10.85546875" style="87" customWidth="1"/>
    <col min="3336" max="3336" width="1.42578125" style="87" customWidth="1"/>
    <col min="3337" max="3584" width="11.42578125" style="87"/>
    <col min="3585" max="3585" width="1.42578125" style="87" customWidth="1"/>
    <col min="3586" max="3586" width="40.42578125" style="87" customWidth="1"/>
    <col min="3587" max="3587" width="1.28515625" style="87" customWidth="1"/>
    <col min="3588" max="3588" width="4.5703125" style="87" customWidth="1"/>
    <col min="3589" max="3589" width="5" style="87" customWidth="1"/>
    <col min="3590" max="3591" width="10.85546875" style="87" customWidth="1"/>
    <col min="3592" max="3592" width="1.42578125" style="87" customWidth="1"/>
    <col min="3593" max="3840" width="11.42578125" style="87"/>
    <col min="3841" max="3841" width="1.42578125" style="87" customWidth="1"/>
    <col min="3842" max="3842" width="40.42578125" style="87" customWidth="1"/>
    <col min="3843" max="3843" width="1.28515625" style="87" customWidth="1"/>
    <col min="3844" max="3844" width="4.5703125" style="87" customWidth="1"/>
    <col min="3845" max="3845" width="5" style="87" customWidth="1"/>
    <col min="3846" max="3847" width="10.85546875" style="87" customWidth="1"/>
    <col min="3848" max="3848" width="1.42578125" style="87" customWidth="1"/>
    <col min="3849" max="4096" width="11.42578125" style="87"/>
    <col min="4097" max="4097" width="1.42578125" style="87" customWidth="1"/>
    <col min="4098" max="4098" width="40.42578125" style="87" customWidth="1"/>
    <col min="4099" max="4099" width="1.28515625" style="87" customWidth="1"/>
    <col min="4100" max="4100" width="4.5703125" style="87" customWidth="1"/>
    <col min="4101" max="4101" width="5" style="87" customWidth="1"/>
    <col min="4102" max="4103" width="10.85546875" style="87" customWidth="1"/>
    <col min="4104" max="4104" width="1.42578125" style="87" customWidth="1"/>
    <col min="4105" max="4352" width="11.42578125" style="87"/>
    <col min="4353" max="4353" width="1.42578125" style="87" customWidth="1"/>
    <col min="4354" max="4354" width="40.42578125" style="87" customWidth="1"/>
    <col min="4355" max="4355" width="1.28515625" style="87" customWidth="1"/>
    <col min="4356" max="4356" width="4.5703125" style="87" customWidth="1"/>
    <col min="4357" max="4357" width="5" style="87" customWidth="1"/>
    <col min="4358" max="4359" width="10.85546875" style="87" customWidth="1"/>
    <col min="4360" max="4360" width="1.42578125" style="87" customWidth="1"/>
    <col min="4361" max="4608" width="11.42578125" style="87"/>
    <col min="4609" max="4609" width="1.42578125" style="87" customWidth="1"/>
    <col min="4610" max="4610" width="40.42578125" style="87" customWidth="1"/>
    <col min="4611" max="4611" width="1.28515625" style="87" customWidth="1"/>
    <col min="4612" max="4612" width="4.5703125" style="87" customWidth="1"/>
    <col min="4613" max="4613" width="5" style="87" customWidth="1"/>
    <col min="4614" max="4615" width="10.85546875" style="87" customWidth="1"/>
    <col min="4616" max="4616" width="1.42578125" style="87" customWidth="1"/>
    <col min="4617" max="4864" width="11.42578125" style="87"/>
    <col min="4865" max="4865" width="1.42578125" style="87" customWidth="1"/>
    <col min="4866" max="4866" width="40.42578125" style="87" customWidth="1"/>
    <col min="4867" max="4867" width="1.28515625" style="87" customWidth="1"/>
    <col min="4868" max="4868" width="4.5703125" style="87" customWidth="1"/>
    <col min="4869" max="4869" width="5" style="87" customWidth="1"/>
    <col min="4870" max="4871" width="10.85546875" style="87" customWidth="1"/>
    <col min="4872" max="4872" width="1.42578125" style="87" customWidth="1"/>
    <col min="4873" max="5120" width="11.42578125" style="87"/>
    <col min="5121" max="5121" width="1.42578125" style="87" customWidth="1"/>
    <col min="5122" max="5122" width="40.42578125" style="87" customWidth="1"/>
    <col min="5123" max="5123" width="1.28515625" style="87" customWidth="1"/>
    <col min="5124" max="5124" width="4.5703125" style="87" customWidth="1"/>
    <col min="5125" max="5125" width="5" style="87" customWidth="1"/>
    <col min="5126" max="5127" width="10.85546875" style="87" customWidth="1"/>
    <col min="5128" max="5128" width="1.42578125" style="87" customWidth="1"/>
    <col min="5129" max="5376" width="11.42578125" style="87"/>
    <col min="5377" max="5377" width="1.42578125" style="87" customWidth="1"/>
    <col min="5378" max="5378" width="40.42578125" style="87" customWidth="1"/>
    <col min="5379" max="5379" width="1.28515625" style="87" customWidth="1"/>
    <col min="5380" max="5380" width="4.5703125" style="87" customWidth="1"/>
    <col min="5381" max="5381" width="5" style="87" customWidth="1"/>
    <col min="5382" max="5383" width="10.85546875" style="87" customWidth="1"/>
    <col min="5384" max="5384" width="1.42578125" style="87" customWidth="1"/>
    <col min="5385" max="5632" width="11.42578125" style="87"/>
    <col min="5633" max="5633" width="1.42578125" style="87" customWidth="1"/>
    <col min="5634" max="5634" width="40.42578125" style="87" customWidth="1"/>
    <col min="5635" max="5635" width="1.28515625" style="87" customWidth="1"/>
    <col min="5636" max="5636" width="4.5703125" style="87" customWidth="1"/>
    <col min="5637" max="5637" width="5" style="87" customWidth="1"/>
    <col min="5638" max="5639" width="10.85546875" style="87" customWidth="1"/>
    <col min="5640" max="5640" width="1.42578125" style="87" customWidth="1"/>
    <col min="5641" max="5888" width="11.42578125" style="87"/>
    <col min="5889" max="5889" width="1.42578125" style="87" customWidth="1"/>
    <col min="5890" max="5890" width="40.42578125" style="87" customWidth="1"/>
    <col min="5891" max="5891" width="1.28515625" style="87" customWidth="1"/>
    <col min="5892" max="5892" width="4.5703125" style="87" customWidth="1"/>
    <col min="5893" max="5893" width="5" style="87" customWidth="1"/>
    <col min="5894" max="5895" width="10.85546875" style="87" customWidth="1"/>
    <col min="5896" max="5896" width="1.42578125" style="87" customWidth="1"/>
    <col min="5897" max="6144" width="11.42578125" style="87"/>
    <col min="6145" max="6145" width="1.42578125" style="87" customWidth="1"/>
    <col min="6146" max="6146" width="40.42578125" style="87" customWidth="1"/>
    <col min="6147" max="6147" width="1.28515625" style="87" customWidth="1"/>
    <col min="6148" max="6148" width="4.5703125" style="87" customWidth="1"/>
    <col min="6149" max="6149" width="5" style="87" customWidth="1"/>
    <col min="6150" max="6151" width="10.85546875" style="87" customWidth="1"/>
    <col min="6152" max="6152" width="1.42578125" style="87" customWidth="1"/>
    <col min="6153" max="6400" width="11.42578125" style="87"/>
    <col min="6401" max="6401" width="1.42578125" style="87" customWidth="1"/>
    <col min="6402" max="6402" width="40.42578125" style="87" customWidth="1"/>
    <col min="6403" max="6403" width="1.28515625" style="87" customWidth="1"/>
    <col min="6404" max="6404" width="4.5703125" style="87" customWidth="1"/>
    <col min="6405" max="6405" width="5" style="87" customWidth="1"/>
    <col min="6406" max="6407" width="10.85546875" style="87" customWidth="1"/>
    <col min="6408" max="6408" width="1.42578125" style="87" customWidth="1"/>
    <col min="6409" max="6656" width="11.42578125" style="87"/>
    <col min="6657" max="6657" width="1.42578125" style="87" customWidth="1"/>
    <col min="6658" max="6658" width="40.42578125" style="87" customWidth="1"/>
    <col min="6659" max="6659" width="1.28515625" style="87" customWidth="1"/>
    <col min="6660" max="6660" width="4.5703125" style="87" customWidth="1"/>
    <col min="6661" max="6661" width="5" style="87" customWidth="1"/>
    <col min="6662" max="6663" width="10.85546875" style="87" customWidth="1"/>
    <col min="6664" max="6664" width="1.42578125" style="87" customWidth="1"/>
    <col min="6665" max="6912" width="11.42578125" style="87"/>
    <col min="6913" max="6913" width="1.42578125" style="87" customWidth="1"/>
    <col min="6914" max="6914" width="40.42578125" style="87" customWidth="1"/>
    <col min="6915" max="6915" width="1.28515625" style="87" customWidth="1"/>
    <col min="6916" max="6916" width="4.5703125" style="87" customWidth="1"/>
    <col min="6917" max="6917" width="5" style="87" customWidth="1"/>
    <col min="6918" max="6919" width="10.85546875" style="87" customWidth="1"/>
    <col min="6920" max="6920" width="1.42578125" style="87" customWidth="1"/>
    <col min="6921" max="7168" width="11.42578125" style="87"/>
    <col min="7169" max="7169" width="1.42578125" style="87" customWidth="1"/>
    <col min="7170" max="7170" width="40.42578125" style="87" customWidth="1"/>
    <col min="7171" max="7171" width="1.28515625" style="87" customWidth="1"/>
    <col min="7172" max="7172" width="4.5703125" style="87" customWidth="1"/>
    <col min="7173" max="7173" width="5" style="87" customWidth="1"/>
    <col min="7174" max="7175" width="10.85546875" style="87" customWidth="1"/>
    <col min="7176" max="7176" width="1.42578125" style="87" customWidth="1"/>
    <col min="7177" max="7424" width="11.42578125" style="87"/>
    <col min="7425" max="7425" width="1.42578125" style="87" customWidth="1"/>
    <col min="7426" max="7426" width="40.42578125" style="87" customWidth="1"/>
    <col min="7427" max="7427" width="1.28515625" style="87" customWidth="1"/>
    <col min="7428" max="7428" width="4.5703125" style="87" customWidth="1"/>
    <col min="7429" max="7429" width="5" style="87" customWidth="1"/>
    <col min="7430" max="7431" width="10.85546875" style="87" customWidth="1"/>
    <col min="7432" max="7432" width="1.42578125" style="87" customWidth="1"/>
    <col min="7433" max="7680" width="11.42578125" style="87"/>
    <col min="7681" max="7681" width="1.42578125" style="87" customWidth="1"/>
    <col min="7682" max="7682" width="40.42578125" style="87" customWidth="1"/>
    <col min="7683" max="7683" width="1.28515625" style="87" customWidth="1"/>
    <col min="7684" max="7684" width="4.5703125" style="87" customWidth="1"/>
    <col min="7685" max="7685" width="5" style="87" customWidth="1"/>
    <col min="7686" max="7687" width="10.85546875" style="87" customWidth="1"/>
    <col min="7688" max="7688" width="1.42578125" style="87" customWidth="1"/>
    <col min="7689" max="7936" width="11.42578125" style="87"/>
    <col min="7937" max="7937" width="1.42578125" style="87" customWidth="1"/>
    <col min="7938" max="7938" width="40.42578125" style="87" customWidth="1"/>
    <col min="7939" max="7939" width="1.28515625" style="87" customWidth="1"/>
    <col min="7940" max="7940" width="4.5703125" style="87" customWidth="1"/>
    <col min="7941" max="7941" width="5" style="87" customWidth="1"/>
    <col min="7942" max="7943" width="10.85546875" style="87" customWidth="1"/>
    <col min="7944" max="7944" width="1.42578125" style="87" customWidth="1"/>
    <col min="7945" max="8192" width="11.42578125" style="87"/>
    <col min="8193" max="8193" width="1.42578125" style="87" customWidth="1"/>
    <col min="8194" max="8194" width="40.42578125" style="87" customWidth="1"/>
    <col min="8195" max="8195" width="1.28515625" style="87" customWidth="1"/>
    <col min="8196" max="8196" width="4.5703125" style="87" customWidth="1"/>
    <col min="8197" max="8197" width="5" style="87" customWidth="1"/>
    <col min="8198" max="8199" width="10.85546875" style="87" customWidth="1"/>
    <col min="8200" max="8200" width="1.42578125" style="87" customWidth="1"/>
    <col min="8201" max="8448" width="11.42578125" style="87"/>
    <col min="8449" max="8449" width="1.42578125" style="87" customWidth="1"/>
    <col min="8450" max="8450" width="40.42578125" style="87" customWidth="1"/>
    <col min="8451" max="8451" width="1.28515625" style="87" customWidth="1"/>
    <col min="8452" max="8452" width="4.5703125" style="87" customWidth="1"/>
    <col min="8453" max="8453" width="5" style="87" customWidth="1"/>
    <col min="8454" max="8455" width="10.85546875" style="87" customWidth="1"/>
    <col min="8456" max="8456" width="1.42578125" style="87" customWidth="1"/>
    <col min="8457" max="8704" width="11.42578125" style="87"/>
    <col min="8705" max="8705" width="1.42578125" style="87" customWidth="1"/>
    <col min="8706" max="8706" width="40.42578125" style="87" customWidth="1"/>
    <col min="8707" max="8707" width="1.28515625" style="87" customWidth="1"/>
    <col min="8708" max="8708" width="4.5703125" style="87" customWidth="1"/>
    <col min="8709" max="8709" width="5" style="87" customWidth="1"/>
    <col min="8710" max="8711" width="10.85546875" style="87" customWidth="1"/>
    <col min="8712" max="8712" width="1.42578125" style="87" customWidth="1"/>
    <col min="8713" max="8960" width="11.42578125" style="87"/>
    <col min="8961" max="8961" width="1.42578125" style="87" customWidth="1"/>
    <col min="8962" max="8962" width="40.42578125" style="87" customWidth="1"/>
    <col min="8963" max="8963" width="1.28515625" style="87" customWidth="1"/>
    <col min="8964" max="8964" width="4.5703125" style="87" customWidth="1"/>
    <col min="8965" max="8965" width="5" style="87" customWidth="1"/>
    <col min="8966" max="8967" width="10.85546875" style="87" customWidth="1"/>
    <col min="8968" max="8968" width="1.42578125" style="87" customWidth="1"/>
    <col min="8969" max="9216" width="11.42578125" style="87"/>
    <col min="9217" max="9217" width="1.42578125" style="87" customWidth="1"/>
    <col min="9218" max="9218" width="40.42578125" style="87" customWidth="1"/>
    <col min="9219" max="9219" width="1.28515625" style="87" customWidth="1"/>
    <col min="9220" max="9220" width="4.5703125" style="87" customWidth="1"/>
    <col min="9221" max="9221" width="5" style="87" customWidth="1"/>
    <col min="9222" max="9223" width="10.85546875" style="87" customWidth="1"/>
    <col min="9224" max="9224" width="1.42578125" style="87" customWidth="1"/>
    <col min="9225" max="9472" width="11.42578125" style="87"/>
    <col min="9473" max="9473" width="1.42578125" style="87" customWidth="1"/>
    <col min="9474" max="9474" width="40.42578125" style="87" customWidth="1"/>
    <col min="9475" max="9475" width="1.28515625" style="87" customWidth="1"/>
    <col min="9476" max="9476" width="4.5703125" style="87" customWidth="1"/>
    <col min="9477" max="9477" width="5" style="87" customWidth="1"/>
    <col min="9478" max="9479" width="10.85546875" style="87" customWidth="1"/>
    <col min="9480" max="9480" width="1.42578125" style="87" customWidth="1"/>
    <col min="9481" max="9728" width="11.42578125" style="87"/>
    <col min="9729" max="9729" width="1.42578125" style="87" customWidth="1"/>
    <col min="9730" max="9730" width="40.42578125" style="87" customWidth="1"/>
    <col min="9731" max="9731" width="1.28515625" style="87" customWidth="1"/>
    <col min="9732" max="9732" width="4.5703125" style="87" customWidth="1"/>
    <col min="9733" max="9733" width="5" style="87" customWidth="1"/>
    <col min="9734" max="9735" width="10.85546875" style="87" customWidth="1"/>
    <col min="9736" max="9736" width="1.42578125" style="87" customWidth="1"/>
    <col min="9737" max="9984" width="11.42578125" style="87"/>
    <col min="9985" max="9985" width="1.42578125" style="87" customWidth="1"/>
    <col min="9986" max="9986" width="40.42578125" style="87" customWidth="1"/>
    <col min="9987" max="9987" width="1.28515625" style="87" customWidth="1"/>
    <col min="9988" max="9988" width="4.5703125" style="87" customWidth="1"/>
    <col min="9989" max="9989" width="5" style="87" customWidth="1"/>
    <col min="9990" max="9991" width="10.85546875" style="87" customWidth="1"/>
    <col min="9992" max="9992" width="1.42578125" style="87" customWidth="1"/>
    <col min="9993" max="10240" width="11.42578125" style="87"/>
    <col min="10241" max="10241" width="1.42578125" style="87" customWidth="1"/>
    <col min="10242" max="10242" width="40.42578125" style="87" customWidth="1"/>
    <col min="10243" max="10243" width="1.28515625" style="87" customWidth="1"/>
    <col min="10244" max="10244" width="4.5703125" style="87" customWidth="1"/>
    <col min="10245" max="10245" width="5" style="87" customWidth="1"/>
    <col min="10246" max="10247" width="10.85546875" style="87" customWidth="1"/>
    <col min="10248" max="10248" width="1.42578125" style="87" customWidth="1"/>
    <col min="10249" max="10496" width="11.42578125" style="87"/>
    <col min="10497" max="10497" width="1.42578125" style="87" customWidth="1"/>
    <col min="10498" max="10498" width="40.42578125" style="87" customWidth="1"/>
    <col min="10499" max="10499" width="1.28515625" style="87" customWidth="1"/>
    <col min="10500" max="10500" width="4.5703125" style="87" customWidth="1"/>
    <col min="10501" max="10501" width="5" style="87" customWidth="1"/>
    <col min="10502" max="10503" width="10.85546875" style="87" customWidth="1"/>
    <col min="10504" max="10504" width="1.42578125" style="87" customWidth="1"/>
    <col min="10505" max="10752" width="11.42578125" style="87"/>
    <col min="10753" max="10753" width="1.42578125" style="87" customWidth="1"/>
    <col min="10754" max="10754" width="40.42578125" style="87" customWidth="1"/>
    <col min="10755" max="10755" width="1.28515625" style="87" customWidth="1"/>
    <col min="10756" max="10756" width="4.5703125" style="87" customWidth="1"/>
    <col min="10757" max="10757" width="5" style="87" customWidth="1"/>
    <col min="10758" max="10759" width="10.85546875" style="87" customWidth="1"/>
    <col min="10760" max="10760" width="1.42578125" style="87" customWidth="1"/>
    <col min="10761" max="11008" width="11.42578125" style="87"/>
    <col min="11009" max="11009" width="1.42578125" style="87" customWidth="1"/>
    <col min="11010" max="11010" width="40.42578125" style="87" customWidth="1"/>
    <col min="11011" max="11011" width="1.28515625" style="87" customWidth="1"/>
    <col min="11012" max="11012" width="4.5703125" style="87" customWidth="1"/>
    <col min="11013" max="11013" width="5" style="87" customWidth="1"/>
    <col min="11014" max="11015" width="10.85546875" style="87" customWidth="1"/>
    <col min="11016" max="11016" width="1.42578125" style="87" customWidth="1"/>
    <col min="11017" max="11264" width="11.42578125" style="87"/>
    <col min="11265" max="11265" width="1.42578125" style="87" customWidth="1"/>
    <col min="11266" max="11266" width="40.42578125" style="87" customWidth="1"/>
    <col min="11267" max="11267" width="1.28515625" style="87" customWidth="1"/>
    <col min="11268" max="11268" width="4.5703125" style="87" customWidth="1"/>
    <col min="11269" max="11269" width="5" style="87" customWidth="1"/>
    <col min="11270" max="11271" width="10.85546875" style="87" customWidth="1"/>
    <col min="11272" max="11272" width="1.42578125" style="87" customWidth="1"/>
    <col min="11273" max="11520" width="11.42578125" style="87"/>
    <col min="11521" max="11521" width="1.42578125" style="87" customWidth="1"/>
    <col min="11522" max="11522" width="40.42578125" style="87" customWidth="1"/>
    <col min="11523" max="11523" width="1.28515625" style="87" customWidth="1"/>
    <col min="11524" max="11524" width="4.5703125" style="87" customWidth="1"/>
    <col min="11525" max="11525" width="5" style="87" customWidth="1"/>
    <col min="11526" max="11527" width="10.85546875" style="87" customWidth="1"/>
    <col min="11528" max="11528" width="1.42578125" style="87" customWidth="1"/>
    <col min="11529" max="11776" width="11.42578125" style="87"/>
    <col min="11777" max="11777" width="1.42578125" style="87" customWidth="1"/>
    <col min="11778" max="11778" width="40.42578125" style="87" customWidth="1"/>
    <col min="11779" max="11779" width="1.28515625" style="87" customWidth="1"/>
    <col min="11780" max="11780" width="4.5703125" style="87" customWidth="1"/>
    <col min="11781" max="11781" width="5" style="87" customWidth="1"/>
    <col min="11782" max="11783" width="10.85546875" style="87" customWidth="1"/>
    <col min="11784" max="11784" width="1.42578125" style="87" customWidth="1"/>
    <col min="11785" max="12032" width="11.42578125" style="87"/>
    <col min="12033" max="12033" width="1.42578125" style="87" customWidth="1"/>
    <col min="12034" max="12034" width="40.42578125" style="87" customWidth="1"/>
    <col min="12035" max="12035" width="1.28515625" style="87" customWidth="1"/>
    <col min="12036" max="12036" width="4.5703125" style="87" customWidth="1"/>
    <col min="12037" max="12037" width="5" style="87" customWidth="1"/>
    <col min="12038" max="12039" width="10.85546875" style="87" customWidth="1"/>
    <col min="12040" max="12040" width="1.42578125" style="87" customWidth="1"/>
    <col min="12041" max="12288" width="11.42578125" style="87"/>
    <col min="12289" max="12289" width="1.42578125" style="87" customWidth="1"/>
    <col min="12290" max="12290" width="40.42578125" style="87" customWidth="1"/>
    <col min="12291" max="12291" width="1.28515625" style="87" customWidth="1"/>
    <col min="12292" max="12292" width="4.5703125" style="87" customWidth="1"/>
    <col min="12293" max="12293" width="5" style="87" customWidth="1"/>
    <col min="12294" max="12295" width="10.85546875" style="87" customWidth="1"/>
    <col min="12296" max="12296" width="1.42578125" style="87" customWidth="1"/>
    <col min="12297" max="12544" width="11.42578125" style="87"/>
    <col min="12545" max="12545" width="1.42578125" style="87" customWidth="1"/>
    <col min="12546" max="12546" width="40.42578125" style="87" customWidth="1"/>
    <col min="12547" max="12547" width="1.28515625" style="87" customWidth="1"/>
    <col min="12548" max="12548" width="4.5703125" style="87" customWidth="1"/>
    <col min="12549" max="12549" width="5" style="87" customWidth="1"/>
    <col min="12550" max="12551" width="10.85546875" style="87" customWidth="1"/>
    <col min="12552" max="12552" width="1.42578125" style="87" customWidth="1"/>
    <col min="12553" max="12800" width="11.42578125" style="87"/>
    <col min="12801" max="12801" width="1.42578125" style="87" customWidth="1"/>
    <col min="12802" max="12802" width="40.42578125" style="87" customWidth="1"/>
    <col min="12803" max="12803" width="1.28515625" style="87" customWidth="1"/>
    <col min="12804" max="12804" width="4.5703125" style="87" customWidth="1"/>
    <col min="12805" max="12805" width="5" style="87" customWidth="1"/>
    <col min="12806" max="12807" width="10.85546875" style="87" customWidth="1"/>
    <col min="12808" max="12808" width="1.42578125" style="87" customWidth="1"/>
    <col min="12809" max="13056" width="11.42578125" style="87"/>
    <col min="13057" max="13057" width="1.42578125" style="87" customWidth="1"/>
    <col min="13058" max="13058" width="40.42578125" style="87" customWidth="1"/>
    <col min="13059" max="13059" width="1.28515625" style="87" customWidth="1"/>
    <col min="13060" max="13060" width="4.5703125" style="87" customWidth="1"/>
    <col min="13061" max="13061" width="5" style="87" customWidth="1"/>
    <col min="13062" max="13063" width="10.85546875" style="87" customWidth="1"/>
    <col min="13064" max="13064" width="1.42578125" style="87" customWidth="1"/>
    <col min="13065" max="13312" width="11.42578125" style="87"/>
    <col min="13313" max="13313" width="1.42578125" style="87" customWidth="1"/>
    <col min="13314" max="13314" width="40.42578125" style="87" customWidth="1"/>
    <col min="13315" max="13315" width="1.28515625" style="87" customWidth="1"/>
    <col min="13316" max="13316" width="4.5703125" style="87" customWidth="1"/>
    <col min="13317" max="13317" width="5" style="87" customWidth="1"/>
    <col min="13318" max="13319" width="10.85546875" style="87" customWidth="1"/>
    <col min="13320" max="13320" width="1.42578125" style="87" customWidth="1"/>
    <col min="13321" max="13568" width="11.42578125" style="87"/>
    <col min="13569" max="13569" width="1.42578125" style="87" customWidth="1"/>
    <col min="13570" max="13570" width="40.42578125" style="87" customWidth="1"/>
    <col min="13571" max="13571" width="1.28515625" style="87" customWidth="1"/>
    <col min="13572" max="13572" width="4.5703125" style="87" customWidth="1"/>
    <col min="13573" max="13573" width="5" style="87" customWidth="1"/>
    <col min="13574" max="13575" width="10.85546875" style="87" customWidth="1"/>
    <col min="13576" max="13576" width="1.42578125" style="87" customWidth="1"/>
    <col min="13577" max="13824" width="11.42578125" style="87"/>
    <col min="13825" max="13825" width="1.42578125" style="87" customWidth="1"/>
    <col min="13826" max="13826" width="40.42578125" style="87" customWidth="1"/>
    <col min="13827" max="13827" width="1.28515625" style="87" customWidth="1"/>
    <col min="13828" max="13828" width="4.5703125" style="87" customWidth="1"/>
    <col min="13829" max="13829" width="5" style="87" customWidth="1"/>
    <col min="13830" max="13831" width="10.85546875" style="87" customWidth="1"/>
    <col min="13832" max="13832" width="1.42578125" style="87" customWidth="1"/>
    <col min="13833" max="14080" width="11.42578125" style="87"/>
    <col min="14081" max="14081" width="1.42578125" style="87" customWidth="1"/>
    <col min="14082" max="14082" width="40.42578125" style="87" customWidth="1"/>
    <col min="14083" max="14083" width="1.28515625" style="87" customWidth="1"/>
    <col min="14084" max="14084" width="4.5703125" style="87" customWidth="1"/>
    <col min="14085" max="14085" width="5" style="87" customWidth="1"/>
    <col min="14086" max="14087" width="10.85546875" style="87" customWidth="1"/>
    <col min="14088" max="14088" width="1.42578125" style="87" customWidth="1"/>
    <col min="14089" max="14336" width="11.42578125" style="87"/>
    <col min="14337" max="14337" width="1.42578125" style="87" customWidth="1"/>
    <col min="14338" max="14338" width="40.42578125" style="87" customWidth="1"/>
    <col min="14339" max="14339" width="1.28515625" style="87" customWidth="1"/>
    <col min="14340" max="14340" width="4.5703125" style="87" customWidth="1"/>
    <col min="14341" max="14341" width="5" style="87" customWidth="1"/>
    <col min="14342" max="14343" width="10.85546875" style="87" customWidth="1"/>
    <col min="14344" max="14344" width="1.42578125" style="87" customWidth="1"/>
    <col min="14345" max="14592" width="11.42578125" style="87"/>
    <col min="14593" max="14593" width="1.42578125" style="87" customWidth="1"/>
    <col min="14594" max="14594" width="40.42578125" style="87" customWidth="1"/>
    <col min="14595" max="14595" width="1.28515625" style="87" customWidth="1"/>
    <col min="14596" max="14596" width="4.5703125" style="87" customWidth="1"/>
    <col min="14597" max="14597" width="5" style="87" customWidth="1"/>
    <col min="14598" max="14599" width="10.85546875" style="87" customWidth="1"/>
    <col min="14600" max="14600" width="1.42578125" style="87" customWidth="1"/>
    <col min="14601" max="14848" width="11.42578125" style="87"/>
    <col min="14849" max="14849" width="1.42578125" style="87" customWidth="1"/>
    <col min="14850" max="14850" width="40.42578125" style="87" customWidth="1"/>
    <col min="14851" max="14851" width="1.28515625" style="87" customWidth="1"/>
    <col min="14852" max="14852" width="4.5703125" style="87" customWidth="1"/>
    <col min="14853" max="14853" width="5" style="87" customWidth="1"/>
    <col min="14854" max="14855" width="10.85546875" style="87" customWidth="1"/>
    <col min="14856" max="14856" width="1.42578125" style="87" customWidth="1"/>
    <col min="14857" max="15104" width="11.42578125" style="87"/>
    <col min="15105" max="15105" width="1.42578125" style="87" customWidth="1"/>
    <col min="15106" max="15106" width="40.42578125" style="87" customWidth="1"/>
    <col min="15107" max="15107" width="1.28515625" style="87" customWidth="1"/>
    <col min="15108" max="15108" width="4.5703125" style="87" customWidth="1"/>
    <col min="15109" max="15109" width="5" style="87" customWidth="1"/>
    <col min="15110" max="15111" width="10.85546875" style="87" customWidth="1"/>
    <col min="15112" max="15112" width="1.42578125" style="87" customWidth="1"/>
    <col min="15113" max="15360" width="11.42578125" style="87"/>
    <col min="15361" max="15361" width="1.42578125" style="87" customWidth="1"/>
    <col min="15362" max="15362" width="40.42578125" style="87" customWidth="1"/>
    <col min="15363" max="15363" width="1.28515625" style="87" customWidth="1"/>
    <col min="15364" max="15364" width="4.5703125" style="87" customWidth="1"/>
    <col min="15365" max="15365" width="5" style="87" customWidth="1"/>
    <col min="15366" max="15367" width="10.85546875" style="87" customWidth="1"/>
    <col min="15368" max="15368" width="1.42578125" style="87" customWidth="1"/>
    <col min="15369" max="15616" width="11.42578125" style="87"/>
    <col min="15617" max="15617" width="1.42578125" style="87" customWidth="1"/>
    <col min="15618" max="15618" width="40.42578125" style="87" customWidth="1"/>
    <col min="15619" max="15619" width="1.28515625" style="87" customWidth="1"/>
    <col min="15620" max="15620" width="4.5703125" style="87" customWidth="1"/>
    <col min="15621" max="15621" width="5" style="87" customWidth="1"/>
    <col min="15622" max="15623" width="10.85546875" style="87" customWidth="1"/>
    <col min="15624" max="15624" width="1.42578125" style="87" customWidth="1"/>
    <col min="15625" max="15872" width="11.42578125" style="87"/>
    <col min="15873" max="15873" width="1.42578125" style="87" customWidth="1"/>
    <col min="15874" max="15874" width="40.42578125" style="87" customWidth="1"/>
    <col min="15875" max="15875" width="1.28515625" style="87" customWidth="1"/>
    <col min="15876" max="15876" width="4.5703125" style="87" customWidth="1"/>
    <col min="15877" max="15877" width="5" style="87" customWidth="1"/>
    <col min="15878" max="15879" width="10.85546875" style="87" customWidth="1"/>
    <col min="15880" max="15880" width="1.42578125" style="87" customWidth="1"/>
    <col min="15881" max="16128" width="11.42578125" style="87"/>
    <col min="16129" max="16129" width="1.42578125" style="87" customWidth="1"/>
    <col min="16130" max="16130" width="40.42578125" style="87" customWidth="1"/>
    <col min="16131" max="16131" width="1.28515625" style="87" customWidth="1"/>
    <col min="16132" max="16132" width="4.5703125" style="87" customWidth="1"/>
    <col min="16133" max="16133" width="5" style="87" customWidth="1"/>
    <col min="16134" max="16135" width="10.85546875" style="87" customWidth="1"/>
    <col min="16136" max="16136" width="1.42578125" style="87" customWidth="1"/>
    <col min="16137" max="16384" width="11.42578125" style="87"/>
  </cols>
  <sheetData>
    <row r="1" spans="1:8" ht="8.25" customHeight="1"/>
    <row r="2" spans="1:8">
      <c r="A2" s="82"/>
      <c r="B2" s="236" t="s">
        <v>72</v>
      </c>
      <c r="C2" s="84"/>
      <c r="D2" s="84"/>
      <c r="E2" s="84"/>
      <c r="F2" s="84"/>
      <c r="G2" s="84"/>
      <c r="H2" s="86"/>
    </row>
    <row r="3" spans="1:8">
      <c r="A3" s="88"/>
      <c r="B3" s="89"/>
      <c r="C3" s="90"/>
      <c r="E3" s="90"/>
      <c r="F3" s="90"/>
      <c r="G3" s="90"/>
      <c r="H3" s="93"/>
    </row>
    <row r="4" spans="1:8">
      <c r="A4" s="88"/>
      <c r="B4" s="115" t="s">
        <v>310</v>
      </c>
      <c r="C4" s="90"/>
      <c r="E4" s="90"/>
      <c r="F4" s="90"/>
      <c r="G4" s="90"/>
      <c r="H4" s="93"/>
    </row>
    <row r="5" spans="1:8">
      <c r="A5" s="88"/>
      <c r="B5" s="115" t="s">
        <v>309</v>
      </c>
      <c r="C5" s="90"/>
      <c r="E5" s="90"/>
      <c r="F5" s="90"/>
      <c r="G5" s="90"/>
      <c r="H5" s="93"/>
    </row>
    <row r="6" spans="1:8">
      <c r="A6" s="88"/>
      <c r="H6" s="93"/>
    </row>
    <row r="7" spans="1:8">
      <c r="A7" s="88"/>
      <c r="B7" s="95" t="s">
        <v>74</v>
      </c>
      <c r="D7" s="96" t="s">
        <v>75</v>
      </c>
      <c r="E7" s="96" t="s">
        <v>71</v>
      </c>
      <c r="F7" s="96" t="s">
        <v>70</v>
      </c>
      <c r="G7" s="96" t="s">
        <v>76</v>
      </c>
      <c r="H7" s="93"/>
    </row>
    <row r="8" spans="1:8">
      <c r="A8" s="88"/>
      <c r="B8" s="237" t="s">
        <v>336</v>
      </c>
      <c r="D8" s="238" t="s">
        <v>182</v>
      </c>
      <c r="E8" s="239">
        <v>1</v>
      </c>
      <c r="F8" s="240">
        <v>200000</v>
      </c>
      <c r="G8" s="240">
        <f t="shared" ref="G8:G10" si="0">+E8*F8</f>
        <v>200000</v>
      </c>
      <c r="H8" s="93"/>
    </row>
    <row r="9" spans="1:8">
      <c r="A9" s="88"/>
      <c r="B9" s="98"/>
      <c r="D9" s="96"/>
      <c r="E9" s="98"/>
      <c r="F9" s="99"/>
      <c r="G9" s="99">
        <f t="shared" si="0"/>
        <v>0</v>
      </c>
      <c r="H9" s="93"/>
    </row>
    <row r="10" spans="1:8" ht="13.5" thickBot="1">
      <c r="A10" s="88"/>
      <c r="B10" s="98"/>
      <c r="D10" s="96"/>
      <c r="E10" s="98"/>
      <c r="F10" s="99"/>
      <c r="G10" s="99">
        <f t="shared" si="0"/>
        <v>0</v>
      </c>
      <c r="H10" s="93"/>
    </row>
    <row r="11" spans="1:8" ht="13.5" thickBot="1">
      <c r="A11" s="88"/>
      <c r="F11" s="100" t="s">
        <v>77</v>
      </c>
      <c r="G11" s="101">
        <f>SUM(G8:G10)</f>
        <v>200000</v>
      </c>
      <c r="H11" s="93"/>
    </row>
    <row r="12" spans="1:8">
      <c r="A12" s="88"/>
      <c r="F12" s="100"/>
      <c r="G12" s="94"/>
      <c r="H12" s="93"/>
    </row>
    <row r="13" spans="1:8">
      <c r="A13" s="88"/>
      <c r="B13" s="95" t="s">
        <v>78</v>
      </c>
      <c r="C13" s="90"/>
      <c r="D13" s="96" t="s">
        <v>79</v>
      </c>
      <c r="E13" s="96"/>
      <c r="F13" s="102" t="s">
        <v>80</v>
      </c>
      <c r="G13" s="97" t="s">
        <v>76</v>
      </c>
      <c r="H13" s="93"/>
    </row>
    <row r="14" spans="1:8">
      <c r="A14" s="88"/>
      <c r="B14" s="98" t="s">
        <v>306</v>
      </c>
      <c r="D14" s="242">
        <v>13</v>
      </c>
      <c r="E14" s="103"/>
      <c r="F14" s="104">
        <f>+'M.O.'!E4</f>
        <v>67666.666666666672</v>
      </c>
      <c r="G14" s="99">
        <f>+F14/D14</f>
        <v>5205.1282051282051</v>
      </c>
      <c r="H14" s="93"/>
    </row>
    <row r="15" spans="1:8">
      <c r="A15" s="88"/>
      <c r="B15" s="98" t="s">
        <v>91</v>
      </c>
      <c r="D15" s="242">
        <f>+D14</f>
        <v>13</v>
      </c>
      <c r="E15" s="103"/>
      <c r="F15" s="104">
        <f>+'M.O.'!E46</f>
        <v>38666.666666666664</v>
      </c>
      <c r="G15" s="99">
        <f>+F15/D15</f>
        <v>2974.3589743589741</v>
      </c>
      <c r="H15" s="93"/>
    </row>
    <row r="16" spans="1:8" ht="13.5" thickBot="1">
      <c r="A16" s="88"/>
      <c r="B16" s="98"/>
      <c r="D16" s="96"/>
      <c r="E16" s="103"/>
      <c r="F16" s="104"/>
      <c r="G16" s="99">
        <v>0</v>
      </c>
      <c r="H16" s="93"/>
    </row>
    <row r="17" spans="1:8" ht="13.5" thickBot="1">
      <c r="A17" s="88"/>
      <c r="F17" s="100" t="s">
        <v>77</v>
      </c>
      <c r="G17" s="101">
        <f>SUM(G14:G16)</f>
        <v>8179.4871794871797</v>
      </c>
      <c r="H17" s="93"/>
    </row>
    <row r="18" spans="1:8">
      <c r="A18" s="88"/>
      <c r="F18" s="94"/>
      <c r="G18" s="94"/>
      <c r="H18" s="93"/>
    </row>
    <row r="19" spans="1:8">
      <c r="A19" s="88"/>
      <c r="B19" s="98" t="s">
        <v>83</v>
      </c>
      <c r="E19" s="96" t="s">
        <v>79</v>
      </c>
      <c r="F19" s="97" t="s">
        <v>84</v>
      </c>
      <c r="G19" s="97" t="s">
        <v>76</v>
      </c>
      <c r="H19" s="93"/>
    </row>
    <row r="20" spans="1:8">
      <c r="A20" s="88"/>
      <c r="B20" s="98" t="s">
        <v>307</v>
      </c>
      <c r="E20" s="98">
        <v>1</v>
      </c>
      <c r="F20" s="99">
        <v>500</v>
      </c>
      <c r="G20" s="99">
        <f>F20/E20</f>
        <v>500</v>
      </c>
      <c r="H20" s="93"/>
    </row>
    <row r="21" spans="1:8" ht="13.5" thickBot="1">
      <c r="A21" s="88"/>
      <c r="B21" s="98"/>
      <c r="E21" s="98"/>
      <c r="F21" s="99"/>
      <c r="G21" s="99">
        <v>0</v>
      </c>
      <c r="H21" s="93"/>
    </row>
    <row r="22" spans="1:8" ht="13.5" thickBot="1">
      <c r="A22" s="88"/>
      <c r="F22" s="100" t="s">
        <v>77</v>
      </c>
      <c r="G22" s="101">
        <f>SUM(G20:G21)</f>
        <v>500</v>
      </c>
      <c r="H22" s="93"/>
    </row>
    <row r="23" spans="1:8">
      <c r="A23" s="88"/>
      <c r="F23" s="94"/>
      <c r="G23" s="94"/>
      <c r="H23" s="93"/>
    </row>
    <row r="24" spans="1:8">
      <c r="A24" s="88"/>
      <c r="B24" s="98" t="s">
        <v>86</v>
      </c>
      <c r="E24" s="96" t="s">
        <v>71</v>
      </c>
      <c r="F24" s="97" t="s">
        <v>84</v>
      </c>
      <c r="G24" s="97" t="s">
        <v>76</v>
      </c>
      <c r="H24" s="93"/>
    </row>
    <row r="25" spans="1:8">
      <c r="A25" s="88"/>
      <c r="B25" s="98" t="s">
        <v>337</v>
      </c>
      <c r="E25" s="98">
        <v>1</v>
      </c>
      <c r="F25" s="99">
        <v>30000</v>
      </c>
      <c r="G25" s="99">
        <f>+E25*F25</f>
        <v>30000</v>
      </c>
      <c r="H25" s="93"/>
    </row>
    <row r="26" spans="1:8">
      <c r="A26" s="88"/>
      <c r="B26" s="98"/>
      <c r="E26" s="98"/>
      <c r="F26" s="99"/>
      <c r="G26" s="99">
        <f>+E26*F26</f>
        <v>0</v>
      </c>
      <c r="H26" s="93"/>
    </row>
    <row r="27" spans="1:8" ht="13.5" thickBot="1">
      <c r="A27" s="88"/>
      <c r="B27" s="98"/>
      <c r="E27" s="98"/>
      <c r="F27" s="99"/>
      <c r="G27" s="99">
        <f>+E27*F27</f>
        <v>0</v>
      </c>
      <c r="H27" s="93"/>
    </row>
    <row r="28" spans="1:8" ht="13.5" thickBot="1">
      <c r="A28" s="88"/>
      <c r="F28" s="100" t="s">
        <v>77</v>
      </c>
      <c r="G28" s="101">
        <f>SUM(G25:G27)</f>
        <v>30000</v>
      </c>
      <c r="H28" s="93"/>
    </row>
    <row r="29" spans="1:8" ht="13.5" thickBot="1">
      <c r="A29" s="88"/>
      <c r="F29" s="94"/>
      <c r="G29" s="94"/>
      <c r="H29" s="93"/>
    </row>
    <row r="30" spans="1:8" ht="13.5" thickBot="1">
      <c r="A30" s="88"/>
      <c r="F30" s="100" t="s">
        <v>87</v>
      </c>
      <c r="G30" s="101">
        <f>+G11+G17+G28+G22</f>
        <v>238679.48717948719</v>
      </c>
      <c r="H30" s="93"/>
    </row>
    <row r="31" spans="1:8">
      <c r="A31" s="105"/>
      <c r="B31" s="106"/>
      <c r="C31" s="106"/>
      <c r="D31" s="107"/>
      <c r="E31" s="106"/>
      <c r="F31" s="106"/>
      <c r="G31" s="106"/>
      <c r="H31" s="109"/>
    </row>
    <row r="37" spans="1:8">
      <c r="A37" s="90"/>
      <c r="B37" s="90"/>
      <c r="C37" s="90"/>
      <c r="D37" s="90"/>
      <c r="E37" s="90"/>
      <c r="F37" s="90"/>
      <c r="G37" s="90"/>
      <c r="H37" s="90"/>
    </row>
    <row r="38" spans="1:8">
      <c r="A38" s="90"/>
      <c r="B38" s="90"/>
      <c r="C38" s="90"/>
      <c r="D38" s="90"/>
      <c r="E38" s="90"/>
      <c r="F38" s="90"/>
      <c r="G38" s="90"/>
      <c r="H38" s="90"/>
    </row>
  </sheetData>
  <printOptions horizontalCentered="1"/>
  <pageMargins left="0.83" right="0.75" top="1.51" bottom="1" header="0.511811024" footer="0.511811024"/>
  <pageSetup orientation="portrait" horizontalDpi="120" verticalDpi="14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7"/>
  <sheetViews>
    <sheetView topLeftCell="A25" workbookViewId="0">
      <selection activeCell="F42" sqref="F42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4.5703125" customWidth="1"/>
    <col min="5" max="5" width="5.5703125" customWidth="1"/>
    <col min="6" max="7" width="10.85546875" customWidth="1"/>
    <col min="8" max="8" width="1.42578125" customWidth="1"/>
  </cols>
  <sheetData>
    <row r="1" spans="1:8">
      <c r="A1" s="124"/>
      <c r="B1" s="124"/>
      <c r="C1" s="124"/>
      <c r="D1" s="169"/>
      <c r="E1" s="124"/>
      <c r="F1" s="124"/>
      <c r="G1" s="124"/>
      <c r="H1" s="124"/>
    </row>
    <row r="2" spans="1:8">
      <c r="A2" s="161"/>
      <c r="B2" s="162" t="s">
        <v>72</v>
      </c>
      <c r="C2" s="163"/>
      <c r="D2" s="163"/>
      <c r="E2" s="163"/>
      <c r="F2" s="163"/>
      <c r="G2" s="163"/>
      <c r="H2" s="165"/>
    </row>
    <row r="3" spans="1:8">
      <c r="A3" s="166"/>
      <c r="B3" s="167"/>
      <c r="C3" s="168"/>
      <c r="D3" s="169"/>
      <c r="E3" s="168"/>
      <c r="F3" s="168"/>
      <c r="G3" s="168"/>
      <c r="H3" s="171"/>
    </row>
    <row r="4" spans="1:8">
      <c r="A4" s="166"/>
      <c r="B4" s="153" t="s">
        <v>333</v>
      </c>
      <c r="C4" s="168"/>
      <c r="D4" s="169"/>
      <c r="E4" s="168"/>
      <c r="F4" s="168"/>
      <c r="G4" s="168"/>
      <c r="H4" s="171"/>
    </row>
    <row r="5" spans="1:8">
      <c r="A5" s="166"/>
      <c r="B5" s="191" t="s">
        <v>312</v>
      </c>
      <c r="C5" s="168"/>
      <c r="D5" s="169"/>
      <c r="E5" s="168"/>
      <c r="F5" s="168"/>
      <c r="G5" s="168"/>
      <c r="H5" s="171"/>
    </row>
    <row r="6" spans="1:8">
      <c r="A6" s="166"/>
      <c r="B6" s="124"/>
      <c r="C6" s="124"/>
      <c r="D6" s="169"/>
      <c r="E6" s="124"/>
      <c r="F6" s="124"/>
      <c r="G6" s="124"/>
      <c r="H6" s="171"/>
    </row>
    <row r="7" spans="1:8">
      <c r="A7" s="166"/>
      <c r="B7" s="174" t="s">
        <v>74</v>
      </c>
      <c r="C7" s="124"/>
      <c r="D7" s="175" t="s">
        <v>75</v>
      </c>
      <c r="E7" s="175" t="s">
        <v>71</v>
      </c>
      <c r="F7" s="175" t="s">
        <v>70</v>
      </c>
      <c r="G7" s="175" t="s">
        <v>76</v>
      </c>
      <c r="H7" s="171"/>
    </row>
    <row r="8" spans="1:8">
      <c r="A8" s="166"/>
      <c r="B8" s="177" t="s">
        <v>334</v>
      </c>
      <c r="C8" s="124"/>
      <c r="D8" s="175" t="s">
        <v>17</v>
      </c>
      <c r="E8" s="177">
        <v>1</v>
      </c>
      <c r="F8" s="178">
        <v>280000</v>
      </c>
      <c r="G8" s="178">
        <f t="shared" ref="G8:G14" si="0">+E8*F8</f>
        <v>280000</v>
      </c>
      <c r="H8" s="171"/>
    </row>
    <row r="9" spans="1:8">
      <c r="A9" s="166"/>
      <c r="B9" s="177" t="s">
        <v>269</v>
      </c>
      <c r="C9" s="124"/>
      <c r="D9" s="175" t="s">
        <v>222</v>
      </c>
      <c r="E9" s="231">
        <v>1E-3</v>
      </c>
      <c r="F9" s="178">
        <v>320000</v>
      </c>
      <c r="G9" s="178">
        <f t="shared" si="0"/>
        <v>320</v>
      </c>
      <c r="H9" s="171"/>
    </row>
    <row r="10" spans="1:8">
      <c r="A10" s="166"/>
      <c r="B10" s="177" t="s">
        <v>322</v>
      </c>
      <c r="C10" s="177"/>
      <c r="D10" s="175" t="s">
        <v>94</v>
      </c>
      <c r="E10" s="177">
        <v>0.7</v>
      </c>
      <c r="F10" s="178">
        <v>1250</v>
      </c>
      <c r="G10" s="178">
        <f t="shared" si="0"/>
        <v>875</v>
      </c>
      <c r="H10" s="171"/>
    </row>
    <row r="11" spans="1:8">
      <c r="A11" s="166"/>
      <c r="B11" s="177" t="s">
        <v>323</v>
      </c>
      <c r="C11" s="124"/>
      <c r="D11" s="175" t="s">
        <v>17</v>
      </c>
      <c r="E11" s="177">
        <v>1</v>
      </c>
      <c r="F11" s="178">
        <v>26000</v>
      </c>
      <c r="G11" s="178">
        <f t="shared" si="0"/>
        <v>26000</v>
      </c>
      <c r="H11" s="171"/>
    </row>
    <row r="12" spans="1:8">
      <c r="A12" s="166"/>
      <c r="B12" s="177" t="s">
        <v>324</v>
      </c>
      <c r="C12" s="124"/>
      <c r="D12" s="175" t="s">
        <v>17</v>
      </c>
      <c r="E12" s="177">
        <v>1</v>
      </c>
      <c r="F12" s="178">
        <v>11900</v>
      </c>
      <c r="G12" s="178">
        <f t="shared" si="0"/>
        <v>11900</v>
      </c>
      <c r="H12" s="171"/>
    </row>
    <row r="13" spans="1:8">
      <c r="A13" s="166"/>
      <c r="B13" s="177" t="s">
        <v>325</v>
      </c>
      <c r="C13" s="124"/>
      <c r="D13" s="175" t="s">
        <v>16</v>
      </c>
      <c r="E13" s="177">
        <v>1.2</v>
      </c>
      <c r="F13" s="178">
        <f>+'Punto hidrauico'!F8</f>
        <v>3483</v>
      </c>
      <c r="G13" s="178">
        <f t="shared" si="0"/>
        <v>4179.5999999999995</v>
      </c>
      <c r="H13" s="171"/>
    </row>
    <row r="14" spans="1:8" ht="15.75" thickBot="1">
      <c r="A14" s="166"/>
      <c r="B14" s="177" t="s">
        <v>326</v>
      </c>
      <c r="C14" s="124"/>
      <c r="D14" s="175" t="s">
        <v>17</v>
      </c>
      <c r="E14" s="177">
        <v>1</v>
      </c>
      <c r="F14" s="178">
        <v>5000</v>
      </c>
      <c r="G14" s="178">
        <f t="shared" si="0"/>
        <v>5000</v>
      </c>
      <c r="H14" s="171"/>
    </row>
    <row r="15" spans="1:8" ht="15.75" thickBot="1">
      <c r="A15" s="166"/>
      <c r="B15" s="124"/>
      <c r="C15" s="124"/>
      <c r="D15" s="169"/>
      <c r="E15" s="124"/>
      <c r="F15" s="181" t="s">
        <v>77</v>
      </c>
      <c r="G15" s="182">
        <f>SUM(G8:G14)</f>
        <v>328274.59999999998</v>
      </c>
      <c r="H15" s="171"/>
    </row>
    <row r="16" spans="1:8">
      <c r="A16" s="166"/>
      <c r="B16" s="124"/>
      <c r="C16" s="124"/>
      <c r="D16" s="169"/>
      <c r="E16" s="124"/>
      <c r="F16" s="181"/>
      <c r="G16" s="173"/>
      <c r="H16" s="171"/>
    </row>
    <row r="17" spans="1:8">
      <c r="A17" s="166"/>
      <c r="B17" s="174" t="s">
        <v>78</v>
      </c>
      <c r="C17" s="168"/>
      <c r="D17" s="175" t="s">
        <v>79</v>
      </c>
      <c r="E17" s="175"/>
      <c r="F17" s="183" t="s">
        <v>80</v>
      </c>
      <c r="G17" s="176" t="s">
        <v>76</v>
      </c>
      <c r="H17" s="171"/>
    </row>
    <row r="18" spans="1:8">
      <c r="A18" s="166"/>
      <c r="B18" s="177" t="s">
        <v>327</v>
      </c>
      <c r="C18" s="124"/>
      <c r="D18" s="175">
        <v>3</v>
      </c>
      <c r="E18" s="184"/>
      <c r="F18" s="185">
        <f>+'M.O.'!E4</f>
        <v>67666.666666666672</v>
      </c>
      <c r="G18" s="178">
        <f>+F18/D18</f>
        <v>22555.555555555558</v>
      </c>
      <c r="H18" s="171"/>
    </row>
    <row r="19" spans="1:8">
      <c r="A19" s="166"/>
      <c r="B19" s="177" t="s">
        <v>298</v>
      </c>
      <c r="C19" s="124"/>
      <c r="D19" s="175">
        <v>3</v>
      </c>
      <c r="E19" s="184"/>
      <c r="F19" s="185">
        <f>+'M.O.'!E46</f>
        <v>38666.666666666664</v>
      </c>
      <c r="G19" s="178">
        <f>+F19/D19</f>
        <v>12888.888888888889</v>
      </c>
      <c r="H19" s="171"/>
    </row>
    <row r="20" spans="1:8" ht="15.75" thickBot="1">
      <c r="A20" s="166"/>
      <c r="B20" s="177"/>
      <c r="C20" s="124"/>
      <c r="D20" s="175">
        <v>1</v>
      </c>
      <c r="E20" s="184"/>
      <c r="F20" s="185"/>
      <c r="G20" s="178">
        <f>+F20/D20</f>
        <v>0</v>
      </c>
      <c r="H20" s="171"/>
    </row>
    <row r="21" spans="1:8" ht="15.75" thickBot="1">
      <c r="A21" s="166"/>
      <c r="B21" s="124"/>
      <c r="C21" s="124"/>
      <c r="D21" s="169"/>
      <c r="E21" s="124"/>
      <c r="F21" s="181" t="s">
        <v>77</v>
      </c>
      <c r="G21" s="182">
        <f>SUM(G18:G20)</f>
        <v>35444.444444444445</v>
      </c>
      <c r="H21" s="171"/>
    </row>
    <row r="22" spans="1:8">
      <c r="A22" s="166"/>
      <c r="B22" s="124"/>
      <c r="C22" s="124"/>
      <c r="D22" s="169"/>
      <c r="E22" s="124"/>
      <c r="F22" s="173"/>
      <c r="G22" s="173"/>
      <c r="H22" s="171"/>
    </row>
    <row r="23" spans="1:8">
      <c r="A23" s="166"/>
      <c r="B23" s="177" t="s">
        <v>83</v>
      </c>
      <c r="C23" s="124"/>
      <c r="D23" s="169"/>
      <c r="E23" s="175" t="s">
        <v>79</v>
      </c>
      <c r="F23" s="176" t="s">
        <v>84</v>
      </c>
      <c r="G23" s="176" t="s">
        <v>76</v>
      </c>
      <c r="H23" s="171"/>
    </row>
    <row r="24" spans="1:8">
      <c r="A24" s="166"/>
      <c r="B24" s="177" t="s">
        <v>328</v>
      </c>
      <c r="C24" s="124"/>
      <c r="D24" s="169"/>
      <c r="E24" s="177">
        <v>1</v>
      </c>
      <c r="F24" s="178">
        <v>500</v>
      </c>
      <c r="G24" s="178">
        <f>+F24/E24</f>
        <v>500</v>
      </c>
      <c r="H24" s="171"/>
    </row>
    <row r="25" spans="1:8">
      <c r="A25" s="166"/>
      <c r="B25" s="177"/>
      <c r="C25" s="124"/>
      <c r="D25" s="169"/>
      <c r="E25" s="177">
        <v>1</v>
      </c>
      <c r="F25" s="178"/>
      <c r="G25" s="178">
        <f>+F25/E25</f>
        <v>0</v>
      </c>
      <c r="H25" s="171"/>
    </row>
    <row r="26" spans="1:8">
      <c r="A26" s="166"/>
      <c r="B26" s="177"/>
      <c r="C26" s="124"/>
      <c r="D26" s="169"/>
      <c r="E26" s="177"/>
      <c r="F26" s="178"/>
      <c r="G26" s="178">
        <v>0</v>
      </c>
      <c r="H26" s="171"/>
    </row>
    <row r="27" spans="1:8" ht="15.75" thickBot="1">
      <c r="A27" s="166"/>
      <c r="B27" s="177"/>
      <c r="C27" s="124"/>
      <c r="D27" s="169"/>
      <c r="E27" s="177"/>
      <c r="F27" s="178"/>
      <c r="G27" s="178">
        <v>0</v>
      </c>
      <c r="H27" s="171"/>
    </row>
    <row r="28" spans="1:8" ht="15.75" thickBot="1">
      <c r="A28" s="166"/>
      <c r="B28" s="124"/>
      <c r="C28" s="124"/>
      <c r="D28" s="169"/>
      <c r="E28" s="124"/>
      <c r="F28" s="181" t="s">
        <v>77</v>
      </c>
      <c r="G28" s="182">
        <f>SUM(G24:G27)</f>
        <v>500</v>
      </c>
      <c r="H28" s="171"/>
    </row>
    <row r="29" spans="1:8">
      <c r="A29" s="166"/>
      <c r="B29" s="124"/>
      <c r="C29" s="124"/>
      <c r="D29" s="169"/>
      <c r="E29" s="124"/>
      <c r="F29" s="173"/>
      <c r="G29" s="173"/>
      <c r="H29" s="171"/>
    </row>
    <row r="30" spans="1:8">
      <c r="A30" s="166"/>
      <c r="B30" s="177" t="s">
        <v>86</v>
      </c>
      <c r="C30" s="124"/>
      <c r="D30" s="169"/>
      <c r="E30" s="175" t="s">
        <v>71</v>
      </c>
      <c r="F30" s="176" t="s">
        <v>84</v>
      </c>
      <c r="G30" s="176" t="s">
        <v>76</v>
      </c>
      <c r="H30" s="171"/>
    </row>
    <row r="31" spans="1:8">
      <c r="A31" s="166"/>
      <c r="B31" s="177" t="s">
        <v>329</v>
      </c>
      <c r="C31" s="124"/>
      <c r="D31" s="169"/>
      <c r="E31" s="177">
        <v>1</v>
      </c>
      <c r="F31" s="178">
        <v>500</v>
      </c>
      <c r="G31" s="178">
        <f>+E31*F31</f>
        <v>500</v>
      </c>
      <c r="H31" s="171"/>
    </row>
    <row r="32" spans="1:8">
      <c r="A32" s="166"/>
      <c r="B32" s="177"/>
      <c r="C32" s="124"/>
      <c r="D32" s="169"/>
      <c r="E32" s="177"/>
      <c r="F32" s="178"/>
      <c r="G32" s="178">
        <f>+E32*F32</f>
        <v>0</v>
      </c>
      <c r="H32" s="171"/>
    </row>
    <row r="33" spans="1:8" ht="15.75" thickBot="1">
      <c r="A33" s="166"/>
      <c r="B33" s="177"/>
      <c r="C33" s="124"/>
      <c r="D33" s="169"/>
      <c r="E33" s="177"/>
      <c r="F33" s="178"/>
      <c r="G33" s="178">
        <f>+E33*F33</f>
        <v>0</v>
      </c>
      <c r="H33" s="171"/>
    </row>
    <row r="34" spans="1:8" ht="15.75" thickBot="1">
      <c r="A34" s="166"/>
      <c r="B34" s="124"/>
      <c r="C34" s="124"/>
      <c r="D34" s="169"/>
      <c r="E34" s="124"/>
      <c r="F34" s="181" t="s">
        <v>77</v>
      </c>
      <c r="G34" s="182">
        <f>SUM(G31:G33)</f>
        <v>500</v>
      </c>
      <c r="H34" s="171"/>
    </row>
    <row r="35" spans="1:8" ht="15.75" thickBot="1">
      <c r="A35" s="166"/>
      <c r="B35" s="124"/>
      <c r="C35" s="124"/>
      <c r="D35" s="169"/>
      <c r="E35" s="124"/>
      <c r="F35" s="173"/>
      <c r="G35" s="173"/>
      <c r="H35" s="171"/>
    </row>
    <row r="36" spans="1:8" ht="15.75" thickBot="1">
      <c r="A36" s="166"/>
      <c r="B36" s="124"/>
      <c r="C36" s="124"/>
      <c r="D36" s="169"/>
      <c r="E36" s="124"/>
      <c r="F36" s="181" t="s">
        <v>87</v>
      </c>
      <c r="G36" s="182">
        <f>+G15+G21+G34+G28</f>
        <v>364719.04444444441</v>
      </c>
      <c r="H36" s="171"/>
    </row>
    <row r="37" spans="1:8">
      <c r="A37" s="186"/>
      <c r="B37" s="187"/>
      <c r="C37" s="187"/>
      <c r="D37" s="188"/>
      <c r="E37" s="187"/>
      <c r="F37" s="187"/>
      <c r="G37" s="187"/>
      <c r="H37" s="19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"/>
  <sheetViews>
    <sheetView topLeftCell="A25" workbookViewId="0">
      <selection activeCell="J37" sqref="J37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4.5703125" customWidth="1"/>
    <col min="5" max="5" width="5.5703125" customWidth="1"/>
    <col min="6" max="7" width="10.85546875" customWidth="1"/>
    <col min="8" max="8" width="1.42578125" customWidth="1"/>
  </cols>
  <sheetData>
    <row r="1" spans="1:8">
      <c r="A1" s="124"/>
      <c r="B1" s="124"/>
      <c r="C1" s="124"/>
      <c r="D1" s="169"/>
      <c r="E1" s="124"/>
      <c r="F1" s="124"/>
      <c r="G1" s="124"/>
      <c r="H1" s="124"/>
    </row>
    <row r="2" spans="1:8">
      <c r="A2" s="161"/>
      <c r="B2" s="162" t="s">
        <v>72</v>
      </c>
      <c r="C2" s="163"/>
      <c r="D2" s="163"/>
      <c r="E2" s="163"/>
      <c r="F2" s="163"/>
      <c r="G2" s="163"/>
      <c r="H2" s="165"/>
    </row>
    <row r="3" spans="1:8">
      <c r="A3" s="166"/>
      <c r="B3" s="167"/>
      <c r="C3" s="168"/>
      <c r="D3" s="169"/>
      <c r="E3" s="168"/>
      <c r="F3" s="168"/>
      <c r="G3" s="168"/>
      <c r="H3" s="171"/>
    </row>
    <row r="4" spans="1:8">
      <c r="A4" s="166"/>
      <c r="B4" s="153" t="s">
        <v>331</v>
      </c>
      <c r="C4" s="168"/>
      <c r="D4" s="169"/>
      <c r="E4" s="168"/>
      <c r="F4" s="168"/>
      <c r="G4" s="168"/>
      <c r="H4" s="171"/>
    </row>
    <row r="5" spans="1:8">
      <c r="A5" s="166"/>
      <c r="B5" s="191" t="s">
        <v>312</v>
      </c>
      <c r="C5" s="168"/>
      <c r="D5" s="169"/>
      <c r="E5" s="168"/>
      <c r="F5" s="168"/>
      <c r="G5" s="168"/>
      <c r="H5" s="171"/>
    </row>
    <row r="6" spans="1:8">
      <c r="A6" s="166"/>
      <c r="B6" s="124"/>
      <c r="C6" s="124"/>
      <c r="D6" s="169"/>
      <c r="E6" s="124"/>
      <c r="F6" s="124"/>
      <c r="G6" s="124"/>
      <c r="H6" s="171"/>
    </row>
    <row r="7" spans="1:8">
      <c r="A7" s="166"/>
      <c r="B7" s="174" t="s">
        <v>74</v>
      </c>
      <c r="C7" s="124"/>
      <c r="D7" s="175" t="s">
        <v>75</v>
      </c>
      <c r="E7" s="175" t="s">
        <v>71</v>
      </c>
      <c r="F7" s="175" t="s">
        <v>70</v>
      </c>
      <c r="G7" s="175" t="s">
        <v>76</v>
      </c>
      <c r="H7" s="171"/>
    </row>
    <row r="8" spans="1:8">
      <c r="A8" s="166"/>
      <c r="B8" s="177" t="s">
        <v>321</v>
      </c>
      <c r="C8" s="124"/>
      <c r="D8" s="175" t="s">
        <v>17</v>
      </c>
      <c r="E8" s="177">
        <v>1</v>
      </c>
      <c r="F8" s="178">
        <v>230000</v>
      </c>
      <c r="G8" s="178">
        <f t="shared" ref="G8:G14" si="0">+E8*F8</f>
        <v>230000</v>
      </c>
      <c r="H8" s="171"/>
    </row>
    <row r="9" spans="1:8">
      <c r="A9" s="166"/>
      <c r="B9" s="177" t="s">
        <v>269</v>
      </c>
      <c r="C9" s="124"/>
      <c r="D9" s="175" t="s">
        <v>222</v>
      </c>
      <c r="E9" s="231">
        <v>1E-3</v>
      </c>
      <c r="F9" s="178">
        <v>320000</v>
      </c>
      <c r="G9" s="178">
        <f t="shared" si="0"/>
        <v>320</v>
      </c>
      <c r="H9" s="171"/>
    </row>
    <row r="10" spans="1:8">
      <c r="A10" s="166"/>
      <c r="B10" s="177" t="s">
        <v>322</v>
      </c>
      <c r="C10" s="177"/>
      <c r="D10" s="175" t="s">
        <v>94</v>
      </c>
      <c r="E10" s="177">
        <v>0.7</v>
      </c>
      <c r="F10" s="178">
        <v>1250</v>
      </c>
      <c r="G10" s="178">
        <f t="shared" si="0"/>
        <v>875</v>
      </c>
      <c r="H10" s="171"/>
    </row>
    <row r="11" spans="1:8">
      <c r="A11" s="166"/>
      <c r="B11" s="177" t="s">
        <v>323</v>
      </c>
      <c r="C11" s="124"/>
      <c r="D11" s="175" t="s">
        <v>17</v>
      </c>
      <c r="E11" s="177">
        <v>1</v>
      </c>
      <c r="F11" s="178">
        <v>26000</v>
      </c>
      <c r="G11" s="178">
        <f t="shared" si="0"/>
        <v>26000</v>
      </c>
      <c r="H11" s="171"/>
    </row>
    <row r="12" spans="1:8">
      <c r="A12" s="166"/>
      <c r="B12" s="177" t="s">
        <v>324</v>
      </c>
      <c r="C12" s="124"/>
      <c r="D12" s="175" t="s">
        <v>17</v>
      </c>
      <c r="E12" s="177">
        <v>1</v>
      </c>
      <c r="F12" s="178">
        <v>11900</v>
      </c>
      <c r="G12" s="178">
        <f t="shared" si="0"/>
        <v>11900</v>
      </c>
      <c r="H12" s="171"/>
    </row>
    <row r="13" spans="1:8">
      <c r="A13" s="166"/>
      <c r="B13" s="177" t="s">
        <v>325</v>
      </c>
      <c r="C13" s="124"/>
      <c r="D13" s="175" t="s">
        <v>16</v>
      </c>
      <c r="E13" s="177">
        <v>1.2</v>
      </c>
      <c r="F13" s="178">
        <f>+'Punto hidrauico'!F8</f>
        <v>3483</v>
      </c>
      <c r="G13" s="178">
        <f t="shared" si="0"/>
        <v>4179.5999999999995</v>
      </c>
      <c r="H13" s="171"/>
    </row>
    <row r="14" spans="1:8" ht="15.75" thickBot="1">
      <c r="A14" s="166"/>
      <c r="B14" s="177" t="s">
        <v>326</v>
      </c>
      <c r="C14" s="124"/>
      <c r="D14" s="175" t="s">
        <v>17</v>
      </c>
      <c r="E14" s="177">
        <v>1</v>
      </c>
      <c r="F14" s="178">
        <v>5000</v>
      </c>
      <c r="G14" s="178">
        <f t="shared" si="0"/>
        <v>5000</v>
      </c>
      <c r="H14" s="171"/>
    </row>
    <row r="15" spans="1:8" ht="15.75" thickBot="1">
      <c r="A15" s="166"/>
      <c r="B15" s="124"/>
      <c r="C15" s="124"/>
      <c r="D15" s="169"/>
      <c r="E15" s="124"/>
      <c r="F15" s="181" t="s">
        <v>77</v>
      </c>
      <c r="G15" s="182">
        <f>SUM(G8:G14)</f>
        <v>278274.59999999998</v>
      </c>
      <c r="H15" s="171"/>
    </row>
    <row r="16" spans="1:8">
      <c r="A16" s="166"/>
      <c r="B16" s="124"/>
      <c r="C16" s="124"/>
      <c r="D16" s="169"/>
      <c r="E16" s="124"/>
      <c r="F16" s="181"/>
      <c r="G16" s="173"/>
      <c r="H16" s="171"/>
    </row>
    <row r="17" spans="1:8">
      <c r="A17" s="166"/>
      <c r="B17" s="174" t="s">
        <v>78</v>
      </c>
      <c r="C17" s="168"/>
      <c r="D17" s="175" t="s">
        <v>79</v>
      </c>
      <c r="E17" s="175"/>
      <c r="F17" s="183" t="s">
        <v>80</v>
      </c>
      <c r="G17" s="176" t="s">
        <v>76</v>
      </c>
      <c r="H17" s="171"/>
    </row>
    <row r="18" spans="1:8">
      <c r="A18" s="166"/>
      <c r="B18" s="177" t="s">
        <v>327</v>
      </c>
      <c r="C18" s="124"/>
      <c r="D18" s="175">
        <v>3</v>
      </c>
      <c r="E18" s="184"/>
      <c r="F18" s="185">
        <f>+'M.O.'!E4</f>
        <v>67666.666666666672</v>
      </c>
      <c r="G18" s="178">
        <f>+F18/D18</f>
        <v>22555.555555555558</v>
      </c>
      <c r="H18" s="171"/>
    </row>
    <row r="19" spans="1:8">
      <c r="A19" s="166"/>
      <c r="B19" s="177" t="s">
        <v>298</v>
      </c>
      <c r="C19" s="124"/>
      <c r="D19" s="175">
        <v>3</v>
      </c>
      <c r="E19" s="184"/>
      <c r="F19" s="185">
        <f>+'M.O.'!E46</f>
        <v>38666.666666666664</v>
      </c>
      <c r="G19" s="178">
        <f>+F19/D19</f>
        <v>12888.888888888889</v>
      </c>
      <c r="H19" s="171"/>
    </row>
    <row r="20" spans="1:8" ht="15.75" thickBot="1">
      <c r="A20" s="166"/>
      <c r="B20" s="177"/>
      <c r="C20" s="124"/>
      <c r="D20" s="175">
        <v>1</v>
      </c>
      <c r="E20" s="184"/>
      <c r="F20" s="185"/>
      <c r="G20" s="178">
        <f>+F20/D20</f>
        <v>0</v>
      </c>
      <c r="H20" s="171"/>
    </row>
    <row r="21" spans="1:8" ht="15.75" thickBot="1">
      <c r="A21" s="166"/>
      <c r="B21" s="124"/>
      <c r="C21" s="124"/>
      <c r="D21" s="169"/>
      <c r="E21" s="124"/>
      <c r="F21" s="181" t="s">
        <v>77</v>
      </c>
      <c r="G21" s="182">
        <f>SUM(G18:G20)</f>
        <v>35444.444444444445</v>
      </c>
      <c r="H21" s="171"/>
    </row>
    <row r="22" spans="1:8">
      <c r="A22" s="166"/>
      <c r="B22" s="124"/>
      <c r="C22" s="124"/>
      <c r="D22" s="169"/>
      <c r="E22" s="124"/>
      <c r="F22" s="173"/>
      <c r="G22" s="173"/>
      <c r="H22" s="171"/>
    </row>
    <row r="23" spans="1:8">
      <c r="A23" s="166"/>
      <c r="B23" s="177" t="s">
        <v>83</v>
      </c>
      <c r="C23" s="124"/>
      <c r="D23" s="169"/>
      <c r="E23" s="175" t="s">
        <v>79</v>
      </c>
      <c r="F23" s="176" t="s">
        <v>84</v>
      </c>
      <c r="G23" s="176" t="s">
        <v>76</v>
      </c>
      <c r="H23" s="171"/>
    </row>
    <row r="24" spans="1:8">
      <c r="A24" s="166"/>
      <c r="B24" s="177" t="s">
        <v>328</v>
      </c>
      <c r="C24" s="124"/>
      <c r="D24" s="169"/>
      <c r="E24" s="177">
        <v>1</v>
      </c>
      <c r="F24" s="178">
        <v>500</v>
      </c>
      <c r="G24" s="178">
        <f>+F24/E24</f>
        <v>500</v>
      </c>
      <c r="H24" s="171"/>
    </row>
    <row r="25" spans="1:8">
      <c r="A25" s="166"/>
      <c r="B25" s="177"/>
      <c r="C25" s="124"/>
      <c r="D25" s="169"/>
      <c r="E25" s="177">
        <v>1</v>
      </c>
      <c r="F25" s="178"/>
      <c r="G25" s="178">
        <f>+F25/E25</f>
        <v>0</v>
      </c>
      <c r="H25" s="171"/>
    </row>
    <row r="26" spans="1:8">
      <c r="A26" s="166"/>
      <c r="B26" s="177"/>
      <c r="C26" s="124"/>
      <c r="D26" s="169"/>
      <c r="E26" s="177"/>
      <c r="F26" s="178"/>
      <c r="G26" s="178">
        <v>0</v>
      </c>
      <c r="H26" s="171"/>
    </row>
    <row r="27" spans="1:8" ht="15.75" thickBot="1">
      <c r="A27" s="166"/>
      <c r="B27" s="177"/>
      <c r="C27" s="124"/>
      <c r="D27" s="169"/>
      <c r="E27" s="177"/>
      <c r="F27" s="178"/>
      <c r="G27" s="178">
        <v>0</v>
      </c>
      <c r="H27" s="171"/>
    </row>
    <row r="28" spans="1:8" ht="15.75" thickBot="1">
      <c r="A28" s="166"/>
      <c r="B28" s="124"/>
      <c r="C28" s="124"/>
      <c r="D28" s="169"/>
      <c r="E28" s="124"/>
      <c r="F28" s="181" t="s">
        <v>77</v>
      </c>
      <c r="G28" s="182">
        <f>SUM(G24:G27)</f>
        <v>500</v>
      </c>
      <c r="H28" s="171"/>
    </row>
    <row r="29" spans="1:8">
      <c r="A29" s="166"/>
      <c r="B29" s="124"/>
      <c r="C29" s="124"/>
      <c r="D29" s="169"/>
      <c r="E29" s="124"/>
      <c r="F29" s="173"/>
      <c r="G29" s="173"/>
      <c r="H29" s="171"/>
    </row>
    <row r="30" spans="1:8">
      <c r="A30" s="166"/>
      <c r="B30" s="177" t="s">
        <v>86</v>
      </c>
      <c r="C30" s="124"/>
      <c r="D30" s="169"/>
      <c r="E30" s="175" t="s">
        <v>71</v>
      </c>
      <c r="F30" s="176" t="s">
        <v>84</v>
      </c>
      <c r="G30" s="176" t="s">
        <v>76</v>
      </c>
      <c r="H30" s="171"/>
    </row>
    <row r="31" spans="1:8">
      <c r="A31" s="166"/>
      <c r="B31" s="177" t="s">
        <v>329</v>
      </c>
      <c r="C31" s="124"/>
      <c r="D31" s="169"/>
      <c r="E31" s="177">
        <v>1</v>
      </c>
      <c r="F31" s="178">
        <v>500</v>
      </c>
      <c r="G31" s="178">
        <f>+E31*F31</f>
        <v>500</v>
      </c>
      <c r="H31" s="171"/>
    </row>
    <row r="32" spans="1:8">
      <c r="A32" s="166"/>
      <c r="B32" s="177"/>
      <c r="C32" s="124"/>
      <c r="D32" s="169"/>
      <c r="E32" s="177"/>
      <c r="F32" s="178"/>
      <c r="G32" s="178">
        <f>+E32*F32</f>
        <v>0</v>
      </c>
      <c r="H32" s="171"/>
    </row>
    <row r="33" spans="1:8" ht="15.75" thickBot="1">
      <c r="A33" s="166"/>
      <c r="B33" s="177"/>
      <c r="C33" s="124"/>
      <c r="D33" s="169"/>
      <c r="E33" s="177"/>
      <c r="F33" s="178"/>
      <c r="G33" s="178">
        <f>+E33*F33</f>
        <v>0</v>
      </c>
      <c r="H33" s="171"/>
    </row>
    <row r="34" spans="1:8" ht="15.75" thickBot="1">
      <c r="A34" s="166"/>
      <c r="B34" s="124"/>
      <c r="C34" s="124"/>
      <c r="D34" s="169"/>
      <c r="E34" s="124"/>
      <c r="F34" s="181" t="s">
        <v>77</v>
      </c>
      <c r="G34" s="182">
        <f>SUM(G31:G33)</f>
        <v>500</v>
      </c>
      <c r="H34" s="171"/>
    </row>
    <row r="35" spans="1:8" ht="15.75" thickBot="1">
      <c r="A35" s="166"/>
      <c r="B35" s="124"/>
      <c r="C35" s="124"/>
      <c r="D35" s="169"/>
      <c r="E35" s="124"/>
      <c r="F35" s="173"/>
      <c r="G35" s="173"/>
      <c r="H35" s="171"/>
    </row>
    <row r="36" spans="1:8" ht="15.75" thickBot="1">
      <c r="A36" s="166"/>
      <c r="B36" s="124"/>
      <c r="C36" s="124"/>
      <c r="D36" s="169"/>
      <c r="E36" s="124"/>
      <c r="F36" s="181" t="s">
        <v>87</v>
      </c>
      <c r="G36" s="182">
        <f>+G15+G21+G34+G28</f>
        <v>314719.04444444441</v>
      </c>
      <c r="H36" s="171"/>
    </row>
    <row r="37" spans="1:8">
      <c r="A37" s="186"/>
      <c r="B37" s="187"/>
      <c r="C37" s="187"/>
      <c r="D37" s="188"/>
      <c r="E37" s="187"/>
      <c r="F37" s="187"/>
      <c r="G37" s="187"/>
      <c r="H37" s="19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5"/>
  <sheetViews>
    <sheetView topLeftCell="A26" workbookViewId="0">
      <selection activeCell="F9" sqref="F9"/>
    </sheetView>
  </sheetViews>
  <sheetFormatPr baseColWidth="10" defaultRowHeight="15"/>
  <cols>
    <col min="1" max="1" width="1.42578125" customWidth="1"/>
    <col min="2" max="2" width="40.42578125" customWidth="1"/>
    <col min="3" max="3" width="1.28515625" customWidth="1"/>
    <col min="4" max="4" width="4.5703125" customWidth="1"/>
    <col min="5" max="5" width="5" customWidth="1"/>
    <col min="6" max="7" width="10.85546875" customWidth="1"/>
    <col min="8" max="8" width="1.42578125" customWidth="1"/>
  </cols>
  <sheetData>
    <row r="1" spans="1:8">
      <c r="A1" s="124"/>
      <c r="B1" s="124"/>
      <c r="C1" s="124"/>
      <c r="D1" s="169"/>
      <c r="E1" s="124"/>
      <c r="F1" s="124"/>
      <c r="G1" s="124"/>
      <c r="H1" s="124"/>
    </row>
    <row r="2" spans="1:8">
      <c r="A2" s="161"/>
      <c r="B2" s="162" t="s">
        <v>72</v>
      </c>
      <c r="C2" s="163"/>
      <c r="D2" s="163"/>
      <c r="E2" s="163"/>
      <c r="F2" s="163"/>
      <c r="G2" s="163"/>
      <c r="H2" s="165"/>
    </row>
    <row r="3" spans="1:8">
      <c r="A3" s="166"/>
      <c r="B3" s="167"/>
      <c r="C3" s="168"/>
      <c r="D3" s="169"/>
      <c r="E3" s="168"/>
      <c r="F3" s="168"/>
      <c r="G3" s="168"/>
      <c r="H3" s="171"/>
    </row>
    <row r="4" spans="1:8">
      <c r="A4" s="166"/>
      <c r="B4" s="153" t="s">
        <v>319</v>
      </c>
      <c r="C4" s="168"/>
      <c r="D4" s="169"/>
      <c r="E4" s="168"/>
      <c r="F4" s="168"/>
      <c r="G4" s="168"/>
      <c r="H4" s="171"/>
    </row>
    <row r="5" spans="1:8">
      <c r="A5" s="166"/>
      <c r="B5" s="191" t="s">
        <v>312</v>
      </c>
      <c r="C5" s="168"/>
      <c r="D5" s="169"/>
      <c r="E5" s="168"/>
      <c r="F5" s="168"/>
      <c r="G5" s="168"/>
      <c r="H5" s="171"/>
    </row>
    <row r="6" spans="1:8">
      <c r="A6" s="166"/>
      <c r="B6" s="124"/>
      <c r="C6" s="124"/>
      <c r="D6" s="169"/>
      <c r="E6" s="124"/>
      <c r="F6" s="124"/>
      <c r="G6" s="124"/>
      <c r="H6" s="171"/>
    </row>
    <row r="7" spans="1:8">
      <c r="A7" s="166"/>
      <c r="B7" s="174" t="s">
        <v>74</v>
      </c>
      <c r="C7" s="124"/>
      <c r="D7" s="175" t="s">
        <v>75</v>
      </c>
      <c r="E7" s="175" t="s">
        <v>71</v>
      </c>
      <c r="F7" s="175" t="s">
        <v>70</v>
      </c>
      <c r="G7" s="175" t="s">
        <v>76</v>
      </c>
      <c r="H7" s="171"/>
    </row>
    <row r="8" spans="1:8">
      <c r="A8" s="166"/>
      <c r="B8" s="177" t="s">
        <v>313</v>
      </c>
      <c r="C8" s="124"/>
      <c r="D8" s="175" t="s">
        <v>17</v>
      </c>
      <c r="E8" s="177">
        <v>1</v>
      </c>
      <c r="F8" s="178">
        <v>140000</v>
      </c>
      <c r="G8" s="178">
        <f>+E8*F8</f>
        <v>140000</v>
      </c>
      <c r="H8" s="171"/>
    </row>
    <row r="9" spans="1:8">
      <c r="A9" s="166"/>
      <c r="B9" s="177" t="s">
        <v>314</v>
      </c>
      <c r="C9" s="124"/>
      <c r="D9" s="175" t="s">
        <v>17</v>
      </c>
      <c r="E9" s="177">
        <v>1</v>
      </c>
      <c r="F9" s="178">
        <v>70000</v>
      </c>
      <c r="G9" s="178">
        <f>+E9*F9</f>
        <v>70000</v>
      </c>
      <c r="H9" s="171"/>
    </row>
    <row r="10" spans="1:8">
      <c r="A10" s="166"/>
      <c r="B10" s="177" t="s">
        <v>315</v>
      </c>
      <c r="C10" s="177"/>
      <c r="D10" s="175" t="s">
        <v>17</v>
      </c>
      <c r="E10" s="177">
        <v>1</v>
      </c>
      <c r="F10" s="178">
        <v>500</v>
      </c>
      <c r="G10" s="178">
        <f>+E10*F10</f>
        <v>500</v>
      </c>
      <c r="H10" s="171"/>
    </row>
    <row r="11" spans="1:8">
      <c r="A11" s="166"/>
      <c r="B11" s="177" t="s">
        <v>316</v>
      </c>
      <c r="C11" s="124"/>
      <c r="D11" s="175" t="s">
        <v>17</v>
      </c>
      <c r="E11" s="177">
        <v>1</v>
      </c>
      <c r="F11" s="178">
        <v>4000</v>
      </c>
      <c r="G11" s="178">
        <f>+E11*F11</f>
        <v>4000</v>
      </c>
      <c r="H11" s="171"/>
    </row>
    <row r="12" spans="1:8" ht="15.75" thickBot="1">
      <c r="A12" s="166"/>
      <c r="B12" s="177" t="s">
        <v>317</v>
      </c>
      <c r="C12" s="124"/>
      <c r="D12" s="175" t="s">
        <v>17</v>
      </c>
      <c r="E12" s="177">
        <v>1</v>
      </c>
      <c r="F12" s="178">
        <v>5000</v>
      </c>
      <c r="G12" s="178">
        <f>+E12*F12</f>
        <v>5000</v>
      </c>
      <c r="H12" s="171"/>
    </row>
    <row r="13" spans="1:8" ht="15.75" thickBot="1">
      <c r="A13" s="166"/>
      <c r="B13" s="124"/>
      <c r="C13" s="124"/>
      <c r="D13" s="169"/>
      <c r="E13" s="124"/>
      <c r="F13" s="181" t="s">
        <v>77</v>
      </c>
      <c r="G13" s="182">
        <f>SUM(G8:G12)</f>
        <v>219500</v>
      </c>
      <c r="H13" s="171"/>
    </row>
    <row r="14" spans="1:8">
      <c r="A14" s="166"/>
      <c r="B14" s="124"/>
      <c r="C14" s="124"/>
      <c r="D14" s="169"/>
      <c r="E14" s="124"/>
      <c r="F14" s="181"/>
      <c r="G14" s="173"/>
      <c r="H14" s="171"/>
    </row>
    <row r="15" spans="1:8">
      <c r="A15" s="166"/>
      <c r="B15" s="174" t="s">
        <v>78</v>
      </c>
      <c r="C15" s="168"/>
      <c r="D15" s="175" t="s">
        <v>79</v>
      </c>
      <c r="E15" s="175"/>
      <c r="F15" s="183" t="s">
        <v>80</v>
      </c>
      <c r="G15" s="176" t="s">
        <v>76</v>
      </c>
      <c r="H15" s="171"/>
    </row>
    <row r="16" spans="1:8">
      <c r="A16" s="166"/>
      <c r="B16" s="177" t="s">
        <v>318</v>
      </c>
      <c r="C16" s="124"/>
      <c r="D16" s="175">
        <v>4</v>
      </c>
      <c r="E16" s="184"/>
      <c r="F16" s="185">
        <f>+'M.O.'!E4</f>
        <v>67666.666666666672</v>
      </c>
      <c r="G16" s="178">
        <f>+F16/D16</f>
        <v>16916.666666666668</v>
      </c>
      <c r="H16" s="171"/>
    </row>
    <row r="17" spans="1:8">
      <c r="A17" s="166"/>
      <c r="B17" s="177" t="s">
        <v>239</v>
      </c>
      <c r="C17" s="124"/>
      <c r="D17" s="175">
        <v>4</v>
      </c>
      <c r="E17" s="184"/>
      <c r="F17" s="185">
        <f>+'M.O.'!E46</f>
        <v>38666.666666666664</v>
      </c>
      <c r="G17" s="178">
        <f>+F17/D17</f>
        <v>9666.6666666666661</v>
      </c>
      <c r="H17" s="171"/>
    </row>
    <row r="18" spans="1:8" ht="15.75" thickBot="1">
      <c r="A18" s="166"/>
      <c r="B18" s="177"/>
      <c r="C18" s="124"/>
      <c r="D18" s="175">
        <v>1</v>
      </c>
      <c r="E18" s="184"/>
      <c r="F18" s="185"/>
      <c r="G18" s="178">
        <f>+F18/D18</f>
        <v>0</v>
      </c>
      <c r="H18" s="171"/>
    </row>
    <row r="19" spans="1:8" ht="15.75" thickBot="1">
      <c r="A19" s="166"/>
      <c r="B19" s="124"/>
      <c r="C19" s="124"/>
      <c r="D19" s="169"/>
      <c r="E19" s="124"/>
      <c r="F19" s="181" t="s">
        <v>77</v>
      </c>
      <c r="G19" s="182">
        <f>SUM(G16:G18)</f>
        <v>26583.333333333336</v>
      </c>
      <c r="H19" s="171"/>
    </row>
    <row r="20" spans="1:8">
      <c r="A20" s="166"/>
      <c r="B20" s="124"/>
      <c r="C20" s="124"/>
      <c r="D20" s="169"/>
      <c r="E20" s="124"/>
      <c r="F20" s="173"/>
      <c r="G20" s="173"/>
      <c r="H20" s="171"/>
    </row>
    <row r="21" spans="1:8">
      <c r="A21" s="166"/>
      <c r="B21" s="177" t="s">
        <v>83</v>
      </c>
      <c r="C21" s="124"/>
      <c r="D21" s="169"/>
      <c r="E21" s="175" t="s">
        <v>79</v>
      </c>
      <c r="F21" s="176" t="s">
        <v>84</v>
      </c>
      <c r="G21" s="176" t="s">
        <v>76</v>
      </c>
      <c r="H21" s="171"/>
    </row>
    <row r="22" spans="1:8">
      <c r="A22" s="166"/>
      <c r="B22" s="177" t="s">
        <v>102</v>
      </c>
      <c r="C22" s="124"/>
      <c r="D22" s="169"/>
      <c r="E22" s="177">
        <v>1</v>
      </c>
      <c r="F22" s="178">
        <v>500</v>
      </c>
      <c r="G22" s="178">
        <f>+F22/E22</f>
        <v>500</v>
      </c>
      <c r="H22" s="171"/>
    </row>
    <row r="23" spans="1:8">
      <c r="A23" s="166"/>
      <c r="B23" s="177"/>
      <c r="C23" s="124"/>
      <c r="D23" s="169"/>
      <c r="E23" s="177">
        <v>1</v>
      </c>
      <c r="F23" s="178"/>
      <c r="G23" s="178">
        <f>+F23/E23</f>
        <v>0</v>
      </c>
      <c r="H23" s="171"/>
    </row>
    <row r="24" spans="1:8">
      <c r="A24" s="166"/>
      <c r="B24" s="177"/>
      <c r="C24" s="124"/>
      <c r="D24" s="169"/>
      <c r="E24" s="177"/>
      <c r="F24" s="178"/>
      <c r="G24" s="178">
        <v>0</v>
      </c>
      <c r="H24" s="171"/>
    </row>
    <row r="25" spans="1:8" ht="15.75" thickBot="1">
      <c r="A25" s="166"/>
      <c r="B25" s="177"/>
      <c r="C25" s="124"/>
      <c r="D25" s="169"/>
      <c r="E25" s="177"/>
      <c r="F25" s="178"/>
      <c r="G25" s="178">
        <v>0</v>
      </c>
      <c r="H25" s="171"/>
    </row>
    <row r="26" spans="1:8" ht="15.75" thickBot="1">
      <c r="A26" s="166"/>
      <c r="B26" s="124"/>
      <c r="C26" s="124"/>
      <c r="D26" s="169"/>
      <c r="E26" s="124"/>
      <c r="F26" s="181" t="s">
        <v>77</v>
      </c>
      <c r="G26" s="182">
        <f>SUM(G22:G25)</f>
        <v>500</v>
      </c>
      <c r="H26" s="171"/>
    </row>
    <row r="27" spans="1:8">
      <c r="A27" s="166"/>
      <c r="B27" s="124"/>
      <c r="C27" s="124"/>
      <c r="D27" s="169"/>
      <c r="E27" s="124"/>
      <c r="F27" s="173"/>
      <c r="G27" s="173"/>
      <c r="H27" s="171"/>
    </row>
    <row r="28" spans="1:8">
      <c r="A28" s="166"/>
      <c r="B28" s="177" t="s">
        <v>86</v>
      </c>
      <c r="C28" s="124"/>
      <c r="D28" s="169"/>
      <c r="E28" s="175" t="s">
        <v>71</v>
      </c>
      <c r="F28" s="176" t="s">
        <v>84</v>
      </c>
      <c r="G28" s="176" t="s">
        <v>76</v>
      </c>
      <c r="H28" s="171"/>
    </row>
    <row r="29" spans="1:8">
      <c r="A29" s="166"/>
      <c r="B29" s="177" t="s">
        <v>86</v>
      </c>
      <c r="C29" s="124"/>
      <c r="D29" s="169"/>
      <c r="E29" s="177">
        <v>1</v>
      </c>
      <c r="F29" s="178">
        <v>200</v>
      </c>
      <c r="G29" s="178">
        <f>+E29*F29</f>
        <v>200</v>
      </c>
      <c r="H29" s="171"/>
    </row>
    <row r="30" spans="1:8">
      <c r="A30" s="166"/>
      <c r="B30" s="177"/>
      <c r="C30" s="124"/>
      <c r="D30" s="169"/>
      <c r="E30" s="177"/>
      <c r="F30" s="178"/>
      <c r="G30" s="178">
        <f>+E30*F30</f>
        <v>0</v>
      </c>
      <c r="H30" s="171"/>
    </row>
    <row r="31" spans="1:8" ht="15.75" thickBot="1">
      <c r="A31" s="166"/>
      <c r="B31" s="177"/>
      <c r="C31" s="124"/>
      <c r="D31" s="169"/>
      <c r="E31" s="177"/>
      <c r="F31" s="178"/>
      <c r="G31" s="178">
        <f>+E31*F31</f>
        <v>0</v>
      </c>
      <c r="H31" s="171"/>
    </row>
    <row r="32" spans="1:8" ht="15.75" thickBot="1">
      <c r="A32" s="166"/>
      <c r="B32" s="124"/>
      <c r="C32" s="124"/>
      <c r="D32" s="169"/>
      <c r="E32" s="124"/>
      <c r="F32" s="181" t="s">
        <v>77</v>
      </c>
      <c r="G32" s="182">
        <f>SUM(G29:G31)</f>
        <v>200</v>
      </c>
      <c r="H32" s="171"/>
    </row>
    <row r="33" spans="1:8" ht="15.75" thickBot="1">
      <c r="A33" s="166"/>
      <c r="B33" s="124"/>
      <c r="C33" s="124"/>
      <c r="D33" s="169"/>
      <c r="E33" s="124"/>
      <c r="F33" s="173"/>
      <c r="G33" s="173"/>
      <c r="H33" s="171"/>
    </row>
    <row r="34" spans="1:8" ht="15.75" thickBot="1">
      <c r="A34" s="166"/>
      <c r="B34" s="124"/>
      <c r="C34" s="124"/>
      <c r="D34" s="169"/>
      <c r="E34" s="124"/>
      <c r="F34" s="181" t="s">
        <v>87</v>
      </c>
      <c r="G34" s="182">
        <f>+G13+G19+G32+G26</f>
        <v>246783.33333333334</v>
      </c>
      <c r="H34" s="171"/>
    </row>
    <row r="35" spans="1:8">
      <c r="A35" s="186"/>
      <c r="B35" s="187"/>
      <c r="C35" s="187"/>
      <c r="D35" s="188"/>
      <c r="E35" s="187"/>
      <c r="F35" s="187"/>
      <c r="G35" s="187"/>
      <c r="H35" s="19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8"/>
  <sheetViews>
    <sheetView topLeftCell="A13" zoomScaleNormal="100" workbookViewId="0">
      <selection activeCell="D15" sqref="D15"/>
    </sheetView>
  </sheetViews>
  <sheetFormatPr baseColWidth="10" defaultRowHeight="12.75"/>
  <cols>
    <col min="1" max="1" width="2.42578125" style="87" customWidth="1"/>
    <col min="2" max="2" width="40.42578125" style="87" customWidth="1"/>
    <col min="3" max="3" width="1.28515625" style="87" customWidth="1"/>
    <col min="4" max="4" width="4.5703125" style="91" customWidth="1"/>
    <col min="5" max="5" width="5" style="87" customWidth="1"/>
    <col min="6" max="6" width="10.85546875" style="87" customWidth="1"/>
    <col min="7" max="7" width="12.28515625" style="87" customWidth="1"/>
    <col min="8" max="8" width="3.140625" style="87" customWidth="1"/>
    <col min="9" max="256" width="11.42578125" style="87"/>
    <col min="257" max="257" width="1.42578125" style="87" customWidth="1"/>
    <col min="258" max="258" width="40.42578125" style="87" customWidth="1"/>
    <col min="259" max="259" width="1.28515625" style="87" customWidth="1"/>
    <col min="260" max="260" width="4.5703125" style="87" customWidth="1"/>
    <col min="261" max="261" width="5" style="87" customWidth="1"/>
    <col min="262" max="263" width="10.85546875" style="87" customWidth="1"/>
    <col min="264" max="264" width="1.42578125" style="87" customWidth="1"/>
    <col min="265" max="512" width="11.42578125" style="87"/>
    <col min="513" max="513" width="1.42578125" style="87" customWidth="1"/>
    <col min="514" max="514" width="40.42578125" style="87" customWidth="1"/>
    <col min="515" max="515" width="1.28515625" style="87" customWidth="1"/>
    <col min="516" max="516" width="4.5703125" style="87" customWidth="1"/>
    <col min="517" max="517" width="5" style="87" customWidth="1"/>
    <col min="518" max="519" width="10.85546875" style="87" customWidth="1"/>
    <col min="520" max="520" width="1.42578125" style="87" customWidth="1"/>
    <col min="521" max="768" width="11.42578125" style="87"/>
    <col min="769" max="769" width="1.42578125" style="87" customWidth="1"/>
    <col min="770" max="770" width="40.42578125" style="87" customWidth="1"/>
    <col min="771" max="771" width="1.28515625" style="87" customWidth="1"/>
    <col min="772" max="772" width="4.5703125" style="87" customWidth="1"/>
    <col min="773" max="773" width="5" style="87" customWidth="1"/>
    <col min="774" max="775" width="10.85546875" style="87" customWidth="1"/>
    <col min="776" max="776" width="1.42578125" style="87" customWidth="1"/>
    <col min="777" max="1024" width="11.42578125" style="87"/>
    <col min="1025" max="1025" width="1.42578125" style="87" customWidth="1"/>
    <col min="1026" max="1026" width="40.42578125" style="87" customWidth="1"/>
    <col min="1027" max="1027" width="1.28515625" style="87" customWidth="1"/>
    <col min="1028" max="1028" width="4.5703125" style="87" customWidth="1"/>
    <col min="1029" max="1029" width="5" style="87" customWidth="1"/>
    <col min="1030" max="1031" width="10.85546875" style="87" customWidth="1"/>
    <col min="1032" max="1032" width="1.42578125" style="87" customWidth="1"/>
    <col min="1033" max="1280" width="11.42578125" style="87"/>
    <col min="1281" max="1281" width="1.42578125" style="87" customWidth="1"/>
    <col min="1282" max="1282" width="40.42578125" style="87" customWidth="1"/>
    <col min="1283" max="1283" width="1.28515625" style="87" customWidth="1"/>
    <col min="1284" max="1284" width="4.5703125" style="87" customWidth="1"/>
    <col min="1285" max="1285" width="5" style="87" customWidth="1"/>
    <col min="1286" max="1287" width="10.85546875" style="87" customWidth="1"/>
    <col min="1288" max="1288" width="1.42578125" style="87" customWidth="1"/>
    <col min="1289" max="1536" width="11.42578125" style="87"/>
    <col min="1537" max="1537" width="1.42578125" style="87" customWidth="1"/>
    <col min="1538" max="1538" width="40.42578125" style="87" customWidth="1"/>
    <col min="1539" max="1539" width="1.28515625" style="87" customWidth="1"/>
    <col min="1540" max="1540" width="4.5703125" style="87" customWidth="1"/>
    <col min="1541" max="1541" width="5" style="87" customWidth="1"/>
    <col min="1542" max="1543" width="10.85546875" style="87" customWidth="1"/>
    <col min="1544" max="1544" width="1.42578125" style="87" customWidth="1"/>
    <col min="1545" max="1792" width="11.42578125" style="87"/>
    <col min="1793" max="1793" width="1.42578125" style="87" customWidth="1"/>
    <col min="1794" max="1794" width="40.42578125" style="87" customWidth="1"/>
    <col min="1795" max="1795" width="1.28515625" style="87" customWidth="1"/>
    <col min="1796" max="1796" width="4.5703125" style="87" customWidth="1"/>
    <col min="1797" max="1797" width="5" style="87" customWidth="1"/>
    <col min="1798" max="1799" width="10.85546875" style="87" customWidth="1"/>
    <col min="1800" max="1800" width="1.42578125" style="87" customWidth="1"/>
    <col min="1801" max="2048" width="11.42578125" style="87"/>
    <col min="2049" max="2049" width="1.42578125" style="87" customWidth="1"/>
    <col min="2050" max="2050" width="40.42578125" style="87" customWidth="1"/>
    <col min="2051" max="2051" width="1.28515625" style="87" customWidth="1"/>
    <col min="2052" max="2052" width="4.5703125" style="87" customWidth="1"/>
    <col min="2053" max="2053" width="5" style="87" customWidth="1"/>
    <col min="2054" max="2055" width="10.85546875" style="87" customWidth="1"/>
    <col min="2056" max="2056" width="1.42578125" style="87" customWidth="1"/>
    <col min="2057" max="2304" width="11.42578125" style="87"/>
    <col min="2305" max="2305" width="1.42578125" style="87" customWidth="1"/>
    <col min="2306" max="2306" width="40.42578125" style="87" customWidth="1"/>
    <col min="2307" max="2307" width="1.28515625" style="87" customWidth="1"/>
    <col min="2308" max="2308" width="4.5703125" style="87" customWidth="1"/>
    <col min="2309" max="2309" width="5" style="87" customWidth="1"/>
    <col min="2310" max="2311" width="10.85546875" style="87" customWidth="1"/>
    <col min="2312" max="2312" width="1.42578125" style="87" customWidth="1"/>
    <col min="2313" max="2560" width="11.42578125" style="87"/>
    <col min="2561" max="2561" width="1.42578125" style="87" customWidth="1"/>
    <col min="2562" max="2562" width="40.42578125" style="87" customWidth="1"/>
    <col min="2563" max="2563" width="1.28515625" style="87" customWidth="1"/>
    <col min="2564" max="2564" width="4.5703125" style="87" customWidth="1"/>
    <col min="2565" max="2565" width="5" style="87" customWidth="1"/>
    <col min="2566" max="2567" width="10.85546875" style="87" customWidth="1"/>
    <col min="2568" max="2568" width="1.42578125" style="87" customWidth="1"/>
    <col min="2569" max="2816" width="11.42578125" style="87"/>
    <col min="2817" max="2817" width="1.42578125" style="87" customWidth="1"/>
    <col min="2818" max="2818" width="40.42578125" style="87" customWidth="1"/>
    <col min="2819" max="2819" width="1.28515625" style="87" customWidth="1"/>
    <col min="2820" max="2820" width="4.5703125" style="87" customWidth="1"/>
    <col min="2821" max="2821" width="5" style="87" customWidth="1"/>
    <col min="2822" max="2823" width="10.85546875" style="87" customWidth="1"/>
    <col min="2824" max="2824" width="1.42578125" style="87" customWidth="1"/>
    <col min="2825" max="3072" width="11.42578125" style="87"/>
    <col min="3073" max="3073" width="1.42578125" style="87" customWidth="1"/>
    <col min="3074" max="3074" width="40.42578125" style="87" customWidth="1"/>
    <col min="3075" max="3075" width="1.28515625" style="87" customWidth="1"/>
    <col min="3076" max="3076" width="4.5703125" style="87" customWidth="1"/>
    <col min="3077" max="3077" width="5" style="87" customWidth="1"/>
    <col min="3078" max="3079" width="10.85546875" style="87" customWidth="1"/>
    <col min="3080" max="3080" width="1.42578125" style="87" customWidth="1"/>
    <col min="3081" max="3328" width="11.42578125" style="87"/>
    <col min="3329" max="3329" width="1.42578125" style="87" customWidth="1"/>
    <col min="3330" max="3330" width="40.42578125" style="87" customWidth="1"/>
    <col min="3331" max="3331" width="1.28515625" style="87" customWidth="1"/>
    <col min="3332" max="3332" width="4.5703125" style="87" customWidth="1"/>
    <col min="3333" max="3333" width="5" style="87" customWidth="1"/>
    <col min="3334" max="3335" width="10.85546875" style="87" customWidth="1"/>
    <col min="3336" max="3336" width="1.42578125" style="87" customWidth="1"/>
    <col min="3337" max="3584" width="11.42578125" style="87"/>
    <col min="3585" max="3585" width="1.42578125" style="87" customWidth="1"/>
    <col min="3586" max="3586" width="40.42578125" style="87" customWidth="1"/>
    <col min="3587" max="3587" width="1.28515625" style="87" customWidth="1"/>
    <col min="3588" max="3588" width="4.5703125" style="87" customWidth="1"/>
    <col min="3589" max="3589" width="5" style="87" customWidth="1"/>
    <col min="3590" max="3591" width="10.85546875" style="87" customWidth="1"/>
    <col min="3592" max="3592" width="1.42578125" style="87" customWidth="1"/>
    <col min="3593" max="3840" width="11.42578125" style="87"/>
    <col min="3841" max="3841" width="1.42578125" style="87" customWidth="1"/>
    <col min="3842" max="3842" width="40.42578125" style="87" customWidth="1"/>
    <col min="3843" max="3843" width="1.28515625" style="87" customWidth="1"/>
    <col min="3844" max="3844" width="4.5703125" style="87" customWidth="1"/>
    <col min="3845" max="3845" width="5" style="87" customWidth="1"/>
    <col min="3846" max="3847" width="10.85546875" style="87" customWidth="1"/>
    <col min="3848" max="3848" width="1.42578125" style="87" customWidth="1"/>
    <col min="3849" max="4096" width="11.42578125" style="87"/>
    <col min="4097" max="4097" width="1.42578125" style="87" customWidth="1"/>
    <col min="4098" max="4098" width="40.42578125" style="87" customWidth="1"/>
    <col min="4099" max="4099" width="1.28515625" style="87" customWidth="1"/>
    <col min="4100" max="4100" width="4.5703125" style="87" customWidth="1"/>
    <col min="4101" max="4101" width="5" style="87" customWidth="1"/>
    <col min="4102" max="4103" width="10.85546875" style="87" customWidth="1"/>
    <col min="4104" max="4104" width="1.42578125" style="87" customWidth="1"/>
    <col min="4105" max="4352" width="11.42578125" style="87"/>
    <col min="4353" max="4353" width="1.42578125" style="87" customWidth="1"/>
    <col min="4354" max="4354" width="40.42578125" style="87" customWidth="1"/>
    <col min="4355" max="4355" width="1.28515625" style="87" customWidth="1"/>
    <col min="4356" max="4356" width="4.5703125" style="87" customWidth="1"/>
    <col min="4357" max="4357" width="5" style="87" customWidth="1"/>
    <col min="4358" max="4359" width="10.85546875" style="87" customWidth="1"/>
    <col min="4360" max="4360" width="1.42578125" style="87" customWidth="1"/>
    <col min="4361" max="4608" width="11.42578125" style="87"/>
    <col min="4609" max="4609" width="1.42578125" style="87" customWidth="1"/>
    <col min="4610" max="4610" width="40.42578125" style="87" customWidth="1"/>
    <col min="4611" max="4611" width="1.28515625" style="87" customWidth="1"/>
    <col min="4612" max="4612" width="4.5703125" style="87" customWidth="1"/>
    <col min="4613" max="4613" width="5" style="87" customWidth="1"/>
    <col min="4614" max="4615" width="10.85546875" style="87" customWidth="1"/>
    <col min="4616" max="4616" width="1.42578125" style="87" customWidth="1"/>
    <col min="4617" max="4864" width="11.42578125" style="87"/>
    <col min="4865" max="4865" width="1.42578125" style="87" customWidth="1"/>
    <col min="4866" max="4866" width="40.42578125" style="87" customWidth="1"/>
    <col min="4867" max="4867" width="1.28515625" style="87" customWidth="1"/>
    <col min="4868" max="4868" width="4.5703125" style="87" customWidth="1"/>
    <col min="4869" max="4869" width="5" style="87" customWidth="1"/>
    <col min="4870" max="4871" width="10.85546875" style="87" customWidth="1"/>
    <col min="4872" max="4872" width="1.42578125" style="87" customWidth="1"/>
    <col min="4873" max="5120" width="11.42578125" style="87"/>
    <col min="5121" max="5121" width="1.42578125" style="87" customWidth="1"/>
    <col min="5122" max="5122" width="40.42578125" style="87" customWidth="1"/>
    <col min="5123" max="5123" width="1.28515625" style="87" customWidth="1"/>
    <col min="5124" max="5124" width="4.5703125" style="87" customWidth="1"/>
    <col min="5125" max="5125" width="5" style="87" customWidth="1"/>
    <col min="5126" max="5127" width="10.85546875" style="87" customWidth="1"/>
    <col min="5128" max="5128" width="1.42578125" style="87" customWidth="1"/>
    <col min="5129" max="5376" width="11.42578125" style="87"/>
    <col min="5377" max="5377" width="1.42578125" style="87" customWidth="1"/>
    <col min="5378" max="5378" width="40.42578125" style="87" customWidth="1"/>
    <col min="5379" max="5379" width="1.28515625" style="87" customWidth="1"/>
    <col min="5380" max="5380" width="4.5703125" style="87" customWidth="1"/>
    <col min="5381" max="5381" width="5" style="87" customWidth="1"/>
    <col min="5382" max="5383" width="10.85546875" style="87" customWidth="1"/>
    <col min="5384" max="5384" width="1.42578125" style="87" customWidth="1"/>
    <col min="5385" max="5632" width="11.42578125" style="87"/>
    <col min="5633" max="5633" width="1.42578125" style="87" customWidth="1"/>
    <col min="5634" max="5634" width="40.42578125" style="87" customWidth="1"/>
    <col min="5635" max="5635" width="1.28515625" style="87" customWidth="1"/>
    <col min="5636" max="5636" width="4.5703125" style="87" customWidth="1"/>
    <col min="5637" max="5637" width="5" style="87" customWidth="1"/>
    <col min="5638" max="5639" width="10.85546875" style="87" customWidth="1"/>
    <col min="5640" max="5640" width="1.42578125" style="87" customWidth="1"/>
    <col min="5641" max="5888" width="11.42578125" style="87"/>
    <col min="5889" max="5889" width="1.42578125" style="87" customWidth="1"/>
    <col min="5890" max="5890" width="40.42578125" style="87" customWidth="1"/>
    <col min="5891" max="5891" width="1.28515625" style="87" customWidth="1"/>
    <col min="5892" max="5892" width="4.5703125" style="87" customWidth="1"/>
    <col min="5893" max="5893" width="5" style="87" customWidth="1"/>
    <col min="5894" max="5895" width="10.85546875" style="87" customWidth="1"/>
    <col min="5896" max="5896" width="1.42578125" style="87" customWidth="1"/>
    <col min="5897" max="6144" width="11.42578125" style="87"/>
    <col min="6145" max="6145" width="1.42578125" style="87" customWidth="1"/>
    <col min="6146" max="6146" width="40.42578125" style="87" customWidth="1"/>
    <col min="6147" max="6147" width="1.28515625" style="87" customWidth="1"/>
    <col min="6148" max="6148" width="4.5703125" style="87" customWidth="1"/>
    <col min="6149" max="6149" width="5" style="87" customWidth="1"/>
    <col min="6150" max="6151" width="10.85546875" style="87" customWidth="1"/>
    <col min="6152" max="6152" width="1.42578125" style="87" customWidth="1"/>
    <col min="6153" max="6400" width="11.42578125" style="87"/>
    <col min="6401" max="6401" width="1.42578125" style="87" customWidth="1"/>
    <col min="6402" max="6402" width="40.42578125" style="87" customWidth="1"/>
    <col min="6403" max="6403" width="1.28515625" style="87" customWidth="1"/>
    <col min="6404" max="6404" width="4.5703125" style="87" customWidth="1"/>
    <col min="6405" max="6405" width="5" style="87" customWidth="1"/>
    <col min="6406" max="6407" width="10.85546875" style="87" customWidth="1"/>
    <col min="6408" max="6408" width="1.42578125" style="87" customWidth="1"/>
    <col min="6409" max="6656" width="11.42578125" style="87"/>
    <col min="6657" max="6657" width="1.42578125" style="87" customWidth="1"/>
    <col min="6658" max="6658" width="40.42578125" style="87" customWidth="1"/>
    <col min="6659" max="6659" width="1.28515625" style="87" customWidth="1"/>
    <col min="6660" max="6660" width="4.5703125" style="87" customWidth="1"/>
    <col min="6661" max="6661" width="5" style="87" customWidth="1"/>
    <col min="6662" max="6663" width="10.85546875" style="87" customWidth="1"/>
    <col min="6664" max="6664" width="1.42578125" style="87" customWidth="1"/>
    <col min="6665" max="6912" width="11.42578125" style="87"/>
    <col min="6913" max="6913" width="1.42578125" style="87" customWidth="1"/>
    <col min="6914" max="6914" width="40.42578125" style="87" customWidth="1"/>
    <col min="6915" max="6915" width="1.28515625" style="87" customWidth="1"/>
    <col min="6916" max="6916" width="4.5703125" style="87" customWidth="1"/>
    <col min="6917" max="6917" width="5" style="87" customWidth="1"/>
    <col min="6918" max="6919" width="10.85546875" style="87" customWidth="1"/>
    <col min="6920" max="6920" width="1.42578125" style="87" customWidth="1"/>
    <col min="6921" max="7168" width="11.42578125" style="87"/>
    <col min="7169" max="7169" width="1.42578125" style="87" customWidth="1"/>
    <col min="7170" max="7170" width="40.42578125" style="87" customWidth="1"/>
    <col min="7171" max="7171" width="1.28515625" style="87" customWidth="1"/>
    <col min="7172" max="7172" width="4.5703125" style="87" customWidth="1"/>
    <col min="7173" max="7173" width="5" style="87" customWidth="1"/>
    <col min="7174" max="7175" width="10.85546875" style="87" customWidth="1"/>
    <col min="7176" max="7176" width="1.42578125" style="87" customWidth="1"/>
    <col min="7177" max="7424" width="11.42578125" style="87"/>
    <col min="7425" max="7425" width="1.42578125" style="87" customWidth="1"/>
    <col min="7426" max="7426" width="40.42578125" style="87" customWidth="1"/>
    <col min="7427" max="7427" width="1.28515625" style="87" customWidth="1"/>
    <col min="7428" max="7428" width="4.5703125" style="87" customWidth="1"/>
    <col min="7429" max="7429" width="5" style="87" customWidth="1"/>
    <col min="7430" max="7431" width="10.85546875" style="87" customWidth="1"/>
    <col min="7432" max="7432" width="1.42578125" style="87" customWidth="1"/>
    <col min="7433" max="7680" width="11.42578125" style="87"/>
    <col min="7681" max="7681" width="1.42578125" style="87" customWidth="1"/>
    <col min="7682" max="7682" width="40.42578125" style="87" customWidth="1"/>
    <col min="7683" max="7683" width="1.28515625" style="87" customWidth="1"/>
    <col min="7684" max="7684" width="4.5703125" style="87" customWidth="1"/>
    <col min="7685" max="7685" width="5" style="87" customWidth="1"/>
    <col min="7686" max="7687" width="10.85546875" style="87" customWidth="1"/>
    <col min="7688" max="7688" width="1.42578125" style="87" customWidth="1"/>
    <col min="7689" max="7936" width="11.42578125" style="87"/>
    <col min="7937" max="7937" width="1.42578125" style="87" customWidth="1"/>
    <col min="7938" max="7938" width="40.42578125" style="87" customWidth="1"/>
    <col min="7939" max="7939" width="1.28515625" style="87" customWidth="1"/>
    <col min="7940" max="7940" width="4.5703125" style="87" customWidth="1"/>
    <col min="7941" max="7941" width="5" style="87" customWidth="1"/>
    <col min="7942" max="7943" width="10.85546875" style="87" customWidth="1"/>
    <col min="7944" max="7944" width="1.42578125" style="87" customWidth="1"/>
    <col min="7945" max="8192" width="11.42578125" style="87"/>
    <col min="8193" max="8193" width="1.42578125" style="87" customWidth="1"/>
    <col min="8194" max="8194" width="40.42578125" style="87" customWidth="1"/>
    <col min="8195" max="8195" width="1.28515625" style="87" customWidth="1"/>
    <col min="8196" max="8196" width="4.5703125" style="87" customWidth="1"/>
    <col min="8197" max="8197" width="5" style="87" customWidth="1"/>
    <col min="8198" max="8199" width="10.85546875" style="87" customWidth="1"/>
    <col min="8200" max="8200" width="1.42578125" style="87" customWidth="1"/>
    <col min="8201" max="8448" width="11.42578125" style="87"/>
    <col min="8449" max="8449" width="1.42578125" style="87" customWidth="1"/>
    <col min="8450" max="8450" width="40.42578125" style="87" customWidth="1"/>
    <col min="8451" max="8451" width="1.28515625" style="87" customWidth="1"/>
    <col min="8452" max="8452" width="4.5703125" style="87" customWidth="1"/>
    <col min="8453" max="8453" width="5" style="87" customWidth="1"/>
    <col min="8454" max="8455" width="10.85546875" style="87" customWidth="1"/>
    <col min="8456" max="8456" width="1.42578125" style="87" customWidth="1"/>
    <col min="8457" max="8704" width="11.42578125" style="87"/>
    <col min="8705" max="8705" width="1.42578125" style="87" customWidth="1"/>
    <col min="8706" max="8706" width="40.42578125" style="87" customWidth="1"/>
    <col min="8707" max="8707" width="1.28515625" style="87" customWidth="1"/>
    <col min="8708" max="8708" width="4.5703125" style="87" customWidth="1"/>
    <col min="8709" max="8709" width="5" style="87" customWidth="1"/>
    <col min="8710" max="8711" width="10.85546875" style="87" customWidth="1"/>
    <col min="8712" max="8712" width="1.42578125" style="87" customWidth="1"/>
    <col min="8713" max="8960" width="11.42578125" style="87"/>
    <col min="8961" max="8961" width="1.42578125" style="87" customWidth="1"/>
    <col min="8962" max="8962" width="40.42578125" style="87" customWidth="1"/>
    <col min="8963" max="8963" width="1.28515625" style="87" customWidth="1"/>
    <col min="8964" max="8964" width="4.5703125" style="87" customWidth="1"/>
    <col min="8965" max="8965" width="5" style="87" customWidth="1"/>
    <col min="8966" max="8967" width="10.85546875" style="87" customWidth="1"/>
    <col min="8968" max="8968" width="1.42578125" style="87" customWidth="1"/>
    <col min="8969" max="9216" width="11.42578125" style="87"/>
    <col min="9217" max="9217" width="1.42578125" style="87" customWidth="1"/>
    <col min="9218" max="9218" width="40.42578125" style="87" customWidth="1"/>
    <col min="9219" max="9219" width="1.28515625" style="87" customWidth="1"/>
    <col min="9220" max="9220" width="4.5703125" style="87" customWidth="1"/>
    <col min="9221" max="9221" width="5" style="87" customWidth="1"/>
    <col min="9222" max="9223" width="10.85546875" style="87" customWidth="1"/>
    <col min="9224" max="9224" width="1.42578125" style="87" customWidth="1"/>
    <col min="9225" max="9472" width="11.42578125" style="87"/>
    <col min="9473" max="9473" width="1.42578125" style="87" customWidth="1"/>
    <col min="9474" max="9474" width="40.42578125" style="87" customWidth="1"/>
    <col min="9475" max="9475" width="1.28515625" style="87" customWidth="1"/>
    <col min="9476" max="9476" width="4.5703125" style="87" customWidth="1"/>
    <col min="9477" max="9477" width="5" style="87" customWidth="1"/>
    <col min="9478" max="9479" width="10.85546875" style="87" customWidth="1"/>
    <col min="9480" max="9480" width="1.42578125" style="87" customWidth="1"/>
    <col min="9481" max="9728" width="11.42578125" style="87"/>
    <col min="9729" max="9729" width="1.42578125" style="87" customWidth="1"/>
    <col min="9730" max="9730" width="40.42578125" style="87" customWidth="1"/>
    <col min="9731" max="9731" width="1.28515625" style="87" customWidth="1"/>
    <col min="9732" max="9732" width="4.5703125" style="87" customWidth="1"/>
    <col min="9733" max="9733" width="5" style="87" customWidth="1"/>
    <col min="9734" max="9735" width="10.85546875" style="87" customWidth="1"/>
    <col min="9736" max="9736" width="1.42578125" style="87" customWidth="1"/>
    <col min="9737" max="9984" width="11.42578125" style="87"/>
    <col min="9985" max="9985" width="1.42578125" style="87" customWidth="1"/>
    <col min="9986" max="9986" width="40.42578125" style="87" customWidth="1"/>
    <col min="9987" max="9987" width="1.28515625" style="87" customWidth="1"/>
    <col min="9988" max="9988" width="4.5703125" style="87" customWidth="1"/>
    <col min="9989" max="9989" width="5" style="87" customWidth="1"/>
    <col min="9990" max="9991" width="10.85546875" style="87" customWidth="1"/>
    <col min="9992" max="9992" width="1.42578125" style="87" customWidth="1"/>
    <col min="9993" max="10240" width="11.42578125" style="87"/>
    <col min="10241" max="10241" width="1.42578125" style="87" customWidth="1"/>
    <col min="10242" max="10242" width="40.42578125" style="87" customWidth="1"/>
    <col min="10243" max="10243" width="1.28515625" style="87" customWidth="1"/>
    <col min="10244" max="10244" width="4.5703125" style="87" customWidth="1"/>
    <col min="10245" max="10245" width="5" style="87" customWidth="1"/>
    <col min="10246" max="10247" width="10.85546875" style="87" customWidth="1"/>
    <col min="10248" max="10248" width="1.42578125" style="87" customWidth="1"/>
    <col min="10249" max="10496" width="11.42578125" style="87"/>
    <col min="10497" max="10497" width="1.42578125" style="87" customWidth="1"/>
    <col min="10498" max="10498" width="40.42578125" style="87" customWidth="1"/>
    <col min="10499" max="10499" width="1.28515625" style="87" customWidth="1"/>
    <col min="10500" max="10500" width="4.5703125" style="87" customWidth="1"/>
    <col min="10501" max="10501" width="5" style="87" customWidth="1"/>
    <col min="10502" max="10503" width="10.85546875" style="87" customWidth="1"/>
    <col min="10504" max="10504" width="1.42578125" style="87" customWidth="1"/>
    <col min="10505" max="10752" width="11.42578125" style="87"/>
    <col min="10753" max="10753" width="1.42578125" style="87" customWidth="1"/>
    <col min="10754" max="10754" width="40.42578125" style="87" customWidth="1"/>
    <col min="10755" max="10755" width="1.28515625" style="87" customWidth="1"/>
    <col min="10756" max="10756" width="4.5703125" style="87" customWidth="1"/>
    <col min="10757" max="10757" width="5" style="87" customWidth="1"/>
    <col min="10758" max="10759" width="10.85546875" style="87" customWidth="1"/>
    <col min="10760" max="10760" width="1.42578125" style="87" customWidth="1"/>
    <col min="10761" max="11008" width="11.42578125" style="87"/>
    <col min="11009" max="11009" width="1.42578125" style="87" customWidth="1"/>
    <col min="11010" max="11010" width="40.42578125" style="87" customWidth="1"/>
    <col min="11011" max="11011" width="1.28515625" style="87" customWidth="1"/>
    <col min="11012" max="11012" width="4.5703125" style="87" customWidth="1"/>
    <col min="11013" max="11013" width="5" style="87" customWidth="1"/>
    <col min="11014" max="11015" width="10.85546875" style="87" customWidth="1"/>
    <col min="11016" max="11016" width="1.42578125" style="87" customWidth="1"/>
    <col min="11017" max="11264" width="11.42578125" style="87"/>
    <col min="11265" max="11265" width="1.42578125" style="87" customWidth="1"/>
    <col min="11266" max="11266" width="40.42578125" style="87" customWidth="1"/>
    <col min="11267" max="11267" width="1.28515625" style="87" customWidth="1"/>
    <col min="11268" max="11268" width="4.5703125" style="87" customWidth="1"/>
    <col min="11269" max="11269" width="5" style="87" customWidth="1"/>
    <col min="11270" max="11271" width="10.85546875" style="87" customWidth="1"/>
    <col min="11272" max="11272" width="1.42578125" style="87" customWidth="1"/>
    <col min="11273" max="11520" width="11.42578125" style="87"/>
    <col min="11521" max="11521" width="1.42578125" style="87" customWidth="1"/>
    <col min="11522" max="11522" width="40.42578125" style="87" customWidth="1"/>
    <col min="11523" max="11523" width="1.28515625" style="87" customWidth="1"/>
    <col min="11524" max="11524" width="4.5703125" style="87" customWidth="1"/>
    <col min="11525" max="11525" width="5" style="87" customWidth="1"/>
    <col min="11526" max="11527" width="10.85546875" style="87" customWidth="1"/>
    <col min="11528" max="11528" width="1.42578125" style="87" customWidth="1"/>
    <col min="11529" max="11776" width="11.42578125" style="87"/>
    <col min="11777" max="11777" width="1.42578125" style="87" customWidth="1"/>
    <col min="11778" max="11778" width="40.42578125" style="87" customWidth="1"/>
    <col min="11779" max="11779" width="1.28515625" style="87" customWidth="1"/>
    <col min="11780" max="11780" width="4.5703125" style="87" customWidth="1"/>
    <col min="11781" max="11781" width="5" style="87" customWidth="1"/>
    <col min="11782" max="11783" width="10.85546875" style="87" customWidth="1"/>
    <col min="11784" max="11784" width="1.42578125" style="87" customWidth="1"/>
    <col min="11785" max="12032" width="11.42578125" style="87"/>
    <col min="12033" max="12033" width="1.42578125" style="87" customWidth="1"/>
    <col min="12034" max="12034" width="40.42578125" style="87" customWidth="1"/>
    <col min="12035" max="12035" width="1.28515625" style="87" customWidth="1"/>
    <col min="12036" max="12036" width="4.5703125" style="87" customWidth="1"/>
    <col min="12037" max="12037" width="5" style="87" customWidth="1"/>
    <col min="12038" max="12039" width="10.85546875" style="87" customWidth="1"/>
    <col min="12040" max="12040" width="1.42578125" style="87" customWidth="1"/>
    <col min="12041" max="12288" width="11.42578125" style="87"/>
    <col min="12289" max="12289" width="1.42578125" style="87" customWidth="1"/>
    <col min="12290" max="12290" width="40.42578125" style="87" customWidth="1"/>
    <col min="12291" max="12291" width="1.28515625" style="87" customWidth="1"/>
    <col min="12292" max="12292" width="4.5703125" style="87" customWidth="1"/>
    <col min="12293" max="12293" width="5" style="87" customWidth="1"/>
    <col min="12294" max="12295" width="10.85546875" style="87" customWidth="1"/>
    <col min="12296" max="12296" width="1.42578125" style="87" customWidth="1"/>
    <col min="12297" max="12544" width="11.42578125" style="87"/>
    <col min="12545" max="12545" width="1.42578125" style="87" customWidth="1"/>
    <col min="12546" max="12546" width="40.42578125" style="87" customWidth="1"/>
    <col min="12547" max="12547" width="1.28515625" style="87" customWidth="1"/>
    <col min="12548" max="12548" width="4.5703125" style="87" customWidth="1"/>
    <col min="12549" max="12549" width="5" style="87" customWidth="1"/>
    <col min="12550" max="12551" width="10.85546875" style="87" customWidth="1"/>
    <col min="12552" max="12552" width="1.42578125" style="87" customWidth="1"/>
    <col min="12553" max="12800" width="11.42578125" style="87"/>
    <col min="12801" max="12801" width="1.42578125" style="87" customWidth="1"/>
    <col min="12802" max="12802" width="40.42578125" style="87" customWidth="1"/>
    <col min="12803" max="12803" width="1.28515625" style="87" customWidth="1"/>
    <col min="12804" max="12804" width="4.5703125" style="87" customWidth="1"/>
    <col min="12805" max="12805" width="5" style="87" customWidth="1"/>
    <col min="12806" max="12807" width="10.85546875" style="87" customWidth="1"/>
    <col min="12808" max="12808" width="1.42578125" style="87" customWidth="1"/>
    <col min="12809" max="13056" width="11.42578125" style="87"/>
    <col min="13057" max="13057" width="1.42578125" style="87" customWidth="1"/>
    <col min="13058" max="13058" width="40.42578125" style="87" customWidth="1"/>
    <col min="13059" max="13059" width="1.28515625" style="87" customWidth="1"/>
    <col min="13060" max="13060" width="4.5703125" style="87" customWidth="1"/>
    <col min="13061" max="13061" width="5" style="87" customWidth="1"/>
    <col min="13062" max="13063" width="10.85546875" style="87" customWidth="1"/>
    <col min="13064" max="13064" width="1.42578125" style="87" customWidth="1"/>
    <col min="13065" max="13312" width="11.42578125" style="87"/>
    <col min="13313" max="13313" width="1.42578125" style="87" customWidth="1"/>
    <col min="13314" max="13314" width="40.42578125" style="87" customWidth="1"/>
    <col min="13315" max="13315" width="1.28515625" style="87" customWidth="1"/>
    <col min="13316" max="13316" width="4.5703125" style="87" customWidth="1"/>
    <col min="13317" max="13317" width="5" style="87" customWidth="1"/>
    <col min="13318" max="13319" width="10.85546875" style="87" customWidth="1"/>
    <col min="13320" max="13320" width="1.42578125" style="87" customWidth="1"/>
    <col min="13321" max="13568" width="11.42578125" style="87"/>
    <col min="13569" max="13569" width="1.42578125" style="87" customWidth="1"/>
    <col min="13570" max="13570" width="40.42578125" style="87" customWidth="1"/>
    <col min="13571" max="13571" width="1.28515625" style="87" customWidth="1"/>
    <col min="13572" max="13572" width="4.5703125" style="87" customWidth="1"/>
    <col min="13573" max="13573" width="5" style="87" customWidth="1"/>
    <col min="13574" max="13575" width="10.85546875" style="87" customWidth="1"/>
    <col min="13576" max="13576" width="1.42578125" style="87" customWidth="1"/>
    <col min="13577" max="13824" width="11.42578125" style="87"/>
    <col min="13825" max="13825" width="1.42578125" style="87" customWidth="1"/>
    <col min="13826" max="13826" width="40.42578125" style="87" customWidth="1"/>
    <col min="13827" max="13827" width="1.28515625" style="87" customWidth="1"/>
    <col min="13828" max="13828" width="4.5703125" style="87" customWidth="1"/>
    <col min="13829" max="13829" width="5" style="87" customWidth="1"/>
    <col min="13830" max="13831" width="10.85546875" style="87" customWidth="1"/>
    <col min="13832" max="13832" width="1.42578125" style="87" customWidth="1"/>
    <col min="13833" max="14080" width="11.42578125" style="87"/>
    <col min="14081" max="14081" width="1.42578125" style="87" customWidth="1"/>
    <col min="14082" max="14082" width="40.42578125" style="87" customWidth="1"/>
    <col min="14083" max="14083" width="1.28515625" style="87" customWidth="1"/>
    <col min="14084" max="14084" width="4.5703125" style="87" customWidth="1"/>
    <col min="14085" max="14085" width="5" style="87" customWidth="1"/>
    <col min="14086" max="14087" width="10.85546875" style="87" customWidth="1"/>
    <col min="14088" max="14088" width="1.42578125" style="87" customWidth="1"/>
    <col min="14089" max="14336" width="11.42578125" style="87"/>
    <col min="14337" max="14337" width="1.42578125" style="87" customWidth="1"/>
    <col min="14338" max="14338" width="40.42578125" style="87" customWidth="1"/>
    <col min="14339" max="14339" width="1.28515625" style="87" customWidth="1"/>
    <col min="14340" max="14340" width="4.5703125" style="87" customWidth="1"/>
    <col min="14341" max="14341" width="5" style="87" customWidth="1"/>
    <col min="14342" max="14343" width="10.85546875" style="87" customWidth="1"/>
    <col min="14344" max="14344" width="1.42578125" style="87" customWidth="1"/>
    <col min="14345" max="14592" width="11.42578125" style="87"/>
    <col min="14593" max="14593" width="1.42578125" style="87" customWidth="1"/>
    <col min="14594" max="14594" width="40.42578125" style="87" customWidth="1"/>
    <col min="14595" max="14595" width="1.28515625" style="87" customWidth="1"/>
    <col min="14596" max="14596" width="4.5703125" style="87" customWidth="1"/>
    <col min="14597" max="14597" width="5" style="87" customWidth="1"/>
    <col min="14598" max="14599" width="10.85546875" style="87" customWidth="1"/>
    <col min="14600" max="14600" width="1.42578125" style="87" customWidth="1"/>
    <col min="14601" max="14848" width="11.42578125" style="87"/>
    <col min="14849" max="14849" width="1.42578125" style="87" customWidth="1"/>
    <col min="14850" max="14850" width="40.42578125" style="87" customWidth="1"/>
    <col min="14851" max="14851" width="1.28515625" style="87" customWidth="1"/>
    <col min="14852" max="14852" width="4.5703125" style="87" customWidth="1"/>
    <col min="14853" max="14853" width="5" style="87" customWidth="1"/>
    <col min="14854" max="14855" width="10.85546875" style="87" customWidth="1"/>
    <col min="14856" max="14856" width="1.42578125" style="87" customWidth="1"/>
    <col min="14857" max="15104" width="11.42578125" style="87"/>
    <col min="15105" max="15105" width="1.42578125" style="87" customWidth="1"/>
    <col min="15106" max="15106" width="40.42578125" style="87" customWidth="1"/>
    <col min="15107" max="15107" width="1.28515625" style="87" customWidth="1"/>
    <col min="15108" max="15108" width="4.5703125" style="87" customWidth="1"/>
    <col min="15109" max="15109" width="5" style="87" customWidth="1"/>
    <col min="15110" max="15111" width="10.85546875" style="87" customWidth="1"/>
    <col min="15112" max="15112" width="1.42578125" style="87" customWidth="1"/>
    <col min="15113" max="15360" width="11.42578125" style="87"/>
    <col min="15361" max="15361" width="1.42578125" style="87" customWidth="1"/>
    <col min="15362" max="15362" width="40.42578125" style="87" customWidth="1"/>
    <col min="15363" max="15363" width="1.28515625" style="87" customWidth="1"/>
    <col min="15364" max="15364" width="4.5703125" style="87" customWidth="1"/>
    <col min="15365" max="15365" width="5" style="87" customWidth="1"/>
    <col min="15366" max="15367" width="10.85546875" style="87" customWidth="1"/>
    <col min="15368" max="15368" width="1.42578125" style="87" customWidth="1"/>
    <col min="15369" max="15616" width="11.42578125" style="87"/>
    <col min="15617" max="15617" width="1.42578125" style="87" customWidth="1"/>
    <col min="15618" max="15618" width="40.42578125" style="87" customWidth="1"/>
    <col min="15619" max="15619" width="1.28515625" style="87" customWidth="1"/>
    <col min="15620" max="15620" width="4.5703125" style="87" customWidth="1"/>
    <col min="15621" max="15621" width="5" style="87" customWidth="1"/>
    <col min="15622" max="15623" width="10.85546875" style="87" customWidth="1"/>
    <col min="15624" max="15624" width="1.42578125" style="87" customWidth="1"/>
    <col min="15625" max="15872" width="11.42578125" style="87"/>
    <col min="15873" max="15873" width="1.42578125" style="87" customWidth="1"/>
    <col min="15874" max="15874" width="40.42578125" style="87" customWidth="1"/>
    <col min="15875" max="15875" width="1.28515625" style="87" customWidth="1"/>
    <col min="15876" max="15876" width="4.5703125" style="87" customWidth="1"/>
    <col min="15877" max="15877" width="5" style="87" customWidth="1"/>
    <col min="15878" max="15879" width="10.85546875" style="87" customWidth="1"/>
    <col min="15880" max="15880" width="1.42578125" style="87" customWidth="1"/>
    <col min="15881" max="16128" width="11.42578125" style="87"/>
    <col min="16129" max="16129" width="1.42578125" style="87" customWidth="1"/>
    <col min="16130" max="16130" width="40.42578125" style="87" customWidth="1"/>
    <col min="16131" max="16131" width="1.28515625" style="87" customWidth="1"/>
    <col min="16132" max="16132" width="4.5703125" style="87" customWidth="1"/>
    <col min="16133" max="16133" width="5" style="87" customWidth="1"/>
    <col min="16134" max="16135" width="10.85546875" style="87" customWidth="1"/>
    <col min="16136" max="16136" width="1.42578125" style="87" customWidth="1"/>
    <col min="16137" max="16384" width="11.42578125" style="87"/>
  </cols>
  <sheetData>
    <row r="1" spans="1:8" ht="8.25" customHeight="1"/>
    <row r="2" spans="1:8">
      <c r="A2" s="82"/>
      <c r="B2" s="236" t="s">
        <v>72</v>
      </c>
      <c r="C2" s="84"/>
      <c r="D2" s="84"/>
      <c r="E2" s="84"/>
      <c r="F2" s="84"/>
      <c r="G2" s="84"/>
      <c r="H2" s="86"/>
    </row>
    <row r="3" spans="1:8">
      <c r="A3" s="88"/>
      <c r="B3" s="89"/>
      <c r="C3" s="90"/>
      <c r="E3" s="90"/>
      <c r="F3" s="90"/>
      <c r="G3" s="90"/>
      <c r="H3" s="93"/>
    </row>
    <row r="4" spans="1:8">
      <c r="A4" s="88"/>
      <c r="B4" s="115" t="s">
        <v>310</v>
      </c>
      <c r="C4" s="90"/>
      <c r="E4" s="90"/>
      <c r="F4" s="90"/>
      <c r="G4" s="90"/>
      <c r="H4" s="93"/>
    </row>
    <row r="5" spans="1:8">
      <c r="A5" s="88"/>
      <c r="B5" s="115" t="s">
        <v>309</v>
      </c>
      <c r="C5" s="90"/>
      <c r="E5" s="90"/>
      <c r="F5" s="90"/>
      <c r="G5" s="90"/>
      <c r="H5" s="93"/>
    </row>
    <row r="6" spans="1:8">
      <c r="A6" s="88"/>
      <c r="H6" s="93"/>
    </row>
    <row r="7" spans="1:8">
      <c r="A7" s="88"/>
      <c r="B7" s="95" t="s">
        <v>74</v>
      </c>
      <c r="D7" s="96" t="s">
        <v>75</v>
      </c>
      <c r="E7" s="96" t="s">
        <v>71</v>
      </c>
      <c r="F7" s="96" t="s">
        <v>70</v>
      </c>
      <c r="G7" s="96" t="s">
        <v>76</v>
      </c>
      <c r="H7" s="93"/>
    </row>
    <row r="8" spans="1:8" ht="25.5" customHeight="1">
      <c r="A8" s="88"/>
      <c r="B8" s="237" t="s">
        <v>311</v>
      </c>
      <c r="D8" s="238" t="s">
        <v>182</v>
      </c>
      <c r="E8" s="239">
        <v>1</v>
      </c>
      <c r="F8" s="240">
        <f>370000/4.5</f>
        <v>82222.222222222219</v>
      </c>
      <c r="G8" s="240">
        <f t="shared" ref="G8:G10" si="0">+E8*F8</f>
        <v>82222.222222222219</v>
      </c>
      <c r="H8" s="93"/>
    </row>
    <row r="9" spans="1:8">
      <c r="A9" s="88"/>
      <c r="B9" s="98"/>
      <c r="D9" s="96"/>
      <c r="E9" s="98"/>
      <c r="F9" s="99"/>
      <c r="G9" s="99">
        <f t="shared" si="0"/>
        <v>0</v>
      </c>
      <c r="H9" s="93"/>
    </row>
    <row r="10" spans="1:8" ht="13.5" thickBot="1">
      <c r="A10" s="88"/>
      <c r="B10" s="98"/>
      <c r="D10" s="96"/>
      <c r="E10" s="98"/>
      <c r="F10" s="99"/>
      <c r="G10" s="99">
        <f t="shared" si="0"/>
        <v>0</v>
      </c>
      <c r="H10" s="93"/>
    </row>
    <row r="11" spans="1:8" ht="13.5" thickBot="1">
      <c r="A11" s="88"/>
      <c r="F11" s="100" t="s">
        <v>77</v>
      </c>
      <c r="G11" s="101">
        <f>SUM(G8:G10)</f>
        <v>82222.222222222219</v>
      </c>
      <c r="H11" s="93"/>
    </row>
    <row r="12" spans="1:8">
      <c r="A12" s="88"/>
      <c r="F12" s="100"/>
      <c r="G12" s="94"/>
      <c r="H12" s="93"/>
    </row>
    <row r="13" spans="1:8">
      <c r="A13" s="88"/>
      <c r="B13" s="95" t="s">
        <v>78</v>
      </c>
      <c r="C13" s="90"/>
      <c r="D13" s="96" t="s">
        <v>79</v>
      </c>
      <c r="E13" s="96"/>
      <c r="F13" s="102" t="s">
        <v>80</v>
      </c>
      <c r="G13" s="97" t="s">
        <v>76</v>
      </c>
      <c r="H13" s="93"/>
    </row>
    <row r="14" spans="1:8">
      <c r="A14" s="88"/>
      <c r="B14" s="98" t="s">
        <v>306</v>
      </c>
      <c r="D14" s="242">
        <v>1.5</v>
      </c>
      <c r="E14" s="103"/>
      <c r="F14" s="104">
        <f>+'M.O.'!E4</f>
        <v>67666.666666666672</v>
      </c>
      <c r="G14" s="99">
        <f>+F14/D14</f>
        <v>45111.111111111117</v>
      </c>
      <c r="H14" s="93"/>
    </row>
    <row r="15" spans="1:8">
      <c r="A15" s="88"/>
      <c r="B15" s="98" t="s">
        <v>91</v>
      </c>
      <c r="D15" s="242">
        <f>+D14</f>
        <v>1.5</v>
      </c>
      <c r="E15" s="103"/>
      <c r="F15" s="104">
        <f>+'M.O.'!E46</f>
        <v>38666.666666666664</v>
      </c>
      <c r="G15" s="99">
        <f>+F15/D15</f>
        <v>25777.777777777777</v>
      </c>
      <c r="H15" s="93"/>
    </row>
    <row r="16" spans="1:8" ht="13.5" thickBot="1">
      <c r="A16" s="88"/>
      <c r="B16" s="98"/>
      <c r="D16" s="96"/>
      <c r="E16" s="103"/>
      <c r="F16" s="104"/>
      <c r="G16" s="99">
        <v>0</v>
      </c>
      <c r="H16" s="93"/>
    </row>
    <row r="17" spans="1:8" ht="13.5" thickBot="1">
      <c r="A17" s="88"/>
      <c r="F17" s="100" t="s">
        <v>77</v>
      </c>
      <c r="G17" s="101">
        <f>SUM(G14:G16)</f>
        <v>70888.888888888891</v>
      </c>
      <c r="H17" s="93"/>
    </row>
    <row r="18" spans="1:8">
      <c r="A18" s="88"/>
      <c r="F18" s="94"/>
      <c r="G18" s="94"/>
      <c r="H18" s="93"/>
    </row>
    <row r="19" spans="1:8">
      <c r="A19" s="88"/>
      <c r="B19" s="98" t="s">
        <v>83</v>
      </c>
      <c r="E19" s="96" t="s">
        <v>79</v>
      </c>
      <c r="F19" s="97" t="s">
        <v>84</v>
      </c>
      <c r="G19" s="97" t="s">
        <v>76</v>
      </c>
      <c r="H19" s="93"/>
    </row>
    <row r="20" spans="1:8">
      <c r="A20" s="88"/>
      <c r="B20" s="98" t="s">
        <v>307</v>
      </c>
      <c r="E20" s="98">
        <v>1</v>
      </c>
      <c r="F20" s="99">
        <v>500</v>
      </c>
      <c r="G20" s="99">
        <f>F20/E20</f>
        <v>500</v>
      </c>
      <c r="H20" s="93"/>
    </row>
    <row r="21" spans="1:8" ht="13.5" thickBot="1">
      <c r="A21" s="88"/>
      <c r="B21" s="98"/>
      <c r="E21" s="98"/>
      <c r="F21" s="99"/>
      <c r="G21" s="99">
        <v>0</v>
      </c>
      <c r="H21" s="93"/>
    </row>
    <row r="22" spans="1:8" ht="13.5" thickBot="1">
      <c r="A22" s="88"/>
      <c r="F22" s="100" t="s">
        <v>77</v>
      </c>
      <c r="G22" s="101">
        <f>SUM(G20:G21)</f>
        <v>500</v>
      </c>
      <c r="H22" s="93"/>
    </row>
    <row r="23" spans="1:8">
      <c r="A23" s="88"/>
      <c r="F23" s="94"/>
      <c r="G23" s="94"/>
      <c r="H23" s="93"/>
    </row>
    <row r="24" spans="1:8">
      <c r="A24" s="88"/>
      <c r="B24" s="98" t="s">
        <v>86</v>
      </c>
      <c r="E24" s="96" t="s">
        <v>71</v>
      </c>
      <c r="F24" s="97" t="s">
        <v>84</v>
      </c>
      <c r="G24" s="97" t="s">
        <v>76</v>
      </c>
      <c r="H24" s="93"/>
    </row>
    <row r="25" spans="1:8">
      <c r="A25" s="88"/>
      <c r="B25" s="98" t="s">
        <v>308</v>
      </c>
      <c r="E25" s="98">
        <v>1</v>
      </c>
      <c r="F25" s="99">
        <v>5000</v>
      </c>
      <c r="G25" s="99">
        <f>+E25*F25</f>
        <v>5000</v>
      </c>
      <c r="H25" s="93"/>
    </row>
    <row r="26" spans="1:8">
      <c r="A26" s="88"/>
      <c r="B26" s="98"/>
      <c r="E26" s="98"/>
      <c r="F26" s="99"/>
      <c r="G26" s="99">
        <f>+E26*F26</f>
        <v>0</v>
      </c>
      <c r="H26" s="93"/>
    </row>
    <row r="27" spans="1:8" ht="13.5" thickBot="1">
      <c r="A27" s="88"/>
      <c r="B27" s="98"/>
      <c r="E27" s="98"/>
      <c r="F27" s="99"/>
      <c r="G27" s="99">
        <f>+E27*F27</f>
        <v>0</v>
      </c>
      <c r="H27" s="93"/>
    </row>
    <row r="28" spans="1:8" ht="13.5" thickBot="1">
      <c r="A28" s="88"/>
      <c r="F28" s="100" t="s">
        <v>77</v>
      </c>
      <c r="G28" s="101">
        <f>SUM(G25:G27)</f>
        <v>5000</v>
      </c>
      <c r="H28" s="93"/>
    </row>
    <row r="29" spans="1:8" ht="13.5" thickBot="1">
      <c r="A29" s="88"/>
      <c r="F29" s="94"/>
      <c r="G29" s="94"/>
      <c r="H29" s="93"/>
    </row>
    <row r="30" spans="1:8" ht="13.5" thickBot="1">
      <c r="A30" s="88"/>
      <c r="F30" s="100" t="s">
        <v>87</v>
      </c>
      <c r="G30" s="101">
        <f>+G11+G17+G28+G22</f>
        <v>158611.11111111112</v>
      </c>
      <c r="H30" s="93"/>
    </row>
    <row r="31" spans="1:8">
      <c r="A31" s="105"/>
      <c r="B31" s="106"/>
      <c r="C31" s="106"/>
      <c r="D31" s="107"/>
      <c r="E31" s="106"/>
      <c r="F31" s="106"/>
      <c r="G31" s="106"/>
      <c r="H31" s="109"/>
    </row>
    <row r="37" spans="1:8">
      <c r="A37" s="90"/>
      <c r="B37" s="90"/>
      <c r="C37" s="90"/>
      <c r="D37" s="90"/>
      <c r="E37" s="90"/>
      <c r="F37" s="90"/>
      <c r="G37" s="90"/>
      <c r="H37" s="90"/>
    </row>
    <row r="38" spans="1:8">
      <c r="A38" s="90"/>
      <c r="B38" s="90"/>
      <c r="C38" s="90"/>
      <c r="D38" s="90"/>
      <c r="E38" s="90"/>
      <c r="F38" s="90"/>
      <c r="G38" s="90"/>
      <c r="H38" s="90"/>
    </row>
  </sheetData>
  <printOptions horizontalCentered="1"/>
  <pageMargins left="0.83" right="0.75" top="1.51" bottom="1" header="0.511811024" footer="0.511811024"/>
  <pageSetup orientation="portrait" horizontalDpi="120" verticalDpi="14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8"/>
  <sheetViews>
    <sheetView topLeftCell="A10" zoomScaleNormal="100" workbookViewId="0">
      <selection activeCell="J25" sqref="J25"/>
    </sheetView>
  </sheetViews>
  <sheetFormatPr baseColWidth="10" defaultRowHeight="12.75"/>
  <cols>
    <col min="1" max="1" width="2.42578125" style="87" customWidth="1"/>
    <col min="2" max="2" width="40.42578125" style="87" customWidth="1"/>
    <col min="3" max="3" width="1.28515625" style="87" customWidth="1"/>
    <col min="4" max="4" width="4.5703125" style="91" customWidth="1"/>
    <col min="5" max="5" width="5" style="87" customWidth="1"/>
    <col min="6" max="6" width="10.85546875" style="87" customWidth="1"/>
    <col min="7" max="7" width="13.7109375" style="87" customWidth="1"/>
    <col min="8" max="8" width="3.140625" style="87" customWidth="1"/>
    <col min="9" max="256" width="11.42578125" style="87"/>
    <col min="257" max="257" width="1.42578125" style="87" customWidth="1"/>
    <col min="258" max="258" width="40.42578125" style="87" customWidth="1"/>
    <col min="259" max="259" width="1.28515625" style="87" customWidth="1"/>
    <col min="260" max="260" width="4.5703125" style="87" customWidth="1"/>
    <col min="261" max="261" width="5" style="87" customWidth="1"/>
    <col min="262" max="263" width="10.85546875" style="87" customWidth="1"/>
    <col min="264" max="264" width="1.42578125" style="87" customWidth="1"/>
    <col min="265" max="512" width="11.42578125" style="87"/>
    <col min="513" max="513" width="1.42578125" style="87" customWidth="1"/>
    <col min="514" max="514" width="40.42578125" style="87" customWidth="1"/>
    <col min="515" max="515" width="1.28515625" style="87" customWidth="1"/>
    <col min="516" max="516" width="4.5703125" style="87" customWidth="1"/>
    <col min="517" max="517" width="5" style="87" customWidth="1"/>
    <col min="518" max="519" width="10.85546875" style="87" customWidth="1"/>
    <col min="520" max="520" width="1.42578125" style="87" customWidth="1"/>
    <col min="521" max="768" width="11.42578125" style="87"/>
    <col min="769" max="769" width="1.42578125" style="87" customWidth="1"/>
    <col min="770" max="770" width="40.42578125" style="87" customWidth="1"/>
    <col min="771" max="771" width="1.28515625" style="87" customWidth="1"/>
    <col min="772" max="772" width="4.5703125" style="87" customWidth="1"/>
    <col min="773" max="773" width="5" style="87" customWidth="1"/>
    <col min="774" max="775" width="10.85546875" style="87" customWidth="1"/>
    <col min="776" max="776" width="1.42578125" style="87" customWidth="1"/>
    <col min="777" max="1024" width="11.42578125" style="87"/>
    <col min="1025" max="1025" width="1.42578125" style="87" customWidth="1"/>
    <col min="1026" max="1026" width="40.42578125" style="87" customWidth="1"/>
    <col min="1027" max="1027" width="1.28515625" style="87" customWidth="1"/>
    <col min="1028" max="1028" width="4.5703125" style="87" customWidth="1"/>
    <col min="1029" max="1029" width="5" style="87" customWidth="1"/>
    <col min="1030" max="1031" width="10.85546875" style="87" customWidth="1"/>
    <col min="1032" max="1032" width="1.42578125" style="87" customWidth="1"/>
    <col min="1033" max="1280" width="11.42578125" style="87"/>
    <col min="1281" max="1281" width="1.42578125" style="87" customWidth="1"/>
    <col min="1282" max="1282" width="40.42578125" style="87" customWidth="1"/>
    <col min="1283" max="1283" width="1.28515625" style="87" customWidth="1"/>
    <col min="1284" max="1284" width="4.5703125" style="87" customWidth="1"/>
    <col min="1285" max="1285" width="5" style="87" customWidth="1"/>
    <col min="1286" max="1287" width="10.85546875" style="87" customWidth="1"/>
    <col min="1288" max="1288" width="1.42578125" style="87" customWidth="1"/>
    <col min="1289" max="1536" width="11.42578125" style="87"/>
    <col min="1537" max="1537" width="1.42578125" style="87" customWidth="1"/>
    <col min="1538" max="1538" width="40.42578125" style="87" customWidth="1"/>
    <col min="1539" max="1539" width="1.28515625" style="87" customWidth="1"/>
    <col min="1540" max="1540" width="4.5703125" style="87" customWidth="1"/>
    <col min="1541" max="1541" width="5" style="87" customWidth="1"/>
    <col min="1542" max="1543" width="10.85546875" style="87" customWidth="1"/>
    <col min="1544" max="1544" width="1.42578125" style="87" customWidth="1"/>
    <col min="1545" max="1792" width="11.42578125" style="87"/>
    <col min="1793" max="1793" width="1.42578125" style="87" customWidth="1"/>
    <col min="1794" max="1794" width="40.42578125" style="87" customWidth="1"/>
    <col min="1795" max="1795" width="1.28515625" style="87" customWidth="1"/>
    <col min="1796" max="1796" width="4.5703125" style="87" customWidth="1"/>
    <col min="1797" max="1797" width="5" style="87" customWidth="1"/>
    <col min="1798" max="1799" width="10.85546875" style="87" customWidth="1"/>
    <col min="1800" max="1800" width="1.42578125" style="87" customWidth="1"/>
    <col min="1801" max="2048" width="11.42578125" style="87"/>
    <col min="2049" max="2049" width="1.42578125" style="87" customWidth="1"/>
    <col min="2050" max="2050" width="40.42578125" style="87" customWidth="1"/>
    <col min="2051" max="2051" width="1.28515625" style="87" customWidth="1"/>
    <col min="2052" max="2052" width="4.5703125" style="87" customWidth="1"/>
    <col min="2053" max="2053" width="5" style="87" customWidth="1"/>
    <col min="2054" max="2055" width="10.85546875" style="87" customWidth="1"/>
    <col min="2056" max="2056" width="1.42578125" style="87" customWidth="1"/>
    <col min="2057" max="2304" width="11.42578125" style="87"/>
    <col min="2305" max="2305" width="1.42578125" style="87" customWidth="1"/>
    <col min="2306" max="2306" width="40.42578125" style="87" customWidth="1"/>
    <col min="2307" max="2307" width="1.28515625" style="87" customWidth="1"/>
    <col min="2308" max="2308" width="4.5703125" style="87" customWidth="1"/>
    <col min="2309" max="2309" width="5" style="87" customWidth="1"/>
    <col min="2310" max="2311" width="10.85546875" style="87" customWidth="1"/>
    <col min="2312" max="2312" width="1.42578125" style="87" customWidth="1"/>
    <col min="2313" max="2560" width="11.42578125" style="87"/>
    <col min="2561" max="2561" width="1.42578125" style="87" customWidth="1"/>
    <col min="2562" max="2562" width="40.42578125" style="87" customWidth="1"/>
    <col min="2563" max="2563" width="1.28515625" style="87" customWidth="1"/>
    <col min="2564" max="2564" width="4.5703125" style="87" customWidth="1"/>
    <col min="2565" max="2565" width="5" style="87" customWidth="1"/>
    <col min="2566" max="2567" width="10.85546875" style="87" customWidth="1"/>
    <col min="2568" max="2568" width="1.42578125" style="87" customWidth="1"/>
    <col min="2569" max="2816" width="11.42578125" style="87"/>
    <col min="2817" max="2817" width="1.42578125" style="87" customWidth="1"/>
    <col min="2818" max="2818" width="40.42578125" style="87" customWidth="1"/>
    <col min="2819" max="2819" width="1.28515625" style="87" customWidth="1"/>
    <col min="2820" max="2820" width="4.5703125" style="87" customWidth="1"/>
    <col min="2821" max="2821" width="5" style="87" customWidth="1"/>
    <col min="2822" max="2823" width="10.85546875" style="87" customWidth="1"/>
    <col min="2824" max="2824" width="1.42578125" style="87" customWidth="1"/>
    <col min="2825" max="3072" width="11.42578125" style="87"/>
    <col min="3073" max="3073" width="1.42578125" style="87" customWidth="1"/>
    <col min="3074" max="3074" width="40.42578125" style="87" customWidth="1"/>
    <col min="3075" max="3075" width="1.28515625" style="87" customWidth="1"/>
    <col min="3076" max="3076" width="4.5703125" style="87" customWidth="1"/>
    <col min="3077" max="3077" width="5" style="87" customWidth="1"/>
    <col min="3078" max="3079" width="10.85546875" style="87" customWidth="1"/>
    <col min="3080" max="3080" width="1.42578125" style="87" customWidth="1"/>
    <col min="3081" max="3328" width="11.42578125" style="87"/>
    <col min="3329" max="3329" width="1.42578125" style="87" customWidth="1"/>
    <col min="3330" max="3330" width="40.42578125" style="87" customWidth="1"/>
    <col min="3331" max="3331" width="1.28515625" style="87" customWidth="1"/>
    <col min="3332" max="3332" width="4.5703125" style="87" customWidth="1"/>
    <col min="3333" max="3333" width="5" style="87" customWidth="1"/>
    <col min="3334" max="3335" width="10.85546875" style="87" customWidth="1"/>
    <col min="3336" max="3336" width="1.42578125" style="87" customWidth="1"/>
    <col min="3337" max="3584" width="11.42578125" style="87"/>
    <col min="3585" max="3585" width="1.42578125" style="87" customWidth="1"/>
    <col min="3586" max="3586" width="40.42578125" style="87" customWidth="1"/>
    <col min="3587" max="3587" width="1.28515625" style="87" customWidth="1"/>
    <col min="3588" max="3588" width="4.5703125" style="87" customWidth="1"/>
    <col min="3589" max="3589" width="5" style="87" customWidth="1"/>
    <col min="3590" max="3591" width="10.85546875" style="87" customWidth="1"/>
    <col min="3592" max="3592" width="1.42578125" style="87" customWidth="1"/>
    <col min="3593" max="3840" width="11.42578125" style="87"/>
    <col min="3841" max="3841" width="1.42578125" style="87" customWidth="1"/>
    <col min="3842" max="3842" width="40.42578125" style="87" customWidth="1"/>
    <col min="3843" max="3843" width="1.28515625" style="87" customWidth="1"/>
    <col min="3844" max="3844" width="4.5703125" style="87" customWidth="1"/>
    <col min="3845" max="3845" width="5" style="87" customWidth="1"/>
    <col min="3846" max="3847" width="10.85546875" style="87" customWidth="1"/>
    <col min="3848" max="3848" width="1.42578125" style="87" customWidth="1"/>
    <col min="3849" max="4096" width="11.42578125" style="87"/>
    <col min="4097" max="4097" width="1.42578125" style="87" customWidth="1"/>
    <col min="4098" max="4098" width="40.42578125" style="87" customWidth="1"/>
    <col min="4099" max="4099" width="1.28515625" style="87" customWidth="1"/>
    <col min="4100" max="4100" width="4.5703125" style="87" customWidth="1"/>
    <col min="4101" max="4101" width="5" style="87" customWidth="1"/>
    <col min="4102" max="4103" width="10.85546875" style="87" customWidth="1"/>
    <col min="4104" max="4104" width="1.42578125" style="87" customWidth="1"/>
    <col min="4105" max="4352" width="11.42578125" style="87"/>
    <col min="4353" max="4353" width="1.42578125" style="87" customWidth="1"/>
    <col min="4354" max="4354" width="40.42578125" style="87" customWidth="1"/>
    <col min="4355" max="4355" width="1.28515625" style="87" customWidth="1"/>
    <col min="4356" max="4356" width="4.5703125" style="87" customWidth="1"/>
    <col min="4357" max="4357" width="5" style="87" customWidth="1"/>
    <col min="4358" max="4359" width="10.85546875" style="87" customWidth="1"/>
    <col min="4360" max="4360" width="1.42578125" style="87" customWidth="1"/>
    <col min="4361" max="4608" width="11.42578125" style="87"/>
    <col min="4609" max="4609" width="1.42578125" style="87" customWidth="1"/>
    <col min="4610" max="4610" width="40.42578125" style="87" customWidth="1"/>
    <col min="4611" max="4611" width="1.28515625" style="87" customWidth="1"/>
    <col min="4612" max="4612" width="4.5703125" style="87" customWidth="1"/>
    <col min="4613" max="4613" width="5" style="87" customWidth="1"/>
    <col min="4614" max="4615" width="10.85546875" style="87" customWidth="1"/>
    <col min="4616" max="4616" width="1.42578125" style="87" customWidth="1"/>
    <col min="4617" max="4864" width="11.42578125" style="87"/>
    <col min="4865" max="4865" width="1.42578125" style="87" customWidth="1"/>
    <col min="4866" max="4866" width="40.42578125" style="87" customWidth="1"/>
    <col min="4867" max="4867" width="1.28515625" style="87" customWidth="1"/>
    <col min="4868" max="4868" width="4.5703125" style="87" customWidth="1"/>
    <col min="4869" max="4869" width="5" style="87" customWidth="1"/>
    <col min="4870" max="4871" width="10.85546875" style="87" customWidth="1"/>
    <col min="4872" max="4872" width="1.42578125" style="87" customWidth="1"/>
    <col min="4873" max="5120" width="11.42578125" style="87"/>
    <col min="5121" max="5121" width="1.42578125" style="87" customWidth="1"/>
    <col min="5122" max="5122" width="40.42578125" style="87" customWidth="1"/>
    <col min="5123" max="5123" width="1.28515625" style="87" customWidth="1"/>
    <col min="5124" max="5124" width="4.5703125" style="87" customWidth="1"/>
    <col min="5125" max="5125" width="5" style="87" customWidth="1"/>
    <col min="5126" max="5127" width="10.85546875" style="87" customWidth="1"/>
    <col min="5128" max="5128" width="1.42578125" style="87" customWidth="1"/>
    <col min="5129" max="5376" width="11.42578125" style="87"/>
    <col min="5377" max="5377" width="1.42578125" style="87" customWidth="1"/>
    <col min="5378" max="5378" width="40.42578125" style="87" customWidth="1"/>
    <col min="5379" max="5379" width="1.28515625" style="87" customWidth="1"/>
    <col min="5380" max="5380" width="4.5703125" style="87" customWidth="1"/>
    <col min="5381" max="5381" width="5" style="87" customWidth="1"/>
    <col min="5382" max="5383" width="10.85546875" style="87" customWidth="1"/>
    <col min="5384" max="5384" width="1.42578125" style="87" customWidth="1"/>
    <col min="5385" max="5632" width="11.42578125" style="87"/>
    <col min="5633" max="5633" width="1.42578125" style="87" customWidth="1"/>
    <col min="5634" max="5634" width="40.42578125" style="87" customWidth="1"/>
    <col min="5635" max="5635" width="1.28515625" style="87" customWidth="1"/>
    <col min="5636" max="5636" width="4.5703125" style="87" customWidth="1"/>
    <col min="5637" max="5637" width="5" style="87" customWidth="1"/>
    <col min="5638" max="5639" width="10.85546875" style="87" customWidth="1"/>
    <col min="5640" max="5640" width="1.42578125" style="87" customWidth="1"/>
    <col min="5641" max="5888" width="11.42578125" style="87"/>
    <col min="5889" max="5889" width="1.42578125" style="87" customWidth="1"/>
    <col min="5890" max="5890" width="40.42578125" style="87" customWidth="1"/>
    <col min="5891" max="5891" width="1.28515625" style="87" customWidth="1"/>
    <col min="5892" max="5892" width="4.5703125" style="87" customWidth="1"/>
    <col min="5893" max="5893" width="5" style="87" customWidth="1"/>
    <col min="5894" max="5895" width="10.85546875" style="87" customWidth="1"/>
    <col min="5896" max="5896" width="1.42578125" style="87" customWidth="1"/>
    <col min="5897" max="6144" width="11.42578125" style="87"/>
    <col min="6145" max="6145" width="1.42578125" style="87" customWidth="1"/>
    <col min="6146" max="6146" width="40.42578125" style="87" customWidth="1"/>
    <col min="6147" max="6147" width="1.28515625" style="87" customWidth="1"/>
    <col min="6148" max="6148" width="4.5703125" style="87" customWidth="1"/>
    <col min="6149" max="6149" width="5" style="87" customWidth="1"/>
    <col min="6150" max="6151" width="10.85546875" style="87" customWidth="1"/>
    <col min="6152" max="6152" width="1.42578125" style="87" customWidth="1"/>
    <col min="6153" max="6400" width="11.42578125" style="87"/>
    <col min="6401" max="6401" width="1.42578125" style="87" customWidth="1"/>
    <col min="6402" max="6402" width="40.42578125" style="87" customWidth="1"/>
    <col min="6403" max="6403" width="1.28515625" style="87" customWidth="1"/>
    <col min="6404" max="6404" width="4.5703125" style="87" customWidth="1"/>
    <col min="6405" max="6405" width="5" style="87" customWidth="1"/>
    <col min="6406" max="6407" width="10.85546875" style="87" customWidth="1"/>
    <col min="6408" max="6408" width="1.42578125" style="87" customWidth="1"/>
    <col min="6409" max="6656" width="11.42578125" style="87"/>
    <col min="6657" max="6657" width="1.42578125" style="87" customWidth="1"/>
    <col min="6658" max="6658" width="40.42578125" style="87" customWidth="1"/>
    <col min="6659" max="6659" width="1.28515625" style="87" customWidth="1"/>
    <col min="6660" max="6660" width="4.5703125" style="87" customWidth="1"/>
    <col min="6661" max="6661" width="5" style="87" customWidth="1"/>
    <col min="6662" max="6663" width="10.85546875" style="87" customWidth="1"/>
    <col min="6664" max="6664" width="1.42578125" style="87" customWidth="1"/>
    <col min="6665" max="6912" width="11.42578125" style="87"/>
    <col min="6913" max="6913" width="1.42578125" style="87" customWidth="1"/>
    <col min="6914" max="6914" width="40.42578125" style="87" customWidth="1"/>
    <col min="6915" max="6915" width="1.28515625" style="87" customWidth="1"/>
    <col min="6916" max="6916" width="4.5703125" style="87" customWidth="1"/>
    <col min="6917" max="6917" width="5" style="87" customWidth="1"/>
    <col min="6918" max="6919" width="10.85546875" style="87" customWidth="1"/>
    <col min="6920" max="6920" width="1.42578125" style="87" customWidth="1"/>
    <col min="6921" max="7168" width="11.42578125" style="87"/>
    <col min="7169" max="7169" width="1.42578125" style="87" customWidth="1"/>
    <col min="7170" max="7170" width="40.42578125" style="87" customWidth="1"/>
    <col min="7171" max="7171" width="1.28515625" style="87" customWidth="1"/>
    <col min="7172" max="7172" width="4.5703125" style="87" customWidth="1"/>
    <col min="7173" max="7173" width="5" style="87" customWidth="1"/>
    <col min="7174" max="7175" width="10.85546875" style="87" customWidth="1"/>
    <col min="7176" max="7176" width="1.42578125" style="87" customWidth="1"/>
    <col min="7177" max="7424" width="11.42578125" style="87"/>
    <col min="7425" max="7425" width="1.42578125" style="87" customWidth="1"/>
    <col min="7426" max="7426" width="40.42578125" style="87" customWidth="1"/>
    <col min="7427" max="7427" width="1.28515625" style="87" customWidth="1"/>
    <col min="7428" max="7428" width="4.5703125" style="87" customWidth="1"/>
    <col min="7429" max="7429" width="5" style="87" customWidth="1"/>
    <col min="7430" max="7431" width="10.85546875" style="87" customWidth="1"/>
    <col min="7432" max="7432" width="1.42578125" style="87" customWidth="1"/>
    <col min="7433" max="7680" width="11.42578125" style="87"/>
    <col min="7681" max="7681" width="1.42578125" style="87" customWidth="1"/>
    <col min="7682" max="7682" width="40.42578125" style="87" customWidth="1"/>
    <col min="7683" max="7683" width="1.28515625" style="87" customWidth="1"/>
    <col min="7684" max="7684" width="4.5703125" style="87" customWidth="1"/>
    <col min="7685" max="7685" width="5" style="87" customWidth="1"/>
    <col min="7686" max="7687" width="10.85546875" style="87" customWidth="1"/>
    <col min="7688" max="7688" width="1.42578125" style="87" customWidth="1"/>
    <col min="7689" max="7936" width="11.42578125" style="87"/>
    <col min="7937" max="7937" width="1.42578125" style="87" customWidth="1"/>
    <col min="7938" max="7938" width="40.42578125" style="87" customWidth="1"/>
    <col min="7939" max="7939" width="1.28515625" style="87" customWidth="1"/>
    <col min="7940" max="7940" width="4.5703125" style="87" customWidth="1"/>
    <col min="7941" max="7941" width="5" style="87" customWidth="1"/>
    <col min="7942" max="7943" width="10.85546875" style="87" customWidth="1"/>
    <col min="7944" max="7944" width="1.42578125" style="87" customWidth="1"/>
    <col min="7945" max="8192" width="11.42578125" style="87"/>
    <col min="8193" max="8193" width="1.42578125" style="87" customWidth="1"/>
    <col min="8194" max="8194" width="40.42578125" style="87" customWidth="1"/>
    <col min="8195" max="8195" width="1.28515625" style="87" customWidth="1"/>
    <col min="8196" max="8196" width="4.5703125" style="87" customWidth="1"/>
    <col min="8197" max="8197" width="5" style="87" customWidth="1"/>
    <col min="8198" max="8199" width="10.85546875" style="87" customWidth="1"/>
    <col min="8200" max="8200" width="1.42578125" style="87" customWidth="1"/>
    <col min="8201" max="8448" width="11.42578125" style="87"/>
    <col min="8449" max="8449" width="1.42578125" style="87" customWidth="1"/>
    <col min="8450" max="8450" width="40.42578125" style="87" customWidth="1"/>
    <col min="8451" max="8451" width="1.28515625" style="87" customWidth="1"/>
    <col min="8452" max="8452" width="4.5703125" style="87" customWidth="1"/>
    <col min="8453" max="8453" width="5" style="87" customWidth="1"/>
    <col min="8454" max="8455" width="10.85546875" style="87" customWidth="1"/>
    <col min="8456" max="8456" width="1.42578125" style="87" customWidth="1"/>
    <col min="8457" max="8704" width="11.42578125" style="87"/>
    <col min="8705" max="8705" width="1.42578125" style="87" customWidth="1"/>
    <col min="8706" max="8706" width="40.42578125" style="87" customWidth="1"/>
    <col min="8707" max="8707" width="1.28515625" style="87" customWidth="1"/>
    <col min="8708" max="8708" width="4.5703125" style="87" customWidth="1"/>
    <col min="8709" max="8709" width="5" style="87" customWidth="1"/>
    <col min="8710" max="8711" width="10.85546875" style="87" customWidth="1"/>
    <col min="8712" max="8712" width="1.42578125" style="87" customWidth="1"/>
    <col min="8713" max="8960" width="11.42578125" style="87"/>
    <col min="8961" max="8961" width="1.42578125" style="87" customWidth="1"/>
    <col min="8962" max="8962" width="40.42578125" style="87" customWidth="1"/>
    <col min="8963" max="8963" width="1.28515625" style="87" customWidth="1"/>
    <col min="8964" max="8964" width="4.5703125" style="87" customWidth="1"/>
    <col min="8965" max="8965" width="5" style="87" customWidth="1"/>
    <col min="8966" max="8967" width="10.85546875" style="87" customWidth="1"/>
    <col min="8968" max="8968" width="1.42578125" style="87" customWidth="1"/>
    <col min="8969" max="9216" width="11.42578125" style="87"/>
    <col min="9217" max="9217" width="1.42578125" style="87" customWidth="1"/>
    <col min="9218" max="9218" width="40.42578125" style="87" customWidth="1"/>
    <col min="9219" max="9219" width="1.28515625" style="87" customWidth="1"/>
    <col min="9220" max="9220" width="4.5703125" style="87" customWidth="1"/>
    <col min="9221" max="9221" width="5" style="87" customWidth="1"/>
    <col min="9222" max="9223" width="10.85546875" style="87" customWidth="1"/>
    <col min="9224" max="9224" width="1.42578125" style="87" customWidth="1"/>
    <col min="9225" max="9472" width="11.42578125" style="87"/>
    <col min="9473" max="9473" width="1.42578125" style="87" customWidth="1"/>
    <col min="9474" max="9474" width="40.42578125" style="87" customWidth="1"/>
    <col min="9475" max="9475" width="1.28515625" style="87" customWidth="1"/>
    <col min="9476" max="9476" width="4.5703125" style="87" customWidth="1"/>
    <col min="9477" max="9477" width="5" style="87" customWidth="1"/>
    <col min="9478" max="9479" width="10.85546875" style="87" customWidth="1"/>
    <col min="9480" max="9480" width="1.42578125" style="87" customWidth="1"/>
    <col min="9481" max="9728" width="11.42578125" style="87"/>
    <col min="9729" max="9729" width="1.42578125" style="87" customWidth="1"/>
    <col min="9730" max="9730" width="40.42578125" style="87" customWidth="1"/>
    <col min="9731" max="9731" width="1.28515625" style="87" customWidth="1"/>
    <col min="9732" max="9732" width="4.5703125" style="87" customWidth="1"/>
    <col min="9733" max="9733" width="5" style="87" customWidth="1"/>
    <col min="9734" max="9735" width="10.85546875" style="87" customWidth="1"/>
    <col min="9736" max="9736" width="1.42578125" style="87" customWidth="1"/>
    <col min="9737" max="9984" width="11.42578125" style="87"/>
    <col min="9985" max="9985" width="1.42578125" style="87" customWidth="1"/>
    <col min="9986" max="9986" width="40.42578125" style="87" customWidth="1"/>
    <col min="9987" max="9987" width="1.28515625" style="87" customWidth="1"/>
    <col min="9988" max="9988" width="4.5703125" style="87" customWidth="1"/>
    <col min="9989" max="9989" width="5" style="87" customWidth="1"/>
    <col min="9990" max="9991" width="10.85546875" style="87" customWidth="1"/>
    <col min="9992" max="9992" width="1.42578125" style="87" customWidth="1"/>
    <col min="9993" max="10240" width="11.42578125" style="87"/>
    <col min="10241" max="10241" width="1.42578125" style="87" customWidth="1"/>
    <col min="10242" max="10242" width="40.42578125" style="87" customWidth="1"/>
    <col min="10243" max="10243" width="1.28515625" style="87" customWidth="1"/>
    <col min="10244" max="10244" width="4.5703125" style="87" customWidth="1"/>
    <col min="10245" max="10245" width="5" style="87" customWidth="1"/>
    <col min="10246" max="10247" width="10.85546875" style="87" customWidth="1"/>
    <col min="10248" max="10248" width="1.42578125" style="87" customWidth="1"/>
    <col min="10249" max="10496" width="11.42578125" style="87"/>
    <col min="10497" max="10497" width="1.42578125" style="87" customWidth="1"/>
    <col min="10498" max="10498" width="40.42578125" style="87" customWidth="1"/>
    <col min="10499" max="10499" width="1.28515625" style="87" customWidth="1"/>
    <col min="10500" max="10500" width="4.5703125" style="87" customWidth="1"/>
    <col min="10501" max="10501" width="5" style="87" customWidth="1"/>
    <col min="10502" max="10503" width="10.85546875" style="87" customWidth="1"/>
    <col min="10504" max="10504" width="1.42578125" style="87" customWidth="1"/>
    <col min="10505" max="10752" width="11.42578125" style="87"/>
    <col min="10753" max="10753" width="1.42578125" style="87" customWidth="1"/>
    <col min="10754" max="10754" width="40.42578125" style="87" customWidth="1"/>
    <col min="10755" max="10755" width="1.28515625" style="87" customWidth="1"/>
    <col min="10756" max="10756" width="4.5703125" style="87" customWidth="1"/>
    <col min="10757" max="10757" width="5" style="87" customWidth="1"/>
    <col min="10758" max="10759" width="10.85546875" style="87" customWidth="1"/>
    <col min="10760" max="10760" width="1.42578125" style="87" customWidth="1"/>
    <col min="10761" max="11008" width="11.42578125" style="87"/>
    <col min="11009" max="11009" width="1.42578125" style="87" customWidth="1"/>
    <col min="11010" max="11010" width="40.42578125" style="87" customWidth="1"/>
    <col min="11011" max="11011" width="1.28515625" style="87" customWidth="1"/>
    <col min="11012" max="11012" width="4.5703125" style="87" customWidth="1"/>
    <col min="11013" max="11013" width="5" style="87" customWidth="1"/>
    <col min="11014" max="11015" width="10.85546875" style="87" customWidth="1"/>
    <col min="11016" max="11016" width="1.42578125" style="87" customWidth="1"/>
    <col min="11017" max="11264" width="11.42578125" style="87"/>
    <col min="11265" max="11265" width="1.42578125" style="87" customWidth="1"/>
    <col min="11266" max="11266" width="40.42578125" style="87" customWidth="1"/>
    <col min="11267" max="11267" width="1.28515625" style="87" customWidth="1"/>
    <col min="11268" max="11268" width="4.5703125" style="87" customWidth="1"/>
    <col min="11269" max="11269" width="5" style="87" customWidth="1"/>
    <col min="11270" max="11271" width="10.85546875" style="87" customWidth="1"/>
    <col min="11272" max="11272" width="1.42578125" style="87" customWidth="1"/>
    <col min="11273" max="11520" width="11.42578125" style="87"/>
    <col min="11521" max="11521" width="1.42578125" style="87" customWidth="1"/>
    <col min="11522" max="11522" width="40.42578125" style="87" customWidth="1"/>
    <col min="11523" max="11523" width="1.28515625" style="87" customWidth="1"/>
    <col min="11524" max="11524" width="4.5703125" style="87" customWidth="1"/>
    <col min="11525" max="11525" width="5" style="87" customWidth="1"/>
    <col min="11526" max="11527" width="10.85546875" style="87" customWidth="1"/>
    <col min="11528" max="11528" width="1.42578125" style="87" customWidth="1"/>
    <col min="11529" max="11776" width="11.42578125" style="87"/>
    <col min="11777" max="11777" width="1.42578125" style="87" customWidth="1"/>
    <col min="11778" max="11778" width="40.42578125" style="87" customWidth="1"/>
    <col min="11779" max="11779" width="1.28515625" style="87" customWidth="1"/>
    <col min="11780" max="11780" width="4.5703125" style="87" customWidth="1"/>
    <col min="11781" max="11781" width="5" style="87" customWidth="1"/>
    <col min="11782" max="11783" width="10.85546875" style="87" customWidth="1"/>
    <col min="11784" max="11784" width="1.42578125" style="87" customWidth="1"/>
    <col min="11785" max="12032" width="11.42578125" style="87"/>
    <col min="12033" max="12033" width="1.42578125" style="87" customWidth="1"/>
    <col min="12034" max="12034" width="40.42578125" style="87" customWidth="1"/>
    <col min="12035" max="12035" width="1.28515625" style="87" customWidth="1"/>
    <col min="12036" max="12036" width="4.5703125" style="87" customWidth="1"/>
    <col min="12037" max="12037" width="5" style="87" customWidth="1"/>
    <col min="12038" max="12039" width="10.85546875" style="87" customWidth="1"/>
    <col min="12040" max="12040" width="1.42578125" style="87" customWidth="1"/>
    <col min="12041" max="12288" width="11.42578125" style="87"/>
    <col min="12289" max="12289" width="1.42578125" style="87" customWidth="1"/>
    <col min="12290" max="12290" width="40.42578125" style="87" customWidth="1"/>
    <col min="12291" max="12291" width="1.28515625" style="87" customWidth="1"/>
    <col min="12292" max="12292" width="4.5703125" style="87" customWidth="1"/>
    <col min="12293" max="12293" width="5" style="87" customWidth="1"/>
    <col min="12294" max="12295" width="10.85546875" style="87" customWidth="1"/>
    <col min="12296" max="12296" width="1.42578125" style="87" customWidth="1"/>
    <col min="12297" max="12544" width="11.42578125" style="87"/>
    <col min="12545" max="12545" width="1.42578125" style="87" customWidth="1"/>
    <col min="12546" max="12546" width="40.42578125" style="87" customWidth="1"/>
    <col min="12547" max="12547" width="1.28515625" style="87" customWidth="1"/>
    <col min="12548" max="12548" width="4.5703125" style="87" customWidth="1"/>
    <col min="12549" max="12549" width="5" style="87" customWidth="1"/>
    <col min="12550" max="12551" width="10.85546875" style="87" customWidth="1"/>
    <col min="12552" max="12552" width="1.42578125" style="87" customWidth="1"/>
    <col min="12553" max="12800" width="11.42578125" style="87"/>
    <col min="12801" max="12801" width="1.42578125" style="87" customWidth="1"/>
    <col min="12802" max="12802" width="40.42578125" style="87" customWidth="1"/>
    <col min="12803" max="12803" width="1.28515625" style="87" customWidth="1"/>
    <col min="12804" max="12804" width="4.5703125" style="87" customWidth="1"/>
    <col min="12805" max="12805" width="5" style="87" customWidth="1"/>
    <col min="12806" max="12807" width="10.85546875" style="87" customWidth="1"/>
    <col min="12808" max="12808" width="1.42578125" style="87" customWidth="1"/>
    <col min="12809" max="13056" width="11.42578125" style="87"/>
    <col min="13057" max="13057" width="1.42578125" style="87" customWidth="1"/>
    <col min="13058" max="13058" width="40.42578125" style="87" customWidth="1"/>
    <col min="13059" max="13059" width="1.28515625" style="87" customWidth="1"/>
    <col min="13060" max="13060" width="4.5703125" style="87" customWidth="1"/>
    <col min="13061" max="13061" width="5" style="87" customWidth="1"/>
    <col min="13062" max="13063" width="10.85546875" style="87" customWidth="1"/>
    <col min="13064" max="13064" width="1.42578125" style="87" customWidth="1"/>
    <col min="13065" max="13312" width="11.42578125" style="87"/>
    <col min="13313" max="13313" width="1.42578125" style="87" customWidth="1"/>
    <col min="13314" max="13314" width="40.42578125" style="87" customWidth="1"/>
    <col min="13315" max="13315" width="1.28515625" style="87" customWidth="1"/>
    <col min="13316" max="13316" width="4.5703125" style="87" customWidth="1"/>
    <col min="13317" max="13317" width="5" style="87" customWidth="1"/>
    <col min="13318" max="13319" width="10.85546875" style="87" customWidth="1"/>
    <col min="13320" max="13320" width="1.42578125" style="87" customWidth="1"/>
    <col min="13321" max="13568" width="11.42578125" style="87"/>
    <col min="13569" max="13569" width="1.42578125" style="87" customWidth="1"/>
    <col min="13570" max="13570" width="40.42578125" style="87" customWidth="1"/>
    <col min="13571" max="13571" width="1.28515625" style="87" customWidth="1"/>
    <col min="13572" max="13572" width="4.5703125" style="87" customWidth="1"/>
    <col min="13573" max="13573" width="5" style="87" customWidth="1"/>
    <col min="13574" max="13575" width="10.85546875" style="87" customWidth="1"/>
    <col min="13576" max="13576" width="1.42578125" style="87" customWidth="1"/>
    <col min="13577" max="13824" width="11.42578125" style="87"/>
    <col min="13825" max="13825" width="1.42578125" style="87" customWidth="1"/>
    <col min="13826" max="13826" width="40.42578125" style="87" customWidth="1"/>
    <col min="13827" max="13827" width="1.28515625" style="87" customWidth="1"/>
    <col min="13828" max="13828" width="4.5703125" style="87" customWidth="1"/>
    <col min="13829" max="13829" width="5" style="87" customWidth="1"/>
    <col min="13830" max="13831" width="10.85546875" style="87" customWidth="1"/>
    <col min="13832" max="13832" width="1.42578125" style="87" customWidth="1"/>
    <col min="13833" max="14080" width="11.42578125" style="87"/>
    <col min="14081" max="14081" width="1.42578125" style="87" customWidth="1"/>
    <col min="14082" max="14082" width="40.42578125" style="87" customWidth="1"/>
    <col min="14083" max="14083" width="1.28515625" style="87" customWidth="1"/>
    <col min="14084" max="14084" width="4.5703125" style="87" customWidth="1"/>
    <col min="14085" max="14085" width="5" style="87" customWidth="1"/>
    <col min="14086" max="14087" width="10.85546875" style="87" customWidth="1"/>
    <col min="14088" max="14088" width="1.42578125" style="87" customWidth="1"/>
    <col min="14089" max="14336" width="11.42578125" style="87"/>
    <col min="14337" max="14337" width="1.42578125" style="87" customWidth="1"/>
    <col min="14338" max="14338" width="40.42578125" style="87" customWidth="1"/>
    <col min="14339" max="14339" width="1.28515625" style="87" customWidth="1"/>
    <col min="14340" max="14340" width="4.5703125" style="87" customWidth="1"/>
    <col min="14341" max="14341" width="5" style="87" customWidth="1"/>
    <col min="14342" max="14343" width="10.85546875" style="87" customWidth="1"/>
    <col min="14344" max="14344" width="1.42578125" style="87" customWidth="1"/>
    <col min="14345" max="14592" width="11.42578125" style="87"/>
    <col min="14593" max="14593" width="1.42578125" style="87" customWidth="1"/>
    <col min="14594" max="14594" width="40.42578125" style="87" customWidth="1"/>
    <col min="14595" max="14595" width="1.28515625" style="87" customWidth="1"/>
    <col min="14596" max="14596" width="4.5703125" style="87" customWidth="1"/>
    <col min="14597" max="14597" width="5" style="87" customWidth="1"/>
    <col min="14598" max="14599" width="10.85546875" style="87" customWidth="1"/>
    <col min="14600" max="14600" width="1.42578125" style="87" customWidth="1"/>
    <col min="14601" max="14848" width="11.42578125" style="87"/>
    <col min="14849" max="14849" width="1.42578125" style="87" customWidth="1"/>
    <col min="14850" max="14850" width="40.42578125" style="87" customWidth="1"/>
    <col min="14851" max="14851" width="1.28515625" style="87" customWidth="1"/>
    <col min="14852" max="14852" width="4.5703125" style="87" customWidth="1"/>
    <col min="14853" max="14853" width="5" style="87" customWidth="1"/>
    <col min="14854" max="14855" width="10.85546875" style="87" customWidth="1"/>
    <col min="14856" max="14856" width="1.42578125" style="87" customWidth="1"/>
    <col min="14857" max="15104" width="11.42578125" style="87"/>
    <col min="15105" max="15105" width="1.42578125" style="87" customWidth="1"/>
    <col min="15106" max="15106" width="40.42578125" style="87" customWidth="1"/>
    <col min="15107" max="15107" width="1.28515625" style="87" customWidth="1"/>
    <col min="15108" max="15108" width="4.5703125" style="87" customWidth="1"/>
    <col min="15109" max="15109" width="5" style="87" customWidth="1"/>
    <col min="15110" max="15111" width="10.85546875" style="87" customWidth="1"/>
    <col min="15112" max="15112" width="1.42578125" style="87" customWidth="1"/>
    <col min="15113" max="15360" width="11.42578125" style="87"/>
    <col min="15361" max="15361" width="1.42578125" style="87" customWidth="1"/>
    <col min="15362" max="15362" width="40.42578125" style="87" customWidth="1"/>
    <col min="15363" max="15363" width="1.28515625" style="87" customWidth="1"/>
    <col min="15364" max="15364" width="4.5703125" style="87" customWidth="1"/>
    <col min="15365" max="15365" width="5" style="87" customWidth="1"/>
    <col min="15366" max="15367" width="10.85546875" style="87" customWidth="1"/>
    <col min="15368" max="15368" width="1.42578125" style="87" customWidth="1"/>
    <col min="15369" max="15616" width="11.42578125" style="87"/>
    <col min="15617" max="15617" width="1.42578125" style="87" customWidth="1"/>
    <col min="15618" max="15618" width="40.42578125" style="87" customWidth="1"/>
    <col min="15619" max="15619" width="1.28515625" style="87" customWidth="1"/>
    <col min="15620" max="15620" width="4.5703125" style="87" customWidth="1"/>
    <col min="15621" max="15621" width="5" style="87" customWidth="1"/>
    <col min="15622" max="15623" width="10.85546875" style="87" customWidth="1"/>
    <col min="15624" max="15624" width="1.42578125" style="87" customWidth="1"/>
    <col min="15625" max="15872" width="11.42578125" style="87"/>
    <col min="15873" max="15873" width="1.42578125" style="87" customWidth="1"/>
    <col min="15874" max="15874" width="40.42578125" style="87" customWidth="1"/>
    <col min="15875" max="15875" width="1.28515625" style="87" customWidth="1"/>
    <col min="15876" max="15876" width="4.5703125" style="87" customWidth="1"/>
    <col min="15877" max="15877" width="5" style="87" customWidth="1"/>
    <col min="15878" max="15879" width="10.85546875" style="87" customWidth="1"/>
    <col min="15880" max="15880" width="1.42578125" style="87" customWidth="1"/>
    <col min="15881" max="16128" width="11.42578125" style="87"/>
    <col min="16129" max="16129" width="1.42578125" style="87" customWidth="1"/>
    <col min="16130" max="16130" width="40.42578125" style="87" customWidth="1"/>
    <col min="16131" max="16131" width="1.28515625" style="87" customWidth="1"/>
    <col min="16132" max="16132" width="4.5703125" style="87" customWidth="1"/>
    <col min="16133" max="16133" width="5" style="87" customWidth="1"/>
    <col min="16134" max="16135" width="10.85546875" style="87" customWidth="1"/>
    <col min="16136" max="16136" width="1.42578125" style="87" customWidth="1"/>
    <col min="16137" max="16384" width="11.42578125" style="87"/>
  </cols>
  <sheetData>
    <row r="1" spans="1:8" ht="8.25" customHeight="1"/>
    <row r="2" spans="1:8">
      <c r="A2" s="82"/>
      <c r="B2" s="236" t="s">
        <v>72</v>
      </c>
      <c r="C2" s="84"/>
      <c r="D2" s="84"/>
      <c r="E2" s="84"/>
      <c r="F2" s="84"/>
      <c r="G2" s="84"/>
      <c r="H2" s="86"/>
    </row>
    <row r="3" spans="1:8">
      <c r="A3" s="88"/>
      <c r="B3" s="89"/>
      <c r="C3" s="90"/>
      <c r="E3" s="90"/>
      <c r="F3" s="90"/>
      <c r="G3" s="90"/>
      <c r="H3" s="93"/>
    </row>
    <row r="4" spans="1:8">
      <c r="A4" s="88"/>
      <c r="B4" s="115" t="s">
        <v>310</v>
      </c>
      <c r="C4" s="90"/>
      <c r="E4" s="90"/>
      <c r="F4" s="90"/>
      <c r="G4" s="90"/>
      <c r="H4" s="93"/>
    </row>
    <row r="5" spans="1:8">
      <c r="A5" s="88"/>
      <c r="B5" s="115" t="s">
        <v>309</v>
      </c>
      <c r="C5" s="90"/>
      <c r="E5" s="90"/>
      <c r="F5" s="90"/>
      <c r="G5" s="90"/>
      <c r="H5" s="93"/>
    </row>
    <row r="6" spans="1:8">
      <c r="A6" s="88"/>
      <c r="H6" s="93"/>
    </row>
    <row r="7" spans="1:8">
      <c r="A7" s="88"/>
      <c r="B7" s="95" t="s">
        <v>74</v>
      </c>
      <c r="D7" s="96" t="s">
        <v>75</v>
      </c>
      <c r="E7" s="96" t="s">
        <v>71</v>
      </c>
      <c r="F7" s="96" t="s">
        <v>70</v>
      </c>
      <c r="G7" s="96" t="s">
        <v>76</v>
      </c>
      <c r="H7" s="93"/>
    </row>
    <row r="8" spans="1:8" ht="25.5" customHeight="1">
      <c r="A8" s="88"/>
      <c r="B8" s="237" t="s">
        <v>311</v>
      </c>
      <c r="D8" s="238" t="s">
        <v>182</v>
      </c>
      <c r="E8" s="239">
        <v>1</v>
      </c>
      <c r="F8" s="240">
        <v>370000</v>
      </c>
      <c r="G8" s="240">
        <f t="shared" ref="G8:G10" si="0">+E8*F8</f>
        <v>370000</v>
      </c>
      <c r="H8" s="93"/>
    </row>
    <row r="9" spans="1:8">
      <c r="A9" s="88"/>
      <c r="B9" s="98"/>
      <c r="D9" s="96"/>
      <c r="E9" s="98"/>
      <c r="F9" s="99"/>
      <c r="G9" s="99">
        <f t="shared" si="0"/>
        <v>0</v>
      </c>
      <c r="H9" s="93"/>
    </row>
    <row r="10" spans="1:8" ht="13.5" thickBot="1">
      <c r="A10" s="88"/>
      <c r="B10" s="98"/>
      <c r="D10" s="96"/>
      <c r="E10" s="98"/>
      <c r="F10" s="99"/>
      <c r="G10" s="99">
        <f t="shared" si="0"/>
        <v>0</v>
      </c>
      <c r="H10" s="93"/>
    </row>
    <row r="11" spans="1:8" ht="13.5" thickBot="1">
      <c r="A11" s="88"/>
      <c r="F11" s="100" t="s">
        <v>77</v>
      </c>
      <c r="G11" s="101">
        <f>SUM(G8:G10)</f>
        <v>370000</v>
      </c>
      <c r="H11" s="93"/>
    </row>
    <row r="12" spans="1:8">
      <c r="A12" s="88"/>
      <c r="F12" s="100"/>
      <c r="G12" s="94"/>
      <c r="H12" s="93"/>
    </row>
    <row r="13" spans="1:8">
      <c r="A13" s="88"/>
      <c r="B13" s="95" t="s">
        <v>78</v>
      </c>
      <c r="C13" s="90"/>
      <c r="D13" s="96" t="s">
        <v>79</v>
      </c>
      <c r="E13" s="96"/>
      <c r="F13" s="102" t="s">
        <v>80</v>
      </c>
      <c r="G13" s="97" t="s">
        <v>76</v>
      </c>
      <c r="H13" s="93"/>
    </row>
    <row r="14" spans="1:8">
      <c r="A14" s="88"/>
      <c r="B14" s="98" t="s">
        <v>306</v>
      </c>
      <c r="D14" s="243">
        <v>0.80010032605970594</v>
      </c>
      <c r="E14" s="103"/>
      <c r="F14" s="104">
        <f>+'M.O.'!E4</f>
        <v>67666.666666666672</v>
      </c>
      <c r="G14" s="99">
        <f>+F14/D14</f>
        <v>84572.727272726013</v>
      </c>
      <c r="H14" s="93"/>
    </row>
    <row r="15" spans="1:8">
      <c r="A15" s="88"/>
      <c r="B15" s="98" t="s">
        <v>91</v>
      </c>
      <c r="D15" s="243">
        <f>+D14</f>
        <v>0.80010032605970594</v>
      </c>
      <c r="E15" s="103"/>
      <c r="F15" s="104">
        <f>+'M.O.'!E46</f>
        <v>38666.666666666664</v>
      </c>
      <c r="G15" s="99">
        <f>+F15/D15</f>
        <v>48327.272727272</v>
      </c>
      <c r="H15" s="93"/>
    </row>
    <row r="16" spans="1:8" ht="13.5" thickBot="1">
      <c r="A16" s="88"/>
      <c r="B16" s="98"/>
      <c r="D16" s="96"/>
      <c r="E16" s="103"/>
      <c r="F16" s="104"/>
      <c r="G16" s="99">
        <v>0</v>
      </c>
      <c r="H16" s="93"/>
    </row>
    <row r="17" spans="1:8" ht="13.5" thickBot="1">
      <c r="A17" s="88"/>
      <c r="F17" s="100" t="s">
        <v>77</v>
      </c>
      <c r="G17" s="101">
        <f>SUM(G14:G16)</f>
        <v>132899.99999999802</v>
      </c>
      <c r="H17" s="93"/>
    </row>
    <row r="18" spans="1:8">
      <c r="A18" s="88"/>
      <c r="F18" s="94"/>
      <c r="G18" s="94"/>
      <c r="H18" s="93"/>
    </row>
    <row r="19" spans="1:8">
      <c r="A19" s="88"/>
      <c r="B19" s="98" t="s">
        <v>83</v>
      </c>
      <c r="E19" s="96" t="s">
        <v>79</v>
      </c>
      <c r="F19" s="97" t="s">
        <v>84</v>
      </c>
      <c r="G19" s="97" t="s">
        <v>76</v>
      </c>
      <c r="H19" s="93"/>
    </row>
    <row r="20" spans="1:8">
      <c r="A20" s="88"/>
      <c r="B20" s="98" t="s">
        <v>307</v>
      </c>
      <c r="E20" s="98">
        <v>1</v>
      </c>
      <c r="F20" s="99">
        <v>500</v>
      </c>
      <c r="G20" s="99">
        <f>F20/E20</f>
        <v>500</v>
      </c>
      <c r="H20" s="93"/>
    </row>
    <row r="21" spans="1:8" ht="13.5" thickBot="1">
      <c r="A21" s="88"/>
      <c r="B21" s="98"/>
      <c r="E21" s="98"/>
      <c r="F21" s="99"/>
      <c r="G21" s="99">
        <v>0</v>
      </c>
      <c r="H21" s="93"/>
    </row>
    <row r="22" spans="1:8" ht="13.5" thickBot="1">
      <c r="A22" s="88"/>
      <c r="F22" s="100" t="s">
        <v>77</v>
      </c>
      <c r="G22" s="101">
        <f>SUM(G20:G21)</f>
        <v>500</v>
      </c>
      <c r="H22" s="93"/>
    </row>
    <row r="23" spans="1:8">
      <c r="A23" s="88"/>
      <c r="F23" s="94"/>
      <c r="G23" s="94"/>
      <c r="H23" s="93"/>
    </row>
    <row r="24" spans="1:8">
      <c r="A24" s="88"/>
      <c r="B24" s="98" t="s">
        <v>86</v>
      </c>
      <c r="E24" s="96" t="s">
        <v>71</v>
      </c>
      <c r="F24" s="97" t="s">
        <v>84</v>
      </c>
      <c r="G24" s="97" t="s">
        <v>76</v>
      </c>
      <c r="H24" s="93"/>
    </row>
    <row r="25" spans="1:8">
      <c r="A25" s="88"/>
      <c r="B25" s="98" t="s">
        <v>308</v>
      </c>
      <c r="E25" s="98">
        <v>1</v>
      </c>
      <c r="F25" s="99">
        <v>60000</v>
      </c>
      <c r="G25" s="99">
        <f>+E25*F25</f>
        <v>60000</v>
      </c>
      <c r="H25" s="93"/>
    </row>
    <row r="26" spans="1:8">
      <c r="A26" s="88"/>
      <c r="B26" s="98"/>
      <c r="E26" s="98"/>
      <c r="F26" s="99"/>
      <c r="G26" s="99">
        <f>+E26*F26</f>
        <v>0</v>
      </c>
      <c r="H26" s="93"/>
    </row>
    <row r="27" spans="1:8" ht="13.5" thickBot="1">
      <c r="A27" s="88"/>
      <c r="B27" s="98"/>
      <c r="E27" s="98"/>
      <c r="F27" s="99"/>
      <c r="G27" s="99">
        <f>+E27*F27</f>
        <v>0</v>
      </c>
      <c r="H27" s="93"/>
    </row>
    <row r="28" spans="1:8" ht="13.5" thickBot="1">
      <c r="A28" s="88"/>
      <c r="F28" s="100" t="s">
        <v>77</v>
      </c>
      <c r="G28" s="101">
        <f>SUM(G25:G27)</f>
        <v>60000</v>
      </c>
      <c r="H28" s="93"/>
    </row>
    <row r="29" spans="1:8" ht="13.5" thickBot="1">
      <c r="A29" s="88"/>
      <c r="F29" s="94"/>
      <c r="G29" s="94"/>
      <c r="H29" s="93"/>
    </row>
    <row r="30" spans="1:8" ht="13.5" thickBot="1">
      <c r="A30" s="88"/>
      <c r="F30" s="100" t="s">
        <v>87</v>
      </c>
      <c r="G30" s="241">
        <f>+G11+G17+G28+G22</f>
        <v>563399.99999999802</v>
      </c>
      <c r="H30" s="93"/>
    </row>
    <row r="31" spans="1:8">
      <c r="A31" s="105"/>
      <c r="B31" s="106"/>
      <c r="C31" s="106"/>
      <c r="D31" s="107"/>
      <c r="E31" s="106"/>
      <c r="F31" s="106"/>
      <c r="G31" s="106"/>
      <c r="H31" s="109"/>
    </row>
    <row r="37" spans="1:8">
      <c r="A37" s="90"/>
      <c r="B37" s="90"/>
      <c r="C37" s="90"/>
      <c r="D37" s="90"/>
      <c r="E37" s="90"/>
      <c r="F37" s="90"/>
      <c r="G37" s="90"/>
      <c r="H37" s="90"/>
    </row>
    <row r="38" spans="1:8">
      <c r="A38" s="90"/>
      <c r="B38" s="90"/>
      <c r="C38" s="90"/>
      <c r="D38" s="90"/>
      <c r="E38" s="90"/>
      <c r="F38" s="90"/>
      <c r="G38" s="90"/>
      <c r="H38" s="90"/>
    </row>
  </sheetData>
  <printOptions horizontalCentered="1"/>
  <pageMargins left="0.83" right="0.75" top="1.51" bottom="1" header="0.511811024" footer="0.511811024"/>
  <pageSetup orientation="portrait" horizontalDpi="12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</vt:i4>
      </vt:variant>
    </vt:vector>
  </HeadingPairs>
  <TitlesOfParts>
    <vt:vector size="39" baseType="lpstr">
      <vt:lpstr>PPTO AULAS VILLANUEVA</vt:lpstr>
      <vt:lpstr>M.O.</vt:lpstr>
      <vt:lpstr>Aseo y limpieza</vt:lpstr>
      <vt:lpstr>División aluminio y crilico</vt:lpstr>
      <vt:lpstr>Orinal</vt:lpstr>
      <vt:lpstr>Sanitario sencillo</vt:lpstr>
      <vt:lpstr>Lavamanos </vt:lpstr>
      <vt:lpstr>Ventaneria de alum 0.40x0.40</vt:lpstr>
      <vt:lpstr>Ventaneria de alum 1.5x1.5</vt:lpstr>
      <vt:lpstr>Tub sanit 2"</vt:lpstr>
      <vt:lpstr>Tub sanit 4"</vt:lpstr>
      <vt:lpstr>Reg sanit 82x82</vt:lpstr>
      <vt:lpstr>Punto sanitario 4" </vt:lpstr>
      <vt:lpstr>Punto sanitario 2"</vt:lpstr>
      <vt:lpstr>Punto hidrauico</vt:lpstr>
      <vt:lpstr>Tuberia 1l2" </vt:lpstr>
      <vt:lpstr>Tablero multi brake</vt:lpstr>
      <vt:lpstr>Salida tomacorriente</vt:lpstr>
      <vt:lpstr>Salida luminaria</vt:lpstr>
      <vt:lpstr>Salida luces</vt:lpstr>
      <vt:lpstr>Acom electrica</vt:lpstr>
      <vt:lpstr>Cubierta Teja ondulada</vt:lpstr>
      <vt:lpstr>Estructura Metalica Cubierta</vt:lpstr>
      <vt:lpstr>Pintura Vinilo Nº1</vt:lpstr>
      <vt:lpstr>Placa maciza e=0.15m</vt:lpstr>
      <vt:lpstr>Viga sup 12x20</vt:lpstr>
      <vt:lpstr>Columneta 0.20x0.20</vt:lpstr>
      <vt:lpstr>Muro Block Nº4</vt:lpstr>
      <vt:lpstr>Relleno material seleccionado</vt:lpstr>
      <vt:lpstr>Viga cim. 25x25</vt:lpstr>
      <vt:lpstr>Solado limpieza 2000psi e=5cm</vt:lpstr>
      <vt:lpstr>Excavación manual viga</vt:lpstr>
      <vt:lpstr>Descapote</vt:lpstr>
      <vt:lpstr>Trazado Loc y Rep.</vt:lpstr>
      <vt:lpstr>'Columneta 0.20x0.20'!Área_de_impresión</vt:lpstr>
      <vt:lpstr>'Placa maciza e=0.15m'!Área_de_impresión</vt:lpstr>
      <vt:lpstr>'PPTO AULAS VILLANUEVA'!Área_de_impresión</vt:lpstr>
      <vt:lpstr>'Viga cim. 25x25'!Área_de_impresión</vt:lpstr>
      <vt:lpstr>'Viga sup 12x20'!Área_de_impresión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LENOVO}</dc:creator>
  <cp:lastModifiedBy>Oficina Gestión de riesgos</cp:lastModifiedBy>
  <cp:lastPrinted>2023-05-03T02:46:11Z</cp:lastPrinted>
  <dcterms:created xsi:type="dcterms:W3CDTF">2023-04-28T18:43:11Z</dcterms:created>
  <dcterms:modified xsi:type="dcterms:W3CDTF">2023-10-03T21:15:34Z</dcterms:modified>
</cp:coreProperties>
</file>