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orge\Dropbox\Informe de Gestion\Informes Sectoriales\Infraestructura\"/>
    </mc:Choice>
  </mc:AlternateContent>
  <bookViews>
    <workbookView xWindow="0" yWindow="0" windowWidth="20490" windowHeight="7800" firstSheet="4" activeTab="7"/>
  </bookViews>
  <sheets>
    <sheet name="1. INFRAESTRUCTURA TPTE" sheetId="2" r:id="rId1"/>
    <sheet name="2. INVERSION VIAL" sheetId="4" r:id="rId2"/>
    <sheet name="3. RED VIAL DPTAL" sheetId="1" r:id="rId3"/>
    <sheet name="4.1 CONTRATOS 2012" sheetId="3" r:id="rId4"/>
    <sheet name="4.2 CONTRATOS 2013" sheetId="5" r:id="rId5"/>
    <sheet name="4.3 CONTRATOS 2014" sheetId="6" r:id="rId6"/>
    <sheet name="4.4 CONTRATOS 2015" sheetId="7" r:id="rId7"/>
    <sheet name="5. PROCESOS SELECCION" sheetId="8" r:id="rId8"/>
    <sheet name="6,1 DELEGACIONES" sheetId="9" r:id="rId9"/>
    <sheet name="6.2 REPRESENTACIONES" sheetId="10" r:id="rId10"/>
  </sheets>
  <definedNames>
    <definedName name="_xlnm.Print_Titles" localSheetId="0">'1. INFRAESTRUCTURA TPTE'!$7:$9</definedName>
    <definedName name="_xlnm.Print_Titles" localSheetId="1">'2. INVERSION VIAL'!$3:$5</definedName>
    <definedName name="_xlnm.Print_Titles" localSheetId="3">'4.1 CONTRATOS 2012'!$1:$2</definedName>
    <definedName name="_xlnm.Print_Titles" localSheetId="4">'4.2 CONTRATOS 2013'!$1:$2</definedName>
    <definedName name="_xlnm.Print_Titles" localSheetId="5">'4.3 CONTRATOS 2014'!$1:$2</definedName>
    <definedName name="_xlnm.Print_Titles" localSheetId="6">'4.4 CONTRATOS 2015'!$1:$2</definedName>
    <definedName name="_xlnm.Print_Titles" localSheetId="8">'6,1 DELEGACIONES'!$1:$1</definedName>
  </definedNames>
  <calcPr calcId="162913"/>
</workbook>
</file>

<file path=xl/calcChain.xml><?xml version="1.0" encoding="utf-8"?>
<calcChain xmlns="http://schemas.openxmlformats.org/spreadsheetml/2006/main">
  <c r="J177" i="4" l="1"/>
  <c r="E178" i="4"/>
  <c r="F178" i="4"/>
  <c r="G178" i="4"/>
  <c r="H178" i="4"/>
  <c r="I178" i="4"/>
  <c r="D137" i="2"/>
  <c r="D135" i="2"/>
  <c r="D95" i="2"/>
  <c r="D92" i="2"/>
  <c r="D11" i="2"/>
  <c r="D156" i="2" s="1"/>
  <c r="D96" i="4"/>
  <c r="D144" i="2"/>
  <c r="D142" i="2"/>
  <c r="D29" i="2"/>
  <c r="D31" i="2"/>
  <c r="D116" i="2"/>
  <c r="D81" i="2"/>
  <c r="D79" i="2"/>
  <c r="D73" i="2"/>
  <c r="D74" i="2"/>
  <c r="D68" i="2"/>
  <c r="D66" i="2"/>
  <c r="D61" i="2"/>
  <c r="D59" i="2"/>
  <c r="L64" i="4"/>
  <c r="D12" i="2"/>
  <c r="D10" i="2"/>
  <c r="L30" i="4" l="1"/>
  <c r="D27" i="2"/>
  <c r="D26" i="2"/>
  <c r="L166" i="4"/>
  <c r="L34" i="4"/>
  <c r="D150" i="2"/>
  <c r="D148" i="2"/>
  <c r="D71" i="2" l="1"/>
  <c r="D70" i="2"/>
  <c r="L87" i="4" l="1"/>
  <c r="D49" i="2"/>
  <c r="D47" i="2"/>
  <c r="L58" i="4" l="1"/>
  <c r="D64" i="2"/>
  <c r="D63" i="2"/>
  <c r="D28" i="2"/>
  <c r="D75" i="4" l="1"/>
  <c r="D141" i="2"/>
  <c r="D139" i="2"/>
  <c r="L162" i="4"/>
  <c r="E170" i="2" l="1"/>
  <c r="E169" i="2"/>
  <c r="E168" i="2"/>
  <c r="L40" i="4"/>
  <c r="L13" i="4"/>
  <c r="L46" i="4"/>
  <c r="L172" i="4"/>
  <c r="L169" i="4"/>
  <c r="L157" i="4"/>
  <c r="L152" i="4"/>
  <c r="L149" i="4"/>
  <c r="L140" i="4"/>
  <c r="L130" i="4"/>
  <c r="L124" i="4"/>
  <c r="L110" i="4"/>
  <c r="L105" i="4"/>
  <c r="L106" i="4" s="1"/>
  <c r="L103" i="4"/>
  <c r="L100" i="4"/>
  <c r="L95" i="4"/>
  <c r="L93" i="4"/>
  <c r="L90" i="4"/>
  <c r="L81" i="4"/>
  <c r="L73" i="4"/>
  <c r="L70" i="4"/>
  <c r="L175" i="4"/>
  <c r="L49" i="4"/>
  <c r="L50" i="4" s="1"/>
  <c r="L133" i="4"/>
  <c r="L19" i="4"/>
  <c r="L20" i="4" s="1"/>
  <c r="L17" i="4"/>
  <c r="L8" i="4"/>
  <c r="L22" i="4"/>
  <c r="L24" i="4" s="1"/>
  <c r="L75" i="4"/>
  <c r="L78" i="4" s="1"/>
  <c r="D60" i="4"/>
  <c r="D53" i="4"/>
  <c r="L96" i="4"/>
  <c r="L109" i="4"/>
  <c r="L10" i="4" l="1"/>
  <c r="L177" i="4"/>
  <c r="D178" i="4"/>
  <c r="D180" i="4" s="1"/>
  <c r="L176" i="4"/>
  <c r="L111" i="4"/>
  <c r="L97" i="4"/>
  <c r="L178" i="4" l="1"/>
  <c r="L180" i="4" s="1"/>
  <c r="S227" i="1"/>
  <c r="E19" i="1" l="1"/>
  <c r="D131" i="2" l="1"/>
  <c r="D130" i="2"/>
  <c r="D146" i="2"/>
  <c r="D147" i="2"/>
  <c r="D113" i="2"/>
  <c r="D112" i="2"/>
  <c r="D94" i="2"/>
  <c r="D82" i="2"/>
  <c r="D72" i="2"/>
  <c r="D48" i="2"/>
  <c r="D65" i="2"/>
  <c r="D45" i="2"/>
  <c r="D46" i="2"/>
  <c r="D21" i="2"/>
  <c r="D22" i="2"/>
  <c r="D19" i="2"/>
  <c r="D13" i="2"/>
  <c r="D138" i="2"/>
  <c r="D153" i="2"/>
  <c r="D152" i="2"/>
  <c r="D151" i="2"/>
  <c r="D145" i="2"/>
  <c r="D143" i="2"/>
  <c r="D129" i="2"/>
  <c r="D128" i="2"/>
  <c r="D126" i="2"/>
  <c r="D125" i="2"/>
  <c r="D122" i="2"/>
  <c r="D121" i="2"/>
  <c r="D120" i="2"/>
  <c r="D111" i="2"/>
  <c r="D107" i="2"/>
  <c r="D106" i="2"/>
  <c r="D105" i="2"/>
  <c r="D103" i="2"/>
  <c r="D100" i="2"/>
  <c r="K92" i="2"/>
  <c r="K89" i="2"/>
  <c r="D85" i="2"/>
  <c r="D84" i="2"/>
  <c r="D75" i="2"/>
  <c r="D58" i="2"/>
  <c r="D52" i="2"/>
  <c r="D51" i="2"/>
  <c r="D50" i="2"/>
  <c r="D44" i="2"/>
  <c r="D42" i="2"/>
  <c r="D34" i="2"/>
  <c r="D33" i="2"/>
  <c r="D25" i="2"/>
  <c r="D24" i="2"/>
  <c r="D23" i="2"/>
  <c r="D158" i="2" s="1"/>
  <c r="K20" i="2"/>
  <c r="K158" i="2" l="1"/>
  <c r="K164" i="2" s="1"/>
  <c r="D160" i="2"/>
  <c r="D172" i="2" s="1"/>
  <c r="D159" i="2"/>
  <c r="C172" i="2" s="1"/>
  <c r="B172" i="2" l="1"/>
  <c r="E172" i="2" s="1"/>
  <c r="D162" i="2"/>
  <c r="D164" i="2" s="1"/>
  <c r="A172" i="2"/>
</calcChain>
</file>

<file path=xl/sharedStrings.xml><?xml version="1.0" encoding="utf-8"?>
<sst xmlns="http://schemas.openxmlformats.org/spreadsheetml/2006/main" count="2679" uniqueCount="1200">
  <si>
    <t xml:space="preserve">      </t>
  </si>
  <si>
    <t>INFRAESTRUCTURA DE TRANSPORTE TERRITORIAL</t>
  </si>
  <si>
    <t>DEPARTAMENTO /MUNICIPIO</t>
  </si>
  <si>
    <t>TIPO DE INFRAESTRUCTURA</t>
  </si>
  <si>
    <t>Inventario de Infraestructura</t>
  </si>
  <si>
    <t>Monto Recursos</t>
  </si>
  <si>
    <t>% Ejecución de los recursos presupuestados</t>
  </si>
  <si>
    <t>Vías</t>
  </si>
  <si>
    <t>Aeropuertos</t>
  </si>
  <si>
    <t>Ferrocarril</t>
  </si>
  <si>
    <t>Ríos Navegables</t>
  </si>
  <si>
    <t>Rural</t>
  </si>
  <si>
    <t>Total Km.</t>
  </si>
  <si>
    <t>Estado (Bueno/ Regular /Malo)</t>
  </si>
  <si>
    <t>X</t>
  </si>
  <si>
    <t>B</t>
  </si>
  <si>
    <t>BUENO</t>
  </si>
  <si>
    <t>CANAL DEL DIQUE 115 KM</t>
  </si>
  <si>
    <t>SGR, DPS</t>
  </si>
  <si>
    <t>R</t>
  </si>
  <si>
    <t>M</t>
  </si>
  <si>
    <t>RIO CAUCA 620 KM</t>
  </si>
  <si>
    <t>INVIAS</t>
  </si>
  <si>
    <t>RIO MAGDALENA 1290KM</t>
  </si>
  <si>
    <t>DPTO-CREDITO</t>
  </si>
  <si>
    <t>RECURSOS DPTO, INVIAS</t>
  </si>
  <si>
    <t>DPTO- CREDITO, FUNDACION ARGOS E INVIAS</t>
  </si>
  <si>
    <t>Bolivar /BARRANCO DE LOBA</t>
  </si>
  <si>
    <t>DPTO- CREDITO, SGR</t>
  </si>
  <si>
    <t>REGULAR</t>
  </si>
  <si>
    <t>INVIAS, SGR</t>
  </si>
  <si>
    <t>DPTO, CREDITO</t>
  </si>
  <si>
    <t>ICLD, INVIAS, SGR Y DPTO -CREDITO</t>
  </si>
  <si>
    <t>DPS</t>
  </si>
  <si>
    <t>ICLD E INVIAS</t>
  </si>
  <si>
    <t>DELEGACION MINERA</t>
  </si>
  <si>
    <t>DPTO- CREDITO</t>
  </si>
  <si>
    <t>INVIAS, DELEGACION MINERA Y DPTO -BANCO DE MAQUINARIAS</t>
  </si>
  <si>
    <t>SGR</t>
  </si>
  <si>
    <t>DELEGACION MINERA Y DPTO-C. ESPECIAL</t>
  </si>
  <si>
    <t>VIAS MUNICIPALES</t>
  </si>
  <si>
    <t>MALO</t>
  </si>
  <si>
    <t>KM</t>
  </si>
  <si>
    <t>Urbano</t>
  </si>
  <si>
    <t>BOLÍVAR/ CARTAGENA</t>
  </si>
  <si>
    <t>BOLÍVAR/ ACHI</t>
  </si>
  <si>
    <t>BOLÍVAR/  ALTOS DEL ROSARIO</t>
  </si>
  <si>
    <t>BOLÍVAR/ARENAL DEL SUR</t>
  </si>
  <si>
    <t>BOLÍVAR/ ARJONA</t>
  </si>
  <si>
    <t>BOLÍVAR/ ARROYOHONDO</t>
  </si>
  <si>
    <t>BOLÍVAR / CALAMAR</t>
  </si>
  <si>
    <t>BOLÍVAR/ CANTAGALLO</t>
  </si>
  <si>
    <t>BOLÍVAR/CICUCO</t>
  </si>
  <si>
    <t>BOLÍVAR/ CLEMENCIA</t>
  </si>
  <si>
    <t>BOLÍVAR/ CORDOBA</t>
  </si>
  <si>
    <t>BOLÍVAR/ EL CARMEN DE BOLÍVAR</t>
  </si>
  <si>
    <t>BOLÍVAR/ EL GUAMO</t>
  </si>
  <si>
    <t>BOLÍVAR/ MAHATES</t>
  </si>
  <si>
    <t>BOLÍVAR/ MARIA LA BAJA</t>
  </si>
  <si>
    <t>BOLÍVAR/ MORALES</t>
  </si>
  <si>
    <t>BOLÍVAR/   NOROSI</t>
  </si>
  <si>
    <t>BOLÍVAR/ REGIDOR</t>
  </si>
  <si>
    <t>BOLÍVAR/ RIO VIEJO</t>
  </si>
  <si>
    <t>BOLÍVAR/ SAN CRISTOBAL</t>
  </si>
  <si>
    <t>BOLÍVAR/ SAN ESTANISLAO</t>
  </si>
  <si>
    <t>BOLÍVAR/ SAN JACINTO</t>
  </si>
  <si>
    <t>BOLÍVAR/ SAN JACINTO DEL CAUCA</t>
  </si>
  <si>
    <t>BOLÍVAR/  SAN JUAN NEPOMUCENO</t>
  </si>
  <si>
    <t>BOLÍVAR/ SANTA CATALINA</t>
  </si>
  <si>
    <t>BOLÍVAR/ SANTA ROSA DE LIMA</t>
  </si>
  <si>
    <t>BOLÍVAR/ SIMITI</t>
  </si>
  <si>
    <t>BOLÍVAR/ SOPLAVIENTO</t>
  </si>
  <si>
    <t>BOLÍVAR/ TALAIGUA NUEVO</t>
  </si>
  <si>
    <t>BOLÍVAR/  TIQUISIO</t>
  </si>
  <si>
    <t>BOLÍVAR/ TURBACO</t>
  </si>
  <si>
    <t>BOLÍVAR/ TURBANA</t>
  </si>
  <si>
    <t>BOLÍVAR/ VILLANUEVA</t>
  </si>
  <si>
    <t>BOLÍVAR/ ZAMBRANO</t>
  </si>
  <si>
    <t>BOLÍVAR/  HATILLO DE LOBA</t>
  </si>
  <si>
    <t>BOLÍVAR/  EL PEÑON</t>
  </si>
  <si>
    <t>BOLÍVAR/  MARGARITA</t>
  </si>
  <si>
    <t>BOLÍVAR/  MOMPÓS</t>
  </si>
  <si>
    <t>BOLÍVAR/   MONTECRISTO</t>
  </si>
  <si>
    <t>BOLÍVAR/  SAN FERNANDO</t>
  </si>
  <si>
    <t>BOLÍVAR/   SAN MARTIN DE LOBA</t>
  </si>
  <si>
    <t>BOLÍVAR/  SAN PABLO</t>
  </si>
  <si>
    <t>BOLÍVAR/  SANTA ROSA SUR</t>
  </si>
  <si>
    <t>RESUMEN ESTADO DE LA RED  VIAL</t>
  </si>
  <si>
    <t>Fuentes de FiNAnciamiento (SGP,SGR, PGN, CofiNAnciación,etc.)</t>
  </si>
  <si>
    <t>NA</t>
  </si>
  <si>
    <t>DPTO/ BANCO MAQUINARIA</t>
  </si>
  <si>
    <t>DPTO- BANCO MAQUINARIA Y SGR</t>
  </si>
  <si>
    <t xml:space="preserve">DPTO- BANCO MAQUINARIA </t>
  </si>
  <si>
    <t>RIO MAGDALENA-BRAZO DE MORALES/ 1290KM</t>
  </si>
  <si>
    <t>RIO MAGDALENA- RAMAL CAÑO DEL ALTO/ 1290KM</t>
  </si>
  <si>
    <t>RIO MAGDALENA- RAMAL CAÑO CICUCO- 1290 KM</t>
  </si>
  <si>
    <t>RIO MAGDALENA- RAMAL CORDOBA 1290KM</t>
  </si>
  <si>
    <t>RIO MAGDALENA- BRAZO MOMPÓS 1290KM</t>
  </si>
  <si>
    <t>RIO CAUCA- COMPLEJO CENAGOSO / 620 KM</t>
  </si>
  <si>
    <t>RIO MAGDALENA- BRAZO MORALES/ 1290KM</t>
  </si>
  <si>
    <t xml:space="preserve">BOLÍVAR/   PINILLOS </t>
  </si>
  <si>
    <t>RIO MAGDALENA- BRAZO SIMITI- CIENEGA/ 1290KM</t>
  </si>
  <si>
    <t>RIO MAGDALENA - BRAZO MOMPÓS/ 1290KM</t>
  </si>
  <si>
    <t>RIO MAGDALENA - COMPLEJO CENAGOSO/ 1290KM</t>
  </si>
  <si>
    <t>Código de la vía</t>
  </si>
  <si>
    <t>Municipios</t>
  </si>
  <si>
    <t>Tramo</t>
  </si>
  <si>
    <t>Ancho promedio de la calzada (m)</t>
  </si>
  <si>
    <t>Longitud aproximada total (km)</t>
  </si>
  <si>
    <t>Desde</t>
  </si>
  <si>
    <t>Hasta</t>
  </si>
  <si>
    <t>25BL01</t>
  </si>
  <si>
    <t>SAN JACINTO</t>
  </si>
  <si>
    <t>K 0+000 (San Jacinto : Pontón Existente en la salida de la vía al "Cerro de Maco").</t>
  </si>
  <si>
    <t>K 15+000 (Cerro de Maco: Puesto Militar).</t>
  </si>
  <si>
    <t>25BL03</t>
  </si>
  <si>
    <t>MAHATES, ARROYO, CALAMAR</t>
  </si>
  <si>
    <t>K0+000 (Entrada a Mahates: Carretera "Carreto - Cruz del Viso", Sector Malagana)</t>
  </si>
  <si>
    <t>K40+000 ( "El Tigre": Carretera Troncal de Occidente, Sector "Carreto - Calamar" ).</t>
  </si>
  <si>
    <t>78BL01-B</t>
  </si>
  <si>
    <t>MAGANGUE</t>
  </si>
  <si>
    <t>K 0+000 (Juan Arias: Carretera "Puerta de Hierro - Magangué". Batea existente).</t>
  </si>
  <si>
    <t>K 2+000 (Vía a Buenavista, Límites Departamento de Sucre )</t>
  </si>
  <si>
    <t>80BL01</t>
  </si>
  <si>
    <t>ZAMBRANO</t>
  </si>
  <si>
    <t>K 0+000 (Zambrano:Carretera "El Carmen - Plato - Zambrano").</t>
  </si>
  <si>
    <t>K 4+000 (Antiguo Puerto Fluvial Ferry - Orilla Río Magdalena)</t>
  </si>
  <si>
    <t>9006A</t>
  </si>
  <si>
    <t>SANTA ROSA, VILLA NUEVA, SAN ESTANISLAO</t>
  </si>
  <si>
    <t>K 0+000 (Cruce Ruta 90: Carretera Cartagena - Bayunca).</t>
  </si>
  <si>
    <t>K 33+000 (Entrada a "San Estanislao de Kostka").</t>
  </si>
  <si>
    <t>90ABL01</t>
  </si>
  <si>
    <t>CARTAGENA</t>
  </si>
  <si>
    <t>K 0+000 (Bayunca: Carretera "La Cordialidad"- Entrada a la " Vía Al Mar " ).</t>
  </si>
  <si>
    <t>K7+400 (Sector Marahuaco: Intersección Carretera  " Vía Al Mar ").</t>
  </si>
  <si>
    <t>90ABL02</t>
  </si>
  <si>
    <t>SANTA CATALINA</t>
  </si>
  <si>
    <t>K 0+000 (Lomita Arena: Intersección Carretera  "Vía Al Mar").</t>
  </si>
  <si>
    <t>K 8+000 (Galerazamba, Sector de "Explotación Salinas").</t>
  </si>
  <si>
    <t>90BL03</t>
  </si>
  <si>
    <t>K 0+000 (Santa Catalina: Carretera "La Cordialidad", Sector "Entrada al corregimiento de Lomita Arena).</t>
  </si>
  <si>
    <t>K 13+600 (Lomita Arena: Intersección Carretera  "Vía Al Mar").</t>
  </si>
  <si>
    <t>90BLA</t>
  </si>
  <si>
    <t>MARIA LA BAJA</t>
  </si>
  <si>
    <t>K0+000 (Entrada a María La Baja: Carretera "Cruz del Viso - San Onofre")</t>
  </si>
  <si>
    <t>K 3+000 (María La Baja: Sector Urbano).</t>
  </si>
  <si>
    <t xml:space="preserve">Código  de la vía </t>
  </si>
  <si>
    <t xml:space="preserve">Tramo                                           </t>
  </si>
  <si>
    <t>Longitud en Km</t>
  </si>
  <si>
    <t>25 - 15</t>
  </si>
  <si>
    <t>Carmen de Bolívar, San Jacinto, San Juan, Calamar</t>
  </si>
  <si>
    <t>Puerta de Hierro</t>
  </si>
  <si>
    <t>Calamar</t>
  </si>
  <si>
    <t>25-BL02</t>
  </si>
  <si>
    <t>San Juan, Mahates</t>
  </si>
  <si>
    <t>Carreto</t>
  </si>
  <si>
    <t>Cruz del Viso</t>
  </si>
  <si>
    <t>78-02</t>
  </si>
  <si>
    <t>Magangué</t>
  </si>
  <si>
    <t>Yatí</t>
  </si>
  <si>
    <t>78-03</t>
  </si>
  <si>
    <t>Mompós, Talaiga Nuevo, Cicuco</t>
  </si>
  <si>
    <t>La Bodega</t>
  </si>
  <si>
    <t>Mompós</t>
  </si>
  <si>
    <t>78-04</t>
  </si>
  <si>
    <t>Mompós, San Fernando, Margarita</t>
  </si>
  <si>
    <t>Guamal</t>
  </si>
  <si>
    <t>80-01</t>
  </si>
  <si>
    <t>El Cármen de Bolívar, Zambrano</t>
  </si>
  <si>
    <t>Carmen</t>
  </si>
  <si>
    <t>Plato</t>
  </si>
  <si>
    <t>90-05</t>
  </si>
  <si>
    <t>Cartagena, Turbaco, Mahates, María La Baja</t>
  </si>
  <si>
    <t>María La Baja</t>
  </si>
  <si>
    <t>Cartagena</t>
  </si>
  <si>
    <t>90-06</t>
  </si>
  <si>
    <t>Cartagena, Clemencia, Santa Catalina</t>
  </si>
  <si>
    <t>Barranquilla</t>
  </si>
  <si>
    <t>90A-01</t>
  </si>
  <si>
    <t>Cartagena, Santa Catalina</t>
  </si>
  <si>
    <t>Lomita Arena</t>
  </si>
  <si>
    <t>90-BLB</t>
  </si>
  <si>
    <t>Cartagena, Turbaná, Arjona</t>
  </si>
  <si>
    <t>Variante de Gambote</t>
  </si>
  <si>
    <t>Accesos</t>
  </si>
  <si>
    <t>90-BLC</t>
  </si>
  <si>
    <t>Cartagena, Turbaco</t>
  </si>
  <si>
    <t>Variante de Cartagena</t>
  </si>
  <si>
    <t>TOTAL RED PRIMARA</t>
  </si>
  <si>
    <t>Ficha F.V.1 :   RED VIAL SECUNDARIA</t>
  </si>
  <si>
    <t xml:space="preserve"> Tabla 13.1: RED VIAL PRIMARIA </t>
  </si>
  <si>
    <t>SUBTOTAL</t>
  </si>
  <si>
    <t>RED TERCIARIA A CARGO DEL INVIAS POR MUNICIPIOS</t>
  </si>
  <si>
    <t>Código  de la vía Terciaria</t>
  </si>
  <si>
    <t xml:space="preserve">Longitud </t>
  </si>
  <si>
    <t>(km)</t>
  </si>
  <si>
    <t xml:space="preserve">Anillo Vial </t>
  </si>
  <si>
    <t>Puerto Rey</t>
  </si>
  <si>
    <t>72663</t>
  </si>
  <si>
    <t>Pasacaballos</t>
  </si>
  <si>
    <t>Barú</t>
  </si>
  <si>
    <t>72674</t>
  </si>
  <si>
    <t>Doña Manuela</t>
  </si>
  <si>
    <t>Campaña</t>
  </si>
  <si>
    <t>72683</t>
  </si>
  <si>
    <t>Anillo Vial</t>
  </si>
  <si>
    <t>Manzanillo del Mar</t>
  </si>
  <si>
    <t>72685</t>
  </si>
  <si>
    <t>Bayunca (Anillo Vial)</t>
  </si>
  <si>
    <t>Cantera Bajo Grande</t>
  </si>
  <si>
    <t>72693</t>
  </si>
  <si>
    <t>Punta Canoa</t>
  </si>
  <si>
    <t>72695</t>
  </si>
  <si>
    <t>Arroyo de Piedra</t>
  </si>
  <si>
    <t>73426</t>
  </si>
  <si>
    <t>Arroyo Grande</t>
  </si>
  <si>
    <t>Matarratones</t>
  </si>
  <si>
    <t>72673</t>
  </si>
  <si>
    <t>Galerazamba</t>
  </si>
  <si>
    <t>71085</t>
  </si>
  <si>
    <t>Achí</t>
  </si>
  <si>
    <t>Achi</t>
  </si>
  <si>
    <t>Majagual</t>
  </si>
  <si>
    <t>71134</t>
  </si>
  <si>
    <t>Rio Nuevo</t>
  </si>
  <si>
    <t>La Bomba</t>
  </si>
  <si>
    <t>71065</t>
  </si>
  <si>
    <t>Puerto Venecia</t>
  </si>
  <si>
    <t>Tiquisio</t>
  </si>
  <si>
    <t>71161</t>
  </si>
  <si>
    <t>Altos del Rosario</t>
  </si>
  <si>
    <t>Cañate</t>
  </si>
  <si>
    <t>La Pacha</t>
  </si>
  <si>
    <t>71150</t>
  </si>
  <si>
    <t>Los Papayos</t>
  </si>
  <si>
    <t>El Sudan</t>
  </si>
  <si>
    <t>71179</t>
  </si>
  <si>
    <t>Barranco de Loba (Portugal)</t>
  </si>
  <si>
    <t>Alto del Rosario</t>
  </si>
  <si>
    <t>70800</t>
  </si>
  <si>
    <t>Arenal del Sur</t>
  </si>
  <si>
    <t>Arenal</t>
  </si>
  <si>
    <t>Simoita</t>
  </si>
  <si>
    <t>70900</t>
  </si>
  <si>
    <t>Buenavista</t>
  </si>
  <si>
    <t>Norosi</t>
  </si>
  <si>
    <t>70920</t>
  </si>
  <si>
    <t>La Conformidad</t>
  </si>
  <si>
    <t>70930</t>
  </si>
  <si>
    <t>La Dorada</t>
  </si>
  <si>
    <t>72569</t>
  </si>
  <si>
    <t>Arjona</t>
  </si>
  <si>
    <t>Arjona - Rocha</t>
  </si>
  <si>
    <t>72579</t>
  </si>
  <si>
    <t>Arjona - Las Piedras</t>
  </si>
  <si>
    <t>72589</t>
  </si>
  <si>
    <t>Arjona - Bayano</t>
  </si>
  <si>
    <t>72761</t>
  </si>
  <si>
    <t>Arroyo Hondo</t>
  </si>
  <si>
    <t>Mahates</t>
  </si>
  <si>
    <t>Sato</t>
  </si>
  <si>
    <t>72763</t>
  </si>
  <si>
    <t>Arroyo Hondo Sato</t>
  </si>
  <si>
    <t>Ramal El Pilon</t>
  </si>
  <si>
    <t>72777</t>
  </si>
  <si>
    <t>Huigueretal</t>
  </si>
  <si>
    <t>71159</t>
  </si>
  <si>
    <t>Barranco de Loba</t>
  </si>
  <si>
    <t>71169</t>
  </si>
  <si>
    <t>San Antonio</t>
  </si>
  <si>
    <t>71171</t>
  </si>
  <si>
    <t>San Martin de Loba</t>
  </si>
  <si>
    <t>72757</t>
  </si>
  <si>
    <t>Barranca Vieja.</t>
  </si>
  <si>
    <t>72759</t>
  </si>
  <si>
    <t>Barranca Vieja</t>
  </si>
  <si>
    <t>Yucal</t>
  </si>
  <si>
    <t>72760</t>
  </si>
  <si>
    <t>Machado</t>
  </si>
  <si>
    <t>70501</t>
  </si>
  <si>
    <t>Cantagallo</t>
  </si>
  <si>
    <t>Vía a Yondo</t>
  </si>
  <si>
    <t>San Pablo</t>
  </si>
  <si>
    <t>73419</t>
  </si>
  <si>
    <t>Clemencia</t>
  </si>
  <si>
    <t>73420</t>
  </si>
  <si>
    <t>San Isidro</t>
  </si>
  <si>
    <t>73421</t>
  </si>
  <si>
    <t xml:space="preserve">Clemencia </t>
  </si>
  <si>
    <t>Camaron</t>
  </si>
  <si>
    <t>73422</t>
  </si>
  <si>
    <t>Franco</t>
  </si>
  <si>
    <t>73425</t>
  </si>
  <si>
    <t>Algarrobo</t>
  </si>
  <si>
    <t>72005</t>
  </si>
  <si>
    <t>Córdoba</t>
  </si>
  <si>
    <t>Córdoba - Zambrano.</t>
  </si>
  <si>
    <t>Córdoba - Zambrano</t>
  </si>
  <si>
    <t>72014</t>
  </si>
  <si>
    <t xml:space="preserve">San Andres </t>
  </si>
  <si>
    <t>Guaimaral</t>
  </si>
  <si>
    <t>72015</t>
  </si>
  <si>
    <t>Guaymaral</t>
  </si>
  <si>
    <t>71920</t>
  </si>
  <si>
    <t>Carmen de Bolívar</t>
  </si>
  <si>
    <t>Ramal Raizal</t>
  </si>
  <si>
    <t>71921</t>
  </si>
  <si>
    <t>Caracolí</t>
  </si>
  <si>
    <t>El Jobo</t>
  </si>
  <si>
    <t>71931</t>
  </si>
  <si>
    <t>La Sierra</t>
  </si>
  <si>
    <t>71941</t>
  </si>
  <si>
    <t>72193</t>
  </si>
  <si>
    <t>San Jose del Playon</t>
  </si>
  <si>
    <t>Santo Domingo de Meza</t>
  </si>
  <si>
    <t>71951</t>
  </si>
  <si>
    <t>Caracolí (K5)</t>
  </si>
  <si>
    <t>71960</t>
  </si>
  <si>
    <t>Zambrano Ramal Hato Nuevo</t>
  </si>
  <si>
    <t>Jesús del Monte</t>
  </si>
  <si>
    <t>71961</t>
  </si>
  <si>
    <t>El Salado</t>
  </si>
  <si>
    <t>71971</t>
  </si>
  <si>
    <t>Bledo</t>
  </si>
  <si>
    <t>72391</t>
  </si>
  <si>
    <t>El Guamo</t>
  </si>
  <si>
    <t>Lata</t>
  </si>
  <si>
    <t>72393</t>
  </si>
  <si>
    <t>Bodega</t>
  </si>
  <si>
    <t>72381</t>
  </si>
  <si>
    <t>Troncal</t>
  </si>
  <si>
    <t>71441</t>
  </si>
  <si>
    <t>Hatillo de Loba</t>
  </si>
  <si>
    <t>Caño Sandoval</t>
  </si>
  <si>
    <t>71347</t>
  </si>
  <si>
    <t>Camilo Torres</t>
  </si>
  <si>
    <t>Yuca</t>
  </si>
  <si>
    <t>71350</t>
  </si>
  <si>
    <t>Bocas de San Antonio</t>
  </si>
  <si>
    <t>71365</t>
  </si>
  <si>
    <t>Henequen</t>
  </si>
  <si>
    <t>Barranca</t>
  </si>
  <si>
    <t>71382</t>
  </si>
  <si>
    <t>La Pascuala</t>
  </si>
  <si>
    <t>71383</t>
  </si>
  <si>
    <t>Barranca Yuca</t>
  </si>
  <si>
    <t>71401</t>
  </si>
  <si>
    <t>Yati</t>
  </si>
  <si>
    <t>Tacalda</t>
  </si>
  <si>
    <t>71419</t>
  </si>
  <si>
    <t>San Rafael de Cortina</t>
  </si>
  <si>
    <t>72475</t>
  </si>
  <si>
    <t>San Basilio de Palenque La Bonga</t>
  </si>
  <si>
    <t>72476</t>
  </si>
  <si>
    <t>Palenque</t>
  </si>
  <si>
    <t>La Bonga</t>
  </si>
  <si>
    <t>72485</t>
  </si>
  <si>
    <t>Via San Joaquin</t>
  </si>
  <si>
    <t>72486</t>
  </si>
  <si>
    <t>Mahates - Mandinga</t>
  </si>
  <si>
    <t>72487</t>
  </si>
  <si>
    <t>Palmar</t>
  </si>
  <si>
    <t>72495</t>
  </si>
  <si>
    <t>Via a Mahates</t>
  </si>
  <si>
    <t>Gamero</t>
  </si>
  <si>
    <t>72505</t>
  </si>
  <si>
    <t>Via Mahates</t>
  </si>
  <si>
    <t>San Joaquin</t>
  </si>
  <si>
    <t>72515</t>
  </si>
  <si>
    <t>Evitar</t>
  </si>
  <si>
    <t>Margarita</t>
  </si>
  <si>
    <t>Caño Sandoval - Hatillo de Loba</t>
  </si>
  <si>
    <t>71451</t>
  </si>
  <si>
    <t>Margarita - Causado</t>
  </si>
  <si>
    <t>71632</t>
  </si>
  <si>
    <t>Mompos - Caño Sandoval</t>
  </si>
  <si>
    <t>71642</t>
  </si>
  <si>
    <t>Guataca - Guasimal - Guataquita</t>
  </si>
  <si>
    <t>71643</t>
  </si>
  <si>
    <t>Cantera - Guataquita Sur</t>
  </si>
  <si>
    <t>72203</t>
  </si>
  <si>
    <t>María la Baja</t>
  </si>
  <si>
    <t>El Nispero</t>
  </si>
  <si>
    <t>72208</t>
  </si>
  <si>
    <t>Nispero</t>
  </si>
  <si>
    <t>Troncal Retiro Flamenco</t>
  </si>
  <si>
    <t>72213</t>
  </si>
  <si>
    <t>72223</t>
  </si>
  <si>
    <t>Florida</t>
  </si>
  <si>
    <t>San Cristobal  Paraiso</t>
  </si>
  <si>
    <t>72244</t>
  </si>
  <si>
    <t>Flamenco Naguma</t>
  </si>
  <si>
    <t>72246</t>
  </si>
  <si>
    <t>Flamenco</t>
  </si>
  <si>
    <t>Correa</t>
  </si>
  <si>
    <t>72264</t>
  </si>
  <si>
    <t>Mampujan</t>
  </si>
  <si>
    <t>72284</t>
  </si>
  <si>
    <t>Maria La Baja</t>
  </si>
  <si>
    <t>Puerto Santander</t>
  </si>
  <si>
    <t>72447</t>
  </si>
  <si>
    <t>Guataca</t>
  </si>
  <si>
    <t>Guataquita</t>
  </si>
  <si>
    <t>70718</t>
  </si>
  <si>
    <t>Montecristo</t>
  </si>
  <si>
    <t>Villa Uribe</t>
  </si>
  <si>
    <t>Las Flores</t>
  </si>
  <si>
    <t>70910</t>
  </si>
  <si>
    <t>Morales</t>
  </si>
  <si>
    <t>San Rafael</t>
  </si>
  <si>
    <t>Carnizala</t>
  </si>
  <si>
    <t>70940</t>
  </si>
  <si>
    <t>Micoahumado</t>
  </si>
  <si>
    <t>La Caoba</t>
  </si>
  <si>
    <t>70950</t>
  </si>
  <si>
    <t>La Guasima</t>
  </si>
  <si>
    <t>71627</t>
  </si>
  <si>
    <t>Puerto Bolívar</t>
  </si>
  <si>
    <t>71629</t>
  </si>
  <si>
    <t>71631</t>
  </si>
  <si>
    <t>Piedra Ahumada</t>
  </si>
  <si>
    <t>71700</t>
  </si>
  <si>
    <t>San Francisco</t>
  </si>
  <si>
    <t>Norosí</t>
  </si>
  <si>
    <t>70973</t>
  </si>
  <si>
    <t>Rio Viejo</t>
  </si>
  <si>
    <t>Cruce Ramal Norosí</t>
  </si>
  <si>
    <t>71110</t>
  </si>
  <si>
    <t>Puerto Rico</t>
  </si>
  <si>
    <t>70983</t>
  </si>
  <si>
    <t>Regidor</t>
  </si>
  <si>
    <t>Cruce Río Viejo</t>
  </si>
  <si>
    <t>70843</t>
  </si>
  <si>
    <t>Río Viejo</t>
  </si>
  <si>
    <t>La Belleza</t>
  </si>
  <si>
    <t>Las Brisas</t>
  </si>
  <si>
    <t>73040</t>
  </si>
  <si>
    <t>San Cristóbal</t>
  </si>
  <si>
    <t>Estación</t>
  </si>
  <si>
    <t>73039</t>
  </si>
  <si>
    <t>Soplaviento</t>
  </si>
  <si>
    <t>73133</t>
  </si>
  <si>
    <t>San Estanislao</t>
  </si>
  <si>
    <t>Las Piedras</t>
  </si>
  <si>
    <t>73143</t>
  </si>
  <si>
    <t>Bayano</t>
  </si>
  <si>
    <t>73153</t>
  </si>
  <si>
    <t>La Granja</t>
  </si>
  <si>
    <t>73163</t>
  </si>
  <si>
    <t>El Puerto</t>
  </si>
  <si>
    <t>San Fernando</t>
  </si>
  <si>
    <t>71633</t>
  </si>
  <si>
    <t>Menchiqueso</t>
  </si>
  <si>
    <t>Río Magdalena</t>
  </si>
  <si>
    <t>71942</t>
  </si>
  <si>
    <t>San Jacinto</t>
  </si>
  <si>
    <t>Charquitas</t>
  </si>
  <si>
    <t>72109</t>
  </si>
  <si>
    <t>Las Palmas</t>
  </si>
  <si>
    <t>72111</t>
  </si>
  <si>
    <t>Guasima</t>
  </si>
  <si>
    <t>72119</t>
  </si>
  <si>
    <t>Arroyo María</t>
  </si>
  <si>
    <t>Paraíso</t>
  </si>
  <si>
    <t>72120</t>
  </si>
  <si>
    <t>Las Charquitas</t>
  </si>
  <si>
    <t>72287</t>
  </si>
  <si>
    <t>San Juan Nepomuceno</t>
  </si>
  <si>
    <t>Corralito</t>
  </si>
  <si>
    <t>72297</t>
  </si>
  <si>
    <t>La Haya</t>
  </si>
  <si>
    <t>72307</t>
  </si>
  <si>
    <t xml:space="preserve">San Juan </t>
  </si>
  <si>
    <t>Variante Butijuela</t>
  </si>
  <si>
    <t>72317</t>
  </si>
  <si>
    <t>San Cayetano</t>
  </si>
  <si>
    <t>Pela El Ojo</t>
  </si>
  <si>
    <t>72320</t>
  </si>
  <si>
    <t>Prucia</t>
  </si>
  <si>
    <t>72321</t>
  </si>
  <si>
    <t>Botijuela</t>
  </si>
  <si>
    <t>72323</t>
  </si>
  <si>
    <t>Toro</t>
  </si>
  <si>
    <t>71173</t>
  </si>
  <si>
    <t xml:space="preserve">San Martín de Loba </t>
  </si>
  <si>
    <t>Mauricio</t>
  </si>
  <si>
    <t>71175</t>
  </si>
  <si>
    <t>Pueblo Nuevo</t>
  </si>
  <si>
    <t>71177</t>
  </si>
  <si>
    <t>Los Pueblos</t>
  </si>
  <si>
    <t>71253</t>
  </si>
  <si>
    <t>Come Miel</t>
  </si>
  <si>
    <t>71254</t>
  </si>
  <si>
    <t>Soledad</t>
  </si>
  <si>
    <t>71255</t>
  </si>
  <si>
    <t>Chimí</t>
  </si>
  <si>
    <t>Yendo</t>
  </si>
  <si>
    <t>70502</t>
  </si>
  <si>
    <t>Via San Pablo</t>
  </si>
  <si>
    <t>Ramal Bajo</t>
  </si>
  <si>
    <t>70510</t>
  </si>
  <si>
    <t>Sto. Domingo</t>
  </si>
  <si>
    <t>70519</t>
  </si>
  <si>
    <t>K 11 Domingo Hernandez</t>
  </si>
  <si>
    <t>Cerro azul</t>
  </si>
  <si>
    <t>70528</t>
  </si>
  <si>
    <t>Via a Yondo K 7 + 100</t>
  </si>
  <si>
    <t>La Union</t>
  </si>
  <si>
    <t>70537</t>
  </si>
  <si>
    <t>Via Carmen del Cocu K8</t>
  </si>
  <si>
    <t>Canaletal</t>
  </si>
  <si>
    <t>70540</t>
  </si>
  <si>
    <t>Via San Pablo Sto. Domingo K 11.35</t>
  </si>
  <si>
    <t>tres bocas</t>
  </si>
  <si>
    <t>70545</t>
  </si>
  <si>
    <t>Via El Rosario K-16.75</t>
  </si>
  <si>
    <t>Carmen El Cocu</t>
  </si>
  <si>
    <t>70546</t>
  </si>
  <si>
    <t>La Y El Socorro</t>
  </si>
  <si>
    <t>Socorro y Rosario</t>
  </si>
  <si>
    <t>70555</t>
  </si>
  <si>
    <t>Pozo Azul</t>
  </si>
  <si>
    <t>70556</t>
  </si>
  <si>
    <t>Cañabraval</t>
  </si>
  <si>
    <t>70558</t>
  </si>
  <si>
    <t>Cruce Ramal Via Santo Domingo</t>
  </si>
  <si>
    <t>70564</t>
  </si>
  <si>
    <t>Via Pozo Azul K 4.20</t>
  </si>
  <si>
    <t>Agua Linda</t>
  </si>
  <si>
    <t>70570</t>
  </si>
  <si>
    <t>Cruce Via San Pablo Canabraval</t>
  </si>
  <si>
    <t xml:space="preserve"> Vallecito</t>
  </si>
  <si>
    <t>70573</t>
  </si>
  <si>
    <t>Via Agua Linda K-7.95</t>
  </si>
  <si>
    <t>Agua Sucia</t>
  </si>
  <si>
    <t>70582</t>
  </si>
  <si>
    <t>Via  Pozo Azul K4+200</t>
  </si>
  <si>
    <t xml:space="preserve"> 4 vientos</t>
  </si>
  <si>
    <t>70586</t>
  </si>
  <si>
    <t>Patio Bonito</t>
  </si>
  <si>
    <t>Aguas Lindas</t>
  </si>
  <si>
    <t>70587</t>
  </si>
  <si>
    <t>Via Vallecito Cruce</t>
  </si>
  <si>
    <t>73415</t>
  </si>
  <si>
    <t>Santa Catalina</t>
  </si>
  <si>
    <t>Las Caras</t>
  </si>
  <si>
    <t>73416</t>
  </si>
  <si>
    <t>Santa Cruz</t>
  </si>
  <si>
    <t>73417</t>
  </si>
  <si>
    <t>73418</t>
  </si>
  <si>
    <t>Quita Calzón</t>
  </si>
  <si>
    <t>73321</t>
  </si>
  <si>
    <t>Santa Rosa de Lima</t>
  </si>
  <si>
    <t>Paralelo 38</t>
  </si>
  <si>
    <t>Chirococo</t>
  </si>
  <si>
    <t>73331</t>
  </si>
  <si>
    <t>Cipacoa</t>
  </si>
  <si>
    <t>73351</t>
  </si>
  <si>
    <t>Leoncito</t>
  </si>
  <si>
    <t>73361</t>
  </si>
  <si>
    <t>Paiba</t>
  </si>
  <si>
    <t>Guriguri</t>
  </si>
  <si>
    <t>73441</t>
  </si>
  <si>
    <t>Chiricoco</t>
  </si>
  <si>
    <t>73443</t>
  </si>
  <si>
    <t>Central</t>
  </si>
  <si>
    <t>73444</t>
  </si>
  <si>
    <t>Polo Viejo</t>
  </si>
  <si>
    <t>73446</t>
  </si>
  <si>
    <t>Mamonal</t>
  </si>
  <si>
    <t>70792</t>
  </si>
  <si>
    <t>Santa Rosa del Sur</t>
  </si>
  <si>
    <t>La Y</t>
  </si>
  <si>
    <t>70604</t>
  </si>
  <si>
    <t>Cruce a Buenavista</t>
  </si>
  <si>
    <t>70606</t>
  </si>
  <si>
    <t>Santa Rosa - Buenavista</t>
  </si>
  <si>
    <t>Cruce Al Saltillo</t>
  </si>
  <si>
    <t>70613</t>
  </si>
  <si>
    <t>Cruce A Primavera</t>
  </si>
  <si>
    <t>70622</t>
  </si>
  <si>
    <t>Canelos</t>
  </si>
  <si>
    <t>70648</t>
  </si>
  <si>
    <t>Cruce A Villa Flor</t>
  </si>
  <si>
    <t>70649</t>
  </si>
  <si>
    <t>Cruce Via San Lucas</t>
  </si>
  <si>
    <t>Fatima</t>
  </si>
  <si>
    <t>70650</t>
  </si>
  <si>
    <t>La Esmeralda</t>
  </si>
  <si>
    <t>70651</t>
  </si>
  <si>
    <t>Cruce Ramal Fatima</t>
  </si>
  <si>
    <t>San Cristobal</t>
  </si>
  <si>
    <t>70652</t>
  </si>
  <si>
    <t>La Capellania cruce al Tesoro</t>
  </si>
  <si>
    <t>70653</t>
  </si>
  <si>
    <t>Cruce Candelero</t>
  </si>
  <si>
    <t>70655</t>
  </si>
  <si>
    <t>70657</t>
  </si>
  <si>
    <t>Cruce A Caracoli</t>
  </si>
  <si>
    <t>70658</t>
  </si>
  <si>
    <t>Cruce A San Lucas</t>
  </si>
  <si>
    <t>70667</t>
  </si>
  <si>
    <t>Cruce San Juan Pablo II</t>
  </si>
  <si>
    <t>70675</t>
  </si>
  <si>
    <t>Via San Francisco</t>
  </si>
  <si>
    <t>70684</t>
  </si>
  <si>
    <t>Cruce a la fria</t>
  </si>
  <si>
    <t>70783</t>
  </si>
  <si>
    <t>Simití</t>
  </si>
  <si>
    <t>Cerro de Burgos</t>
  </si>
  <si>
    <t>70798</t>
  </si>
  <si>
    <t>Santo Domingo</t>
  </si>
  <si>
    <t>70810</t>
  </si>
  <si>
    <t>Ramal San Luis</t>
  </si>
  <si>
    <t>70813</t>
  </si>
  <si>
    <t>Fonte San Blas</t>
  </si>
  <si>
    <t>Cruce a San Pablo</t>
  </si>
  <si>
    <t>70815</t>
  </si>
  <si>
    <t>Tiguialto</t>
  </si>
  <si>
    <t>70819</t>
  </si>
  <si>
    <t>Via San Blas</t>
  </si>
  <si>
    <t>Cruce A Tigui</t>
  </si>
  <si>
    <t>70846</t>
  </si>
  <si>
    <t>Via Simití</t>
  </si>
  <si>
    <t>Cruce A Anima Baja</t>
  </si>
  <si>
    <t>A Santa Rosa</t>
  </si>
  <si>
    <t>73041</t>
  </si>
  <si>
    <t>71723</t>
  </si>
  <si>
    <t>Talaigua Nuevo</t>
  </si>
  <si>
    <t>El Porvenir</t>
  </si>
  <si>
    <t>71725</t>
  </si>
  <si>
    <t>Talaiga Nuevo</t>
  </si>
  <si>
    <t>Ladera</t>
  </si>
  <si>
    <t>71735</t>
  </si>
  <si>
    <t>Santana</t>
  </si>
  <si>
    <t>71088</t>
  </si>
  <si>
    <t>Tiquisio Nuevo</t>
  </si>
  <si>
    <t>Cruce Ramal Norosi</t>
  </si>
  <si>
    <t>72955</t>
  </si>
  <si>
    <t>Turbaco</t>
  </si>
  <si>
    <t>Cruce los Volcanes</t>
  </si>
  <si>
    <t>72957</t>
  </si>
  <si>
    <t>72959</t>
  </si>
  <si>
    <t>Cerro de Campaña</t>
  </si>
  <si>
    <t>72960</t>
  </si>
  <si>
    <t>Linea Paredes</t>
  </si>
  <si>
    <t>72961</t>
  </si>
  <si>
    <t>Polvo Azul</t>
  </si>
  <si>
    <t>72962</t>
  </si>
  <si>
    <t>Loma Cascajal</t>
  </si>
  <si>
    <t>72975</t>
  </si>
  <si>
    <t>Cañaveral</t>
  </si>
  <si>
    <t>72978</t>
  </si>
  <si>
    <t>Cruce Cañaveral</t>
  </si>
  <si>
    <t>A Chiquito</t>
  </si>
  <si>
    <t>73227</t>
  </si>
  <si>
    <t>Pital</t>
  </si>
  <si>
    <t>72945</t>
  </si>
  <si>
    <t>Turbaná</t>
  </si>
  <si>
    <t>72851</t>
  </si>
  <si>
    <t>Ballestas</t>
  </si>
  <si>
    <t>72853</t>
  </si>
  <si>
    <t>Zapote</t>
  </si>
  <si>
    <t>72854</t>
  </si>
  <si>
    <t>Calvario</t>
  </si>
  <si>
    <t>72855</t>
  </si>
  <si>
    <t>72856</t>
  </si>
  <si>
    <t>Polon</t>
  </si>
  <si>
    <t>Villanueva</t>
  </si>
  <si>
    <t>Pital - Cañaveral</t>
  </si>
  <si>
    <t>73237</t>
  </si>
  <si>
    <t>Pital - Cipacoa</t>
  </si>
  <si>
    <t>73247</t>
  </si>
  <si>
    <t>El Peñique</t>
  </si>
  <si>
    <t>73248</t>
  </si>
  <si>
    <t>Camino Bango</t>
  </si>
  <si>
    <t>72000</t>
  </si>
  <si>
    <t>Zambrano</t>
  </si>
  <si>
    <t>Jesus de Rio</t>
  </si>
  <si>
    <t>72002</t>
  </si>
  <si>
    <t>Troncal El Carmen</t>
  </si>
  <si>
    <t>La Florida Km16</t>
  </si>
  <si>
    <t>Cordoba</t>
  </si>
  <si>
    <t xml:space="preserve">TOTAL </t>
  </si>
  <si>
    <t>Tabla 13.3: RED VIAL TERCIARIA A CARGO DE INVIAS</t>
  </si>
  <si>
    <t xml:space="preserve">VIAS  TERCIARIAS A CARGO DE LOS MUNICIPIOS </t>
  </si>
  <si>
    <t>PRIMARIAS</t>
  </si>
  <si>
    <t>SECUNDARIAS</t>
  </si>
  <si>
    <t>TERCIARIAS</t>
  </si>
  <si>
    <t>Bolívar / CALAMAR</t>
  </si>
  <si>
    <t>Bolívar/ EL PEÑON</t>
  </si>
  <si>
    <t>Bolívar/ SAN CRISTOBAL</t>
  </si>
  <si>
    <t>Bolívar/ SAN ESTANISLAO</t>
  </si>
  <si>
    <t>Bolívar/SAN FERNANDO</t>
  </si>
  <si>
    <t>Bolívar/ SAN JACINTO DEL CAUCA</t>
  </si>
  <si>
    <t>Bolívar/SAN PABLO</t>
  </si>
  <si>
    <t>Bolívar/ SANTA ROSA DE LIMA</t>
  </si>
  <si>
    <t>Bolívar/ VILLANUEVA</t>
  </si>
  <si>
    <t>DEPARTAMENTO /MUNIICPIO</t>
  </si>
  <si>
    <t>Fuentes de Financiamiento (SGP,SGR, PGN, Cofinanciación,etc.)</t>
  </si>
  <si>
    <t>Urbana</t>
  </si>
  <si>
    <t>Bolívar/ CANTAGALLO/ CALLES</t>
  </si>
  <si>
    <t>Regular</t>
  </si>
  <si>
    <t>Bolívar/SANTA ROSA SUR-SAN LUCAS</t>
  </si>
  <si>
    <t>Bolívar/SANTA ROSA SUR-CANELOS</t>
  </si>
  <si>
    <t>Bolívar/SANTA ROSA SUR-EL DORADOMOTECRISTO</t>
  </si>
  <si>
    <t>Bolívar/MONTECRISTO/ SAN MATEO</t>
  </si>
  <si>
    <t>Bolívar/ SIMITI VEREDALES</t>
  </si>
  <si>
    <t>Bolívar/ RIO VIEJO- LA VICTORIA</t>
  </si>
  <si>
    <t>Bolívar/MORALES/ BCO MAQUINARIA</t>
  </si>
  <si>
    <t>Bolívar/MORALES/ CALLES</t>
  </si>
  <si>
    <t>Bolívar/NOROSI-ARENAL</t>
  </si>
  <si>
    <t>DPTO/ PLAN VIAL</t>
  </si>
  <si>
    <t>Bolívar/REGIDOR</t>
  </si>
  <si>
    <t>Bolívar/ALTOS DEL ROSARIO- BOCA DE LAS PALOMAS</t>
  </si>
  <si>
    <t>Bolívar/ALTOS DEL ROSARIO- PORTUGAL</t>
  </si>
  <si>
    <t>bolivar /BARRANCO DE LOBA- SAN MARTIN DE LOBA</t>
  </si>
  <si>
    <t>RIO MAGDALENA</t>
  </si>
  <si>
    <t>Bolívar/MAGANGUE/ CALLES</t>
  </si>
  <si>
    <t>Bolívar/MARGARITA/CALLES</t>
  </si>
  <si>
    <t>Bolívar/HATILLO DE LOBA- LA VICTORIA</t>
  </si>
  <si>
    <t>Bolívar/MOMPOX/ GUATACA-PTO JAIME</t>
  </si>
  <si>
    <t>ICLD</t>
  </si>
  <si>
    <t>Bolívar/TALAIGUA NUEVO</t>
  </si>
  <si>
    <t>Bolívar/CARMEN DE Bolívar/TV MONTES TRAMO I</t>
  </si>
  <si>
    <t>Bolívar/CARMEN DE Bolívar/TV MONTES TRAMO II</t>
  </si>
  <si>
    <t>Bolívar/ ZAMBRANO/ PTO FERRY</t>
  </si>
  <si>
    <t>Bolívar/ CORDOBA/ ZAMBRANO</t>
  </si>
  <si>
    <t>N/A</t>
  </si>
  <si>
    <t>Bolívar/ MARIA LA BAJA/ MAMPUJAN</t>
  </si>
  <si>
    <t>Bolívar/SAN JUAN NEPOMUCENO/ SAN CAYETANO</t>
  </si>
  <si>
    <t>Bolívar/ EL GUAMO/ BODEGA</t>
  </si>
  <si>
    <t>Bolívar/ EL GUAMO- TRONCAL</t>
  </si>
  <si>
    <t>Bolívar/ EL GUAMO/ TRONCAL SAN PEDRO</t>
  </si>
  <si>
    <t>Bolívar/ MAHATES/PALENQUE I Y II</t>
  </si>
  <si>
    <t>ICLD EINVIAS</t>
  </si>
  <si>
    <t>Bolívar/ MAHATES/ARROYOHONDO</t>
  </si>
  <si>
    <t>Bolívar/ ARROYOHONDO-EL TIGRE</t>
  </si>
  <si>
    <t>Bolívar/ ARJONA/ LAS PIEDRAS</t>
  </si>
  <si>
    <t>RECURSOS DPTO, CREDITO</t>
  </si>
  <si>
    <t>Bolívar/ CARTAGENA/ BAYUNCA</t>
  </si>
  <si>
    <t>Bolívar/ CARTAGENA/ LOCALIDADES</t>
  </si>
  <si>
    <t xml:space="preserve"> SGR</t>
  </si>
  <si>
    <t>Bolívar/ SANTA CATALINA/ FASE I</t>
  </si>
  <si>
    <t>Bolívar/ SANTA CATALINA/ FASE II</t>
  </si>
  <si>
    <t>Bolívar/ TURBANA- TURBACO</t>
  </si>
  <si>
    <t>Bolívar/ TURBACO/6 VIAS</t>
  </si>
  <si>
    <t>Bolívar/ CARTAGENA/ CALLES</t>
  </si>
  <si>
    <t>Bolívar/ACHI- SINCERIN</t>
  </si>
  <si>
    <t>Bolívar/ARENAL DEL SUR/ BCO MAQUINARIA</t>
  </si>
  <si>
    <t>ARJONA</t>
  </si>
  <si>
    <t>ALTOS DEL ROSARIO</t>
  </si>
  <si>
    <t>ARENAL DEL SUR</t>
  </si>
  <si>
    <t>ACHI</t>
  </si>
  <si>
    <t>ARROYOHONDO</t>
  </si>
  <si>
    <t>BARRANCO DE LOBA</t>
  </si>
  <si>
    <t>CALAMAR</t>
  </si>
  <si>
    <t>CANTAGALLO</t>
  </si>
  <si>
    <t>CICUCO</t>
  </si>
  <si>
    <t>CLEMENCIA</t>
  </si>
  <si>
    <t>Bolívar/ CLEMENCIA/ PUENTE</t>
  </si>
  <si>
    <t>CORDOBA</t>
  </si>
  <si>
    <t>CARMEN DE Bolívar</t>
  </si>
  <si>
    <t>EL GUAMO</t>
  </si>
  <si>
    <t>EL PEÑON</t>
  </si>
  <si>
    <t>HATILLO DE LOBA</t>
  </si>
  <si>
    <t>MAHATES</t>
  </si>
  <si>
    <t>Bolívar/ MAHATES- SOPLAVIENTO</t>
  </si>
  <si>
    <t>MARGARITA</t>
  </si>
  <si>
    <t>MOMPÓS</t>
  </si>
  <si>
    <t>MONTECRISTO</t>
  </si>
  <si>
    <t>MORALES</t>
  </si>
  <si>
    <t>NOROSI</t>
  </si>
  <si>
    <t>PINILLOS</t>
  </si>
  <si>
    <t>Bolívar/PINILLOS</t>
  </si>
  <si>
    <t>REGIDOR</t>
  </si>
  <si>
    <t>DPTO- BANCO MAQUINARIAS</t>
  </si>
  <si>
    <t>RIO VIEJO</t>
  </si>
  <si>
    <t>Bolívar/ RIO VIEJO/ CALLES</t>
  </si>
  <si>
    <t>Bolívar/RIO VIEJO</t>
  </si>
  <si>
    <t>SAN CRISTOBAL</t>
  </si>
  <si>
    <t>SAN ESTANISLAO</t>
  </si>
  <si>
    <t xml:space="preserve"> SAN FERNANDO</t>
  </si>
  <si>
    <t>Bolívar/ SAN JACINTO- SAN CRISTOBAL</t>
  </si>
  <si>
    <t>SAN JACINTO DEL CAUCA</t>
  </si>
  <si>
    <t>SAN JUAN NEPOMUCENO</t>
  </si>
  <si>
    <t>SAN MARTIN DE LOBA</t>
  </si>
  <si>
    <t>SAN PABLO</t>
  </si>
  <si>
    <t xml:space="preserve"> SANTA CATALINA</t>
  </si>
  <si>
    <t>SANTA ROSA DE LIMA</t>
  </si>
  <si>
    <t>SANTA ROSA SUR</t>
  </si>
  <si>
    <t>Bolívar/SANTA ROSA SUR- PISTA</t>
  </si>
  <si>
    <t>DPTO-C. ESPECIAL</t>
  </si>
  <si>
    <t>SIMITI</t>
  </si>
  <si>
    <t>SOPLAVIENTO</t>
  </si>
  <si>
    <t>TALAIGUA NUEVO</t>
  </si>
  <si>
    <t>TIQUISIO</t>
  </si>
  <si>
    <t>Bolívar/TIQUISIO -YE LA HAMACA</t>
  </si>
  <si>
    <t>TURBACO</t>
  </si>
  <si>
    <t>TURBANA</t>
  </si>
  <si>
    <t>VILLANUEVA</t>
  </si>
  <si>
    <t>Bolívar/ ARROYOHONDO-HATOVIEJO</t>
  </si>
  <si>
    <t>Bolívar/ CARMEN DE Bolívar/ SALADO PLACA HUELLA</t>
  </si>
  <si>
    <t xml:space="preserve">Bolívar/ EL GUAMO/ ENEA </t>
  </si>
  <si>
    <t>Bolívar/ TURBACO-CAÑAVERAL PAV</t>
  </si>
  <si>
    <t>bolivar /BARRANCO DE LOBA- PUEBLITO MEJIA</t>
  </si>
  <si>
    <t>Bolívar/TIQUISIO/ PTO RICO- PTO COCA</t>
  </si>
  <si>
    <t>Bolívar/ TIQUISIO/ SUDAN-STA LUCIA</t>
  </si>
  <si>
    <t>Bolívar/ ARROYOHONDO-VENTURILLA/6 VIAS</t>
  </si>
  <si>
    <t>Bolívar/CARMEN DE Bolívar/MALA NOCHE-ALTAMIRA/6 VIAS</t>
  </si>
  <si>
    <t>Bolívar/CARMEN DE Bolívar-EL BLEDO/6 VIAS</t>
  </si>
  <si>
    <t>Bolívar/ MARIA LA BAJA/TRONCAL -MATUYA/ 6 VIAS</t>
  </si>
  <si>
    <t>Bolívar/ MARIA LA BAJA- STO DOMINGO/ 6 VIAS</t>
  </si>
  <si>
    <t>Bolívar/ MARIA LA BAJA/ PUENTE MAMPUJAN</t>
  </si>
  <si>
    <t>Bolívar/ CARMEN DE Bolívar/ SALADO MANTENIMIENTO</t>
  </si>
  <si>
    <t>Urbana km</t>
  </si>
  <si>
    <t>Rural Km.</t>
  </si>
  <si>
    <t>BOLÍVAR/ MAGANGUE</t>
  </si>
  <si>
    <t>bolivar /SAN MARTIN DE LOBA</t>
  </si>
  <si>
    <t>TOTAL KILOMETROS DE RED VIAL PRIMARIA, SECUNDARIA Y TERCIARIA</t>
  </si>
  <si>
    <t>TOTAL KILOMETROS DE RED VIAL URBANA INTERVENIDOS</t>
  </si>
  <si>
    <t>TOTAL INVERSION EN RED VIAL SECUNDARIA Y TERCIARIA</t>
  </si>
  <si>
    <t>TOTAL KILOMETROS DE RED VIAL SECUNDARIA Y TERCIARIA INTERVENIDOS</t>
  </si>
  <si>
    <t>TOTAL KILOMETROS DE RED VIAL URBANA INTERVENIDA</t>
  </si>
  <si>
    <t xml:space="preserve">TOTAL INVERSION EN RED VIAL URBANA </t>
  </si>
  <si>
    <t xml:space="preserve">TOTAL KILOMETROS </t>
  </si>
  <si>
    <t>TOTAL INVERSION</t>
  </si>
  <si>
    <t>TOTAL KILOMETROS DE RED VIAL INTERVENIDOS</t>
  </si>
  <si>
    <t xml:space="preserve">TOTAL INVERSION EN RED VIAL </t>
  </si>
  <si>
    <t>RED VIAL DEL DEPARTAMENTO DE BOLIVAR</t>
  </si>
  <si>
    <t>RELACION CONTRATOS  SECRETARIA DE INFRAESTRUCTURA-2012</t>
  </si>
  <si>
    <t xml:space="preserve">      ESTADO</t>
  </si>
  <si>
    <t>PROCESO No.</t>
  </si>
  <si>
    <t>CONTRATO N°</t>
  </si>
  <si>
    <t>OBJETO</t>
  </si>
  <si>
    <t>CONTRATISTA</t>
  </si>
  <si>
    <t>VR.CONTRATADO</t>
  </si>
  <si>
    <t>EJECUCION</t>
  </si>
  <si>
    <t>TERMINADO</t>
  </si>
  <si>
    <t>LIQUIDADO</t>
  </si>
  <si>
    <t>FECHA DE LIQUIDACION</t>
  </si>
  <si>
    <t>OBSERVACIONES</t>
  </si>
  <si>
    <t>SOP-015-2011</t>
  </si>
  <si>
    <t>SOP-098-2012</t>
  </si>
  <si>
    <t>CONSTRUCCION DE PAVIMENTO RIGIDO EN LAS CALLES DE LOS BARRIOS LOS MANZANARES, DANIEL LEMAITRE, ALTOS DE SAN ISIDRO, EL LIBANO, LA ESPERANZA, LOS CALAMARES, TERNERA, NELSON MANDELA DEL MUNICIPIO DE CARTAGENA DE INDIAS D. T. Y C.;-DPTO DE BOLIVAR</t>
  </si>
  <si>
    <t>CONSORCIO DE LA SABANA</t>
  </si>
  <si>
    <t>$2.469.373.874.72</t>
  </si>
  <si>
    <t>SOP-016-2011</t>
  </si>
  <si>
    <t>SOP-097-2014</t>
  </si>
  <si>
    <t>CONSTRUCCION DE PAVIMENTO Y REHABILITACION DE CALLES EN EL CORREGIMIENTO DE BOCACHICA-ISLA DE TIERRABOMBA DEL MUNICIPIO DE CARTAGENA DE INDIAS D. T. Y C.;-DPTO DE BOLIVAR</t>
  </si>
  <si>
    <t>CONSORCIO PAVIMENTO ZONA INSULAR</t>
  </si>
  <si>
    <t>$ 731.143.088.00</t>
  </si>
  <si>
    <t>NO SE EJECUTO</t>
  </si>
  <si>
    <t>SOP-017-2011</t>
  </si>
  <si>
    <t>SOP-099-2012</t>
  </si>
  <si>
    <t>CONSTRUCCIÓN DE PAVIMENTO EN CONCRETO RÍGIDO CALLE PRINCIPAL DE LA CABECERA MUNICIPAL DE MARGARITA - BOLIVAR SEGUNDA ETAPA. RÍGIDO CALLES DE LA CABECERA MUNICIPAL DE TALAIGUA NUEVO - BOLIVAR,CONSTRUCCIÓN DE PAVIMENTO EN CONCRETO RÍGIDO CALLES DE LA CABECERA MUNICIPAL DE TALAIGUA NUEVO - BOLIVAR</t>
  </si>
  <si>
    <t>UNIÓN TEMPORAL ABL</t>
  </si>
  <si>
    <t>1.684.345.469.04</t>
  </si>
  <si>
    <t>SOP-018-2011</t>
  </si>
  <si>
    <t>SOP-154-2012</t>
  </si>
  <si>
    <t>CONSTRUCCION DE LA PRIMERA ETAPA DE LAS OBRAS PARA LA ADECUACION DEL EMBARCADERO Y ACCESO A LA TERMINAL FLUVIAL DE PASAJEROS DE MAGANGUE, DEPARTAMENTO DE BOLIVAR</t>
  </si>
  <si>
    <t>CONSORCIO M.F.M.</t>
  </si>
  <si>
    <t>23 DE SEPTIEMBRE DE 2015</t>
  </si>
  <si>
    <t>SOP-003-2011</t>
  </si>
  <si>
    <t>SI-234-2012</t>
  </si>
  <si>
    <t>LA INTERVENTORIA TECNICA ADMINISTRATIVA Y FINANCIERA AL CONTRATO ADJUDICADO EN LA LICITACION No SOP-008-2011 DE OBJETO MEJORAMIENTO Y/O REHABILITACION DE LAS VIAS "ARJONA - LAS PIEDRAS - SAN ESTANISLAO", "ARROYO HONDO - HATO VIEJO - SOPLAVIENTO", "MAHATES - ARROYO HONDO", "ARROYO HONDO - EL TIGRE", ENMARCADAS EN EL PLAN VIAL DEPARTAMENTAL, EN EL DEPARTAMENTO DE BOLIVAR</t>
  </si>
  <si>
    <t>CONSORCIO INTERBOLIVAR</t>
  </si>
  <si>
    <t>SOP-005-2011</t>
  </si>
  <si>
    <t>SI-100-2012</t>
  </si>
  <si>
    <t>CONTRATAR LA INTERVENTORIA TECNICA ADMINISTRATIVA Y FINANCIERA PARA LAS LICITACIONES No SOP-015-2011; SOP-016-2011; SOP-017-2011; EN EL DEPARTAMENTO DE BOLIVAR</t>
  </si>
  <si>
    <t>CONSORCIO SOPLAVIENTO</t>
  </si>
  <si>
    <t>SA-SOP-001-2012</t>
  </si>
  <si>
    <t>SOP-571-2012</t>
  </si>
  <si>
    <t>CONSTRUCCION DE OBRAS DE PROTECCION Y CONTROL DE INUNDACIONES A TRAVES DE LA REHABILITACION DE JARILLON CARRETEABLE EN LOS CORREGIMIENTOS DE GUATACA Y PUEBLO NUEVO MUNICIPIO DE SANTA CRUZ DE MOMPOZ DEPARTAMENTO DE BOLIVAR</t>
  </si>
  <si>
    <t>CONSORCIO JARILLON MOMPOX</t>
  </si>
  <si>
    <t>RELACION CONTRATOS  SECRETARIA DE INFRAESTRUCTURA-2013</t>
  </si>
  <si>
    <t>LIC- SI-001- 2013</t>
  </si>
  <si>
    <t>SI-673-2013</t>
  </si>
  <si>
    <t>REALIZACIÓN DE OBRAS DE LIBERACIÓN, ELABORACIÓN DE ESTUDIOS ARQUITECTONICOS E INGENIERILES, CONSULTORÍA Y ASESORÍA CULTURAL PARA LA PUESTA EN MARCHA DEL CENTRO REGIONAL PARA EL DESARROLLO DE LAS ARTES, LA CULTURA Y LAS ARTESANIAS DE BOLÍVAR Y EL CARIBE</t>
  </si>
  <si>
    <t>CONSORCIO CASAS DEL CABILDO</t>
  </si>
  <si>
    <t>30 DE ABRIL DE 2015</t>
  </si>
  <si>
    <t>LIC- SI-002- 2013</t>
  </si>
  <si>
    <t>SI-1048-2013</t>
  </si>
  <si>
    <t>CONSTRUCCIÓN DE UN MEGA COLEGIO EN EL MUNICIPIO DE SAN JUAN NEPOMUCENO EN LA INSTITUCIÓN EDUCATIVA NORMAL SUPERIOR DE LOS MONTES DE MARÍA BAJO LOS PARAMETROS DE LA NTC- 4595 DEL INCONTEC PARA AUMENTAR LOS INDICADORES DE COBERTURA EDUCATIVA OFICIAL</t>
  </si>
  <si>
    <t>CONSORCIO ORION</t>
  </si>
  <si>
    <t>x</t>
  </si>
  <si>
    <t>10 DE JUNIO DE 2015</t>
  </si>
  <si>
    <t>LIC- SI-003-2013</t>
  </si>
  <si>
    <t>SI-1047-2013</t>
  </si>
  <si>
    <t>CONSTRUCCIÓN DE UN MEGA COLEGIO EN EL MUNICIPIO DE SANTA ROSA EN LA INSTITUCIÓN EDUCATIVA MARÍA INMACULADA BAJO LOS PARAMETROS DE LA NTC- 4595 DEL INCONTEC PARA AUMENTAR LOS INDICADORES DE COBERTURA EDUCATIVA OFICIAL</t>
  </si>
  <si>
    <t>CONSORCIO COLEGIOS DEL SUR</t>
  </si>
  <si>
    <t xml:space="preserve">18 DE JUNIO DE 2015 </t>
  </si>
  <si>
    <t>LIC- SI-004- 2013</t>
  </si>
  <si>
    <t>SI-834-2013</t>
  </si>
  <si>
    <t>PAVIMENTACIÓN EN CONCRETO ASFALTICO DE 5,0 KILÓMETROS DE VÍA EN EL MUNICIPIO DE SANTA CATALINA. (FASE I) (VÍA QUE CONDUCE DEL CORREGIMIENTO DE LOMA ARENA AL MUNICIPIO DE SANTA CATALINA)</t>
  </si>
  <si>
    <t>SOCIEDAD P.V.C. S.A.S.</t>
  </si>
  <si>
    <t>15 de julio de 2015</t>
  </si>
  <si>
    <t>LIC- SI-008- 2013</t>
  </si>
  <si>
    <t>SI-969-2013</t>
  </si>
  <si>
    <t>MANTENIMIENTO  Y MEJORAMIENTO DE LA VIA ENEA – ROBLES – TASAJERA - NERVITI, MUNICIPIO DE EL
GUAMO. DEPARTAMENTO DE BOLÍVAR</t>
  </si>
  <si>
    <t>CONSORCIO VIA GUAMO 2013</t>
  </si>
  <si>
    <t>19 de diciembre DE 2014</t>
  </si>
  <si>
    <t>LIC- SI-011 - 2013</t>
  </si>
  <si>
    <t>SI-971-2013</t>
  </si>
  <si>
    <t>CONSTRUCCIÓN DE TRES (3) BOX COULVERT TRIPLE EN EL CORREGIMIENTO DE SAN CAYETANO, MUNICIPIO DE SAN JUAN NEPOMUCENO, (VEREDAS DE CASINGUI, ARROYO HONDO Y AGUAS BLANCAS)</t>
  </si>
  <si>
    <t>SOCIEDAD OMEGA 3A SAS</t>
  </si>
  <si>
    <t>25 de agosto de 2015</t>
  </si>
  <si>
    <t>LIC- SI-012 - 2013</t>
  </si>
  <si>
    <t>SI-1058-2013</t>
  </si>
  <si>
    <t> MANTENIMIENTO Y MEJORAMIENTO DE LA VIA: CAÑAVERAL- PITAL, EN EL MUNICIPIO DE TURBACO. DEPARTAMENTO DE BOLÍVAR</t>
  </si>
  <si>
    <t>CONSORCIO DPH</t>
  </si>
  <si>
    <t>30 DE MARZO DE 2015</t>
  </si>
  <si>
    <t>LIC- SI-013 - 2013</t>
  </si>
  <si>
    <t>SI-960-2014</t>
  </si>
  <si>
    <t>CONSTRUCCIÓN DE DIQUE CON MATERIAL COMÚN ENTRE LOS CORREGIMIENTOS DE LA VICTORIA Y LA CABECERA MUNICIPAL Y RECONSTRUCCION DE DIQUE ENTRE LOS CORREGIMIENTOS DE SANTA ROSA, SANTO DOMINGO, TAPOA HASTA EL CAÑO SIMON DEL MUNICIPIO DE PINILLOS - BOLIVAR. DEPARTAMENTO DE BOLÍVAR</t>
  </si>
  <si>
    <t>CONSORCIO DIQUE PINILLO</t>
  </si>
  <si>
    <t>FALTAN LOS INFORMES FINALES, PARA PROCEDER A LA LIQUIDACION</t>
  </si>
  <si>
    <t>LIC- SI-014 - 2013</t>
  </si>
  <si>
    <t>SI-1212-2013</t>
  </si>
  <si>
    <t>REHABILITACIÓN Y MEJORAMIENTODEL CARRETEABLE SOPLAVIENTO ¿ EL CHORRO LOS CHIVOS ¿ MAHATES, ENTRE K0 + 000 AL K20 + 000, ENTRE LOS MUNICIPIOS DE SOPLAVIENTO Y MAHATES - BOLIVAR.</t>
  </si>
  <si>
    <t>CONSORCIO CONCONDECAR SAS</t>
  </si>
  <si>
    <t>22 DE JUNIO DE 2015</t>
  </si>
  <si>
    <t>LIC-SI-018-2013</t>
  </si>
  <si>
    <t>SI-1439-2013</t>
  </si>
  <si>
    <t>MEJORAMIENTO A NIVEL DE PAVIMENTACION EN CONCRETO ASFALTICO DE 21.4 KM DE LA VIA ENTRE LOS MUNICIPIOS DE CORDOBA Y ZAMBRANO, DEPARTAMENTO DE BOLIVAR</t>
  </si>
  <si>
    <t>CONSORCIO VIAS DE BOLIVAR</t>
  </si>
  <si>
    <t>FALTA LAS POLIZAS, PLANOS RECORD,INFORME FINAL, INTERESES FINANCIEROS, VEEDURIA FINAL.  ETC</t>
  </si>
  <si>
    <t>LIC-SI-019-2013</t>
  </si>
  <si>
    <t>SI-1438-2013</t>
  </si>
  <si>
    <t>MEJORAMIENTO EN CONCRETO ASFALTICO DE 8.5 KM DE LA VIA LOMITA ARENA STA. CATALINA FASE II, MUNICIPIO DE STA. CATALINA, DEPARTAMENTO BOLÍVAR</t>
  </si>
  <si>
    <t>CONSORCIO VIAS EN CONCRETOS EN SANTA CATALINA FASE II</t>
  </si>
  <si>
    <t xml:space="preserve">5 DE AGOSTO DE 2015 </t>
  </si>
  <si>
    <t>LIC-SI-022-2013</t>
  </si>
  <si>
    <t>SI-952-2014</t>
  </si>
  <si>
    <t>CONSTRUCCIÓN CENTRO DE CONVIVENCIA CIUDADANA DE EL CARMEN DE BOLÍVAR Y CONSTRUCCIÓN CENTRO DE CONVIVENCIA CIUDADANA DE ARJONA, DEPARTAMENTO DE BOLÍVAR</t>
  </si>
  <si>
    <t>CONDECAR S.A.S.</t>
  </si>
  <si>
    <t>15 DE JULIO DE 2015</t>
  </si>
  <si>
    <t>CM-SI-001-2013</t>
  </si>
  <si>
    <t>SI-837-2013</t>
  </si>
  <si>
    <t>INTERVENTORIA TECNICA ADMINISTRATIVA Y FINANCIERA PARA LA CONSULTORIA Y OBRAS DEL CENTRO CULTURAL PARA EL CONTRATO DE OBRA RESULTANTE DE LA LICITACIÓN PÚBLICA LIC-SI-001-2013 CUYO OBJETO ES LA REALIZACIÓN DE OBRAS DE LIBERACIÓN, ELABORACIÓN DE ESTUDIOS ARQUITECTÓNICOS E INGENIERILES, CONSULTORÍA Y ASESORÍA CULTURAL PARA LA PUESTA EN MARCHA DEL CENTRO REGIONAL PARA EL DESARROLLO DE LAS ARTES, LA CULTURA Y LAS ARTESANIAS DE BOLIVAR Y EL CARIBE</t>
  </si>
  <si>
    <t>CARINSA S.A.</t>
  </si>
  <si>
    <t>CM-SI-005-2013</t>
  </si>
  <si>
    <t>SI-1000-2013</t>
  </si>
  <si>
    <t xml:space="preserve"> INTERVENTORIA TÉCNICA, ADMINISTRATIVA Y FINANCIERA   DE LAS SIGUIENTES OBRAS EN EL DPTO. DE BOLIVAR: 1. OBRAS DE PAVIMENTACIÓN EN CONCRETO ASFALTICO DE 5 KILÓMETROS DE VÍA EN EL MUNICIPIO DE SANTA CATALINA. (VÍA QUE CONDUCE DEL CORREGIMIENTO DE LOMA ARENA AL MUNICIPIO DE SANTA CATALINA) 2. PAVIMENTACIÓN EN CONCRETO ASFALTICO DE 10 KM DE VÍA EN EL MUNICIPIO DE EL GUAMO. (DESDE LA TRONCAL HASTA EL CASCO URBANO DEL MUNICIPIO DE EL GUAMO)</t>
  </si>
  <si>
    <t>CONSORCIO INTERVENTORIA VIAS DE BOLIVAR</t>
  </si>
  <si>
    <t>CM-SI-006-2013</t>
  </si>
  <si>
    <t>SI-1211-2013</t>
  </si>
  <si>
    <t>INTERVENTORIA TECNICA, ADMINISTRATIVA Y FINANCIERA SOBRE LAS OBRAS DE: 1. CONSTRUCCIÓN DE UN MEGA COLEGIO EN EL MUNICIPIO DE SAN JUAN NEPOMUCENO EN LA INSTITUCIÓN EDUCATIVA NORMAL SUPERIOR DE LOS MONTES DE MARÍA BAJO LOS PARAMETROS DE LA NTC- 4595 DEL INCONTEC PARA AUMENTAR LOS INDICADORES DE COBERTURA EDUCATIVA OFICIAL. y 2. CONSTRUCCIÓN DE UN MEGA COLEGIO EN EL MUNICIPIO DE SANTA ROSA EN LA INSTITUCIÓN EDUCATIVA MARÍA INMACULADA BAJO LOS PARAMETROS DE LA NTC- 4595 DEL INCONTEC PARA AUMENTAR LOS INDICADORES DE COBERTURA EDUCATIVA OFICIAL.</t>
  </si>
  <si>
    <t>CM-SI-008-2013</t>
  </si>
  <si>
    <t>SI-1421-2013_</t>
  </si>
  <si>
    <t>INTERVENTORIA TECNICA, ADMINISTRATIVA Y FINANCIERA PARA LA REHABILITACIÓN Y MEJORAMIENTO DEL CARRETEABLE SOPLAVIENTO – EL CHORRO DE LOS CHIVOS – MAHATES, ENTRE K0 + 000 AL K20 + 000, ENTRE LOS MUNICIPIOS DE SOPLAVIENTO Y MAHATES – BOLIVAR</t>
  </si>
  <si>
    <t>NESTOR ORLANDO CADENA SANCHEZ</t>
  </si>
  <si>
    <t>31 DE AGOSTO DE 2015</t>
  </si>
  <si>
    <t>CM-SI-010-2013</t>
  </si>
  <si>
    <t>SI-245-2014</t>
  </si>
  <si>
    <t>INTERVENTORIA TÉCNICA, ADMINISTRATIVA Y FINANCIERA DE LAS SIGUIENTES OBRAS EN EL DPTO. DE BOLIVAR: “CONSTRUCCIÓN DE TRES (3) BOX COULVERT TRIPLE EN EL CORREGIMIENTO DE SAN CAYETANO, MUNICIPIO DE SAN JUAN NEPOMUCENO, (VEREDAS DE CASINGUI, ARROYO HONDO Y AGUAS BLANCAS</t>
  </si>
  <si>
    <t>JUAN AYAZO S.A.S.</t>
  </si>
  <si>
    <t>27 DE AGOSTO DE 2015</t>
  </si>
  <si>
    <t>CM-SI-011-2013</t>
  </si>
  <si>
    <t>SI-932-2014</t>
  </si>
  <si>
    <t>GERENCIA INTEGRAL PARA LA OBRA DE MEJORAMIENTO A NIVEL DE CONCRETO ASFALTICO DE 21,4 KM DE LA VIA ENTRE LOS MUNICIPIOS DE CORDOBA Y ZAMBRANO DEPARTAMENTO DE BOLIVAR</t>
  </si>
  <si>
    <t>CONSORCIO GERENCIA VIAL</t>
  </si>
  <si>
    <t>CM-SI-012-2013</t>
  </si>
  <si>
    <t>SI-222-2014</t>
  </si>
  <si>
    <t>INTERVENTORIA TÉCNICA, ADMINISTRATIVA Y FINANCIERA DEL   MEJORAMIENTO A NIVEL DE CONCRETO ASFALTICO DE 21,4 KM DE LA VIA ENTRE LOS MUNICIPIOS DE CORDOBA Y ZAMBRANO DEPARTAMENTO DE BOLIVAR</t>
  </si>
  <si>
    <t>CONSORCIO INTERVENTORÍA VÍAS PARA EL PROGRESO DE BOLÍVAR</t>
  </si>
  <si>
    <t>CM-SI-013-2013</t>
  </si>
  <si>
    <t>SI-497-2013</t>
  </si>
  <si>
    <t>NTERVENTORIA TÉCNICA, ADMINISTRATIVA Y FINANCIERA DEL MEJORAMIENTO EN CONCRETO ASFALTICO DE 8,5 DE LA  VÍA LOMA ARENA SANTA CATALINA FASE II MUNICIPIO DE SANTA CATALINA DEPARTAMENTO DE BOLIVAR</t>
  </si>
  <si>
    <t>ASESORIAS, INTERVENTORIAS, DISEÑOS Y CONSTRUCCION "AIDCON S.A.S."</t>
  </si>
  <si>
    <t>CM-SI-014-2013</t>
  </si>
  <si>
    <t>SI-953-2014</t>
  </si>
  <si>
    <t xml:space="preserve"> INTERVENTORIA TÉCNICA, ADMINISTRATIVA Y FINANCIERA SOBRE LAS SIGUIENTES OBRAS EN EL DPTO. DE BOLIVAR: ¿CONSTRUCCIÓN CENTRO DE CONVIVENCIA CIUDADANA DE EL CARMEN DE BOLÍVAR Y CONSTRUCCIÓN CENTRO DE CONVIVENCIA CIUDADANA DE ARJONA, DEPARTAMENTO</t>
  </si>
  <si>
    <t>CONSORCIO INTERVENTORIA CENTRO DE CONVIVENCIA</t>
  </si>
  <si>
    <t>22 DE JULIO DE 2015</t>
  </si>
  <si>
    <t>RELACION CONTRATOS  SECRETARIA DE INFRAESTRUCTURA-2014</t>
  </si>
  <si>
    <t>LIC-SI-002-2014</t>
  </si>
  <si>
    <t>PAVIMENTACION EN CONCRETO ASFALTICO DE LA VIA TRANSVERSAL DE LOS MONTES DE MARIA TRAMO I, DEPARTAMENTO DE BOLIVAR</t>
  </si>
  <si>
    <t>UNION TEMPORAL VIA TRANSVERSAL</t>
  </si>
  <si>
    <t>30 DE OCTUBRE DE 2015</t>
  </si>
  <si>
    <t>LIC-SI-004-2014</t>
  </si>
  <si>
    <t>CONSTRUCCION DE UN CENTRO INTEGRAL, UNIDAD DE REACCION INMEDIATA URI, CENTRO DE SERVICIOS JUDICIALES Y FOMENTO DE LA CONVIVENCIA CIUDADANA CARTAGENA DE INDIAS ¿ DEPARTAMENTO DE BOLIVAR</t>
  </si>
  <si>
    <t>CONSORCIO URI 2014</t>
  </si>
  <si>
    <t>EJECUCION 95%</t>
  </si>
  <si>
    <t>LIC-SI-005-2014</t>
  </si>
  <si>
    <t>CONSTRUCCIÓN DE LA INFRAESTRUCTURA EDUCATIVA DE LAS INSTITUCIONES; INSTITUCIÓN EDUCATIVA SAN JOSÉ DE ACHÍ EN EL MUNICIPIO DE ACHÍ Y LA INSTITUCIÓN EDUCATIVA DE CASTAÑAL EN EL MUNICIPIO DEL PEÑÓN, DEPARTAMENTO DE BOLÍVAR.</t>
  </si>
  <si>
    <t>CONSORCIO BOLIVAR EDUCATIVO</t>
  </si>
  <si>
    <t>EJECUCION 25%</t>
  </si>
  <si>
    <t>LIC-SI-006-2014</t>
  </si>
  <si>
    <t>RESTAURACION DEL EDIFICIO DONDE  FUNCIONA EL MERCADO PUBLICO DE MOMPOX (2 ETAPA),MUNICIPIO DE MOMPOX,DEPARTAMENTO DE BOLIVAR.</t>
  </si>
  <si>
    <t>UNION TEMPORAL MOMPOX 2014</t>
  </si>
  <si>
    <t>$623.709.258.90</t>
  </si>
  <si>
    <t>21 DE AGOSTO DE 2015</t>
  </si>
  <si>
    <t>LIC-SI-007-2014</t>
  </si>
  <si>
    <t>CONSTRUCCION DE UN (1) PUENTE PEATONAL EN ARJONA, CARRETERA MARIALABAJA - CARTAGENA, RUTA 9005, DEPARTAMENTO DE BOLIVAR</t>
  </si>
  <si>
    <t>CONSORCIO PEATONAL ARJONA</t>
  </si>
  <si>
    <t xml:space="preserve"> </t>
  </si>
  <si>
    <t>LIC-SI-008-2014</t>
  </si>
  <si>
    <t>MEJORAMIENTO, MANTENIMIENTO Y REHABILITACION DE SEIS VIAS; ARROYOHONDO - VENTURILLA - LA LINEA, MUNICIPIO DE ARROYOHONDO, MALA NOCHE - ALTAMIRA, MUNICIPIO DEL CARMEN DE BOLIVAR, EL CARMEN - EL BLEDO, MUNICIPIO DEL CARMEN DE BOLIVAR, MARIA LA BAJA - SANTODOMINGO DE MESA, MUNICIPIO DE MARIA LA BAJA, TRONCAL - MAYUTA - SANTA FE DE HICOTEA, MUNICIPIO DE MARIA LA BAJA, CAÑAVERAL MUNICIPIO DE TURBACO, EN EL DEPARTAMENTO DE BOLIVAR.</t>
  </si>
  <si>
    <t>UNION TEMPORAL SEIS VIAS</t>
  </si>
  <si>
    <t>PENDIENTE POR LIQUIDAR, SE ESTA A LA ESPERA DE LOS INFORMES FINALES Y ACTAS FINALES</t>
  </si>
  <si>
    <t>LIC-SI-009-2014</t>
  </si>
  <si>
    <t>CONSTRUCCIÓN DE LA INFRAESTRUCTURA EDUCATIVA DE LAS INSTITUCIONES: CONSTRUCCIÓN DE LA INSTITUCIÓN EDUCATIVA TÉCNICA AGROPECUARIA Y ORFEBRE, TOMASA NAJERA, EN EL MUNICIPIO DE MOMPOX; Y; REPOSICIÓN DE 14 AULAS DE CLASES, 2 BATERÍAS SANITARIAS Y CONSTRUCCIÓN DE 1 LABORATORIO, 1 AULA DE SISTEMAS, 1 UNIDAD ADMINISTRATIVA, 1 BIBLIOTECA Y 2 BATERÍAS SANITARIAS EN LA INSTITUCIÓN EDUCATIVA DE BALLESTAS EN EL MUNICIPIO DE TURBANA, DEPARTAMENTO DE BOLIVAR.</t>
  </si>
  <si>
    <t>OLT LOGISTIC S.A.S.</t>
  </si>
  <si>
    <t>TOMASA NAJERA 80 % EJECUTADO Y TURBANA 40% EJECUTADO</t>
  </si>
  <si>
    <t>LIC-SI-011-2014</t>
  </si>
  <si>
    <t>DISEÑO (ETAPA 1. ESTUDIO DE RIESGOS, DESARROLLO DE DISEÑOS, ESTUDIOS TÉCNICOS Y TRÁMITES) Y LA CONSTRUCCIÓN (ETAPA 2. EJECUCIÓN DE OBRAS, SOCIALIZACIÓN Y ENTREGA EN FUNCIONAMIENTO) DE LAS SEDES EDUCATIVAS (GRUPO I) INDICADAS EN EL ANEXO N°2 QUE SE VIERON AFECTADAS POR EL FENÓMENO DE "LA NIÑA" 2010-2011 EN EL DEPARTAMENTO DE BOLIVAR.</t>
  </si>
  <si>
    <t>CONSORCIO C.E.D.</t>
  </si>
  <si>
    <t xml:space="preserve"> EN EJECUCION  - DISEÑOS</t>
  </si>
  <si>
    <t>LIC-SI-012-2014</t>
  </si>
  <si>
    <t>ADMINISTRACIÓN Y OPERACIÓN DE LA MAQUINARIA PESADA Y VOLQUETAS A CARGO DEL DEPARTAMENTO DE BOLÍVAR PARA LA IMPLEMENTACIÓN DEL BANCO DE MAQUINARIA DESTINADO A LA ATENCIÓN DE EMERGENCIAS, PUNTOS CRÍTICOS Y MANTENIMIENTOS PREVENTIVOS DE LA RED VIAL EN EL DEPARTAMENTO DE BOLÍVAR</t>
  </si>
  <si>
    <t>CONSORCIO BANCO DE MAQUINARIA</t>
  </si>
  <si>
    <t>2 DE JULIO DE 2015</t>
  </si>
  <si>
    <t>LIC-SI-013-2014</t>
  </si>
  <si>
    <t>DISEÑO (ETAPA 1. ESTUDIO DE RIESGOS, DESARROLLO DE DISEÑOS, ESTUDIOS TÉCNICOS Y TRÁMITES) Y LA CONSTRUCCIÓN (ETAPA 2. EJECUCIÓN DE OBRAS, SOCIALIZACIÓN Y ENTREGA EN FUNCIONAMIENTO) DE LAS SEDES EDUCATIVAS (GRUPO II) INDICADAS EN EL ANEXO N°2 QUE SE VIERON AFECTADAS POR EL FENÓMENO DE "LA NIÑA" 2010-2011 EN EL DEPARTAMENTO DE BOLÍVAR</t>
  </si>
  <si>
    <t>CONSORCIO COLEGIOS BOLIVAR</t>
  </si>
  <si>
    <t>ESTUDIO DE DISEÑOS</t>
  </si>
  <si>
    <t>LIC-SI-015-2014</t>
  </si>
  <si>
    <t>PAVIMENTACION ASFALTICA DE LA VIA TRONCAL (DEL KM 0+579 AL KM 1+ 600)-SAN BASILIO DE PALENQUE, DEPARTAMENTO DE BOLIVAR.</t>
  </si>
  <si>
    <t>CONSORCIO VIA TRONCAL</t>
  </si>
  <si>
    <t>LIC-SI-017-2014</t>
  </si>
  <si>
    <t xml:space="preserve">PAVIMENTACION ASFALTICA DE LA VIA TRONCAL (DEL K 0+000(CARRETERA TRONCAL) AL K 0+579) -SAN BASILIO DE PALENQUE, DEPARTAMENTO DE BOLIVAR  </t>
  </si>
  <si>
    <t>AGM DESARROLLOS S.A.S.</t>
  </si>
  <si>
    <t>LA INTERVENTORIA NO HA ENVIADO LOS INFORMES FINALES, ESTA PENDIENTE POR LIQUIDAR</t>
  </si>
  <si>
    <t>LIC-SI-018-2014</t>
  </si>
  <si>
    <t>IMPLANTACIÓN, AJUSTES DE LOS DISEÑOS Y CONSTRUCCIÓN DE DOS (2) CENTROS DE DESARROLLO INFANTIL (CDI), EN LOS MUNICIPIOS DE CICUCO Y SAN CRISTOBAL, DEPARTAMENTO DE BOLIVAR, PARA 95 NIÑOS CADA UNO.</t>
  </si>
  <si>
    <t>UNION TEMPORAL CDI BOLIVAR</t>
  </si>
  <si>
    <t>EJECUCION 10%</t>
  </si>
  <si>
    <t>LIC-SI-019-2014</t>
  </si>
  <si>
    <t>CONSTRUCCION DE PAVIMENTOS RIGIDOS EN LAS LOCALIDADES 2 Y 3 DEL DISTRITO DE CARTAGENA, DEPARTAMENTO DE BOLIVAR</t>
  </si>
  <si>
    <t>CONSORCIO PAVIMENTOS CARTAGENA</t>
  </si>
  <si>
    <t>EJECUCION 80%</t>
  </si>
  <si>
    <t>LIC-SI-020-2014</t>
  </si>
  <si>
    <t>MEJORAMIENTO A NIVEL DE CONCRETO ASFÁLTICO DE 20 KM  DEL PROYECTO CARMEN DE BOLÍVAR - MACAYEPO EN EL DEPARTAMENTO DE BOLÍVAR.</t>
  </si>
  <si>
    <t>UNION TEMPORAL MONTES DE MARIA</t>
  </si>
  <si>
    <t>EJECUCION 85%</t>
  </si>
  <si>
    <t>LIC-SI-022-2014</t>
  </si>
  <si>
    <t>02 de 2015</t>
  </si>
  <si>
    <t>CONSTRUCCIÓN DE 3.63 KM DE PAVIMENTO RIGIDO EN LAS CABECERAS MUNICIPALES DE CANTAGALLO (BARRIOS 23 DE ENERO Y SAN MARTIN, 1.93 KM) Y MORALES (BARRIOS PARAISO Y BASTIDAS, 1.7 KM) EN EL DEPARTAMENTO DE BOLIVAR.</t>
  </si>
  <si>
    <t>CONSORCIO MORALES CANTAGALLO</t>
  </si>
  <si>
    <t>EJECUCION 60%</t>
  </si>
  <si>
    <t>CM-SI-001-2014</t>
  </si>
  <si>
    <t>INTERVENTORÍA TÉCNICA, ADMINISTRATIVA Y FINANCIERA SOBRE LAS OBRAS DE REHABILITACION A NIVEL DE PAVIMENTACION EN CONCRETO ASFALTICO DE LA VIA BAYUNCA  VIA AL MAR L= 7.17 KM, EN EL DEPARTAMENTO DE BOLIVAR.</t>
  </si>
  <si>
    <t>CONSORCIO INTERVIAL 2014</t>
  </si>
  <si>
    <t>3 DE MARZO DE 2015</t>
  </si>
  <si>
    <t xml:space="preserve"> LIQUIDADO </t>
  </si>
  <si>
    <t>CM-SI-002-2014</t>
  </si>
  <si>
    <t>INTERVENTORIA TÉCNICA, ADMINISTRATIVA Y FINANCIERA SOBRE LA CONSTRUCCIÓN DE DIQUE CON MATERIAL COMÚN ENTRE LOS CORREGIMIENTOS DE LA VICTORIA Y LA CABECERA MUNICIPAL Y RECONSTRUCCION DE DIQUE ENTRE LOS CORREGIMIENTOS DE SANTA ROSA, SANTO DOMINGO, TAPOA HASTA EL CAÑO SIMON DEL MUNICIPIO DE PINILLOS ¿ BOLIVAR.</t>
  </si>
  <si>
    <t>UNION TEMPORAL INTERVENTORIA PINILLOS</t>
  </si>
  <si>
    <t>FALTAN LOS INFORMES FINALES - PENDIENTE LIQUIDACION</t>
  </si>
  <si>
    <t>CM-SI-005-2014</t>
  </si>
  <si>
    <t>INTERVENTORÍA TÉCNICA, ADMINISTRATIVA Y FINANCIERA A LOS CONTRATOS DE OBRA CUYOS OBJETOS SON: 1. ¿CONSTRUCCIÓN DE LA INFRAESTRUCTURA EDUCATIVA DE LAS INSTITUCIONES: INSTITUCION EDUCATIVA TECNICA AGROPECUARIA Y ORFEBRE, TOMASA NAJERA, EN EL MUNICIPIO DE MOMPOX; Y; REPOSICION DE 14 AULAS DE CLASES, 2 BATERIAS SANITARIAS Y CONSTRUCCION DE 1 LABORATORIO, 1 AULA DE SISTEMAS, 1 UNIDAD ADMINISTRATIVA, 1 BIBLIOTECA Y 2 BATERIAS SANITARIAS EN LA INSTITUCION EDUCATIVA DE BALLESTAS EN EL MUNICIPIO DE TURBANA, DEPARTAMENTO DE BOLIVAR¿; Y 2. ¿CONSTRUCCIÓN DE LA INFRAESTRUCTURA EDUCATIVA DE LAS INSTITUCIONES; INSTITUCIÓN EDUCATIVA SAN JOSÉ DE ACHÍ EN EL MUNICIPIO DE ACHÍ Y LA INSTITUCIÓN EDUCATIVA DE CASTAÑAL EN EL MUNICIPIO DEL PEÑÓN, DEPARTAMENTO DE BOLIVAR</t>
  </si>
  <si>
    <t>CONSORCIO BOLIVAR</t>
  </si>
  <si>
    <t>EJECUCION SE VENCE EL PLAZO EL 27 DE NOV</t>
  </si>
  <si>
    <t>CM-SI-006-2014</t>
  </si>
  <si>
    <t>INTERVENTORÍA TECNICA, ADMINISTRATIVA Y FINANCIERA PARA LA CONSTRUCCION DE UN CENTRO INTEGRAL, UNIDAD DE REACCION INMEDIATA URI, CENTRO DE SERVICIOS JUDICIALES Y FOMENTO DE LA CONVIVENCIA CIUDADANA CARTAGENA DE INDIAS ¿ DEPARTAMENTO DE BOLIVAR</t>
  </si>
  <si>
    <t>HUMBERTO HERNANDEZ AYCARDI</t>
  </si>
  <si>
    <t>CM-SI-007-2014</t>
  </si>
  <si>
    <t>INTERVENTORÍA TÉCNICA, ADMINISTRATIVA Y FINANCIERA AL CONTRATO PARA LA ADMINISTRACION Y OPERACIÓN DE LA MAQUINARIA PESADA Y VOLQUETAS A CARGO DEL DEPARTAMENTO DE BOLIVAR PARA LA IMPLEMENTACION DEL BANCO DE MAQUINARIA DESTINADO A LA ATENCION DE EMERGENCIAS, PUNTOS CRITICOS Y MANTENIMIENTOS PREVENTIVOS DE LA RED VIAL EN EL DEPARTAMENTO DE BOLIVAR.</t>
  </si>
  <si>
    <t>CONSORCIO INGEPRO</t>
  </si>
  <si>
    <t>CM-SI-008-2014</t>
  </si>
  <si>
    <t>INTERVENTORÍA TECNICA, ADMINISTRATIVA Y FINANCIERA PARA LA CONSTRUCCION DE OBRAS PARA EL CONTROL DE INUNDACIONES EN EL SECTOR CAIMANCITO FINCA LA VICTORIA Y FINCA CHIMBORAZO Y CONSTRUCCION DE OBRAS PARA EL CONTROL DE INUNDACIONES EN LA MARGEN DERECHA DEL RIO CAUCA EN LOS CORREGIMIENTOS DE BUENOS AIRES, BUENAVISTA Y LA VEREDA LAS FLORES EN JURISDICCION DEL MUNICIPIO DE ACHI.</t>
  </si>
  <si>
    <t>19 DE MAYO DE 2015</t>
  </si>
  <si>
    <t>CM-SI-009-2014</t>
  </si>
  <si>
    <t>INTERVENTORÍA TÉCNICA, ADMINISTRATIVA Y FINANCIERA A PAVIMENTACION ASFALTICA DE LA VIA TRONCAL (DEL K 0+579 AL K 1+600) -SAN BASILIO DE PALENQUE, DEPARTAMENTO DE BOLIVAR</t>
  </si>
  <si>
    <t>CONSORCIO INTERVENTORIA PALENQUE</t>
  </si>
  <si>
    <t>PENDIENTE LIQUIDACION- FALTA QUE ENVIEN LOS INFORMES FINALES</t>
  </si>
  <si>
    <t>CM-SI-010-2014</t>
  </si>
  <si>
    <t>INTERVENTORÍA TÉCNICA, ADMINISTRATIVA Y FINANCIERA A MEJORAMIENTO A NIVEL DE CONCRETO ASFALTICO DE 20 KM DEL PROYECTO CARMEN DE BOLIVAR - MACAYEPO EN EL DEPARTAMENTO DE BOLIVAR</t>
  </si>
  <si>
    <t>CONSORCIO INTERVENTORIA CARMEN MACAYEPO</t>
  </si>
  <si>
    <t xml:space="preserve">EJECUCION </t>
  </si>
  <si>
    <t>MC-SI-001-2014</t>
  </si>
  <si>
    <t>CONSTRUCCION DE LA DESVIACION PROVISIONAL EN LA CONFORMACION DE VIA VILLANUEVA  ARENAL (K 0 + 000)</t>
  </si>
  <si>
    <t>EIDELCA LTDA</t>
  </si>
  <si>
    <t>24 DE NOVIEMBRE DE 2014</t>
  </si>
  <si>
    <t>SA-SI-001-2014</t>
  </si>
  <si>
    <t>SA-SI-1183-2014</t>
  </si>
  <si>
    <t>CONSTRUCCION DE OBRAS PARA EL CONTROL DE INUNDACIONES EN EL SECTOR CAIMANCITO FINCA LA VICTORIA Y FINCA CHIMBORAZO Y CONSTRUCCION DE OBRAS PARA EL CONTROL DE INUNDACIONES EN LA MARGEN DERECHA DEL RIO CAUCA EN LOS CORREGIMIENTOS DE BUENOS AIRES, BUENAVISTA Y LA VEREDA LAS FLORES EN JURISDICCION DEL MUNICIPIO DE ACHI.</t>
  </si>
  <si>
    <t>EDILBERTO JULIO PADILLA</t>
  </si>
  <si>
    <t>15 DE MAYO DE 2015</t>
  </si>
  <si>
    <t>SA-SI-005-2014</t>
  </si>
  <si>
    <t>PAVIMENTACIÓN DE LA CALLE 15 ENTRE CARRERA 18A Y 20. L=204 ML, EN EL MUNICIPIO DE MAGANGUE ¿ DEPARTAMENTO DE BOLÍVAR</t>
  </si>
  <si>
    <t>DEIVIS ANTONIO PEREZ SERPA</t>
  </si>
  <si>
    <t>24 DE SEPTIEMBRE</t>
  </si>
  <si>
    <t>CM-SI-011-2014</t>
  </si>
  <si>
    <t>INTERVENTORÍA TÉCNICA, ADMINISTRATIVA Y FINANCIERA A CONSTRUCCION DE PAVIMENTOS RIGIDOS EN LAS LOCALIDADES 2 Y 3 DEL DISTRITO DE CARTAGENA, DEPARTAMENTO DE BOLIVAR.</t>
  </si>
  <si>
    <t>CONSORCIO INTERCARTAGENA 2015</t>
  </si>
  <si>
    <t>CM-SI-012-2014</t>
  </si>
  <si>
    <t>INTERVENTORÍA TÉCNICA, ADMINISTRATIVA Y FINANCIERA A CONSTRUCCIÓN DE 3.63 KM DE PAVIMENTO RIGIDO EN LAS CABECERAS MUNICIPALES DE CANTAGALLO (BARRIOS 23 DE ENERO Y SAN MARTIN, 1.93 KM) Y MORALES (BARRIOS PARAISO Y BASTIDAS, 1.7 KM) EN EL DEPARTAMENTO DE BOLIVAR</t>
  </si>
  <si>
    <t>CONSORCIO PAVIMENTOS BOLIVAR</t>
  </si>
  <si>
    <t xml:space="preserve">x </t>
  </si>
  <si>
    <t>SI-C-2300 -2014</t>
  </si>
  <si>
    <t>CONSTRUCCIÓN CASA DE LA CULTURA EN EL MUNICIPIO DE EL GUAMO, DEPARTAMENTO DE BOLÍVAR</t>
  </si>
  <si>
    <t>CONSORCIO GUAMO</t>
  </si>
  <si>
    <t>RELACION CONTRATOS  SECRETARIA DE INFRAESTRUCTURA-2015</t>
  </si>
  <si>
    <t>LIC-SI-021-2014</t>
  </si>
  <si>
    <t>CONSTRUCCIÓN DE UN PUENTE SOBRE LA QUEBRADA MAMPUJAN, MUNICIPIO DE MARIALABAJA. DEPARTAMENTO DE BOLIVAR</t>
  </si>
  <si>
    <t>UNION TEMPORAL OME-TAI</t>
  </si>
  <si>
    <t>LIC-SI-023-2014</t>
  </si>
  <si>
    <t>CONSTRUCCIÓN DE OBRAS PARA LA SEGURIDAD Y LA VIGILANCIA EN EL MUNICIPIO DE SANTA ROSA DEL SUR Y SANTA ROSA DE LIMA, DEPARTAMENTO DE BOLIVAR</t>
  </si>
  <si>
    <t>CONSORCIO SEGURIDAD BOLIVAR</t>
  </si>
  <si>
    <t>LIC-SI-003-2015</t>
  </si>
  <si>
    <t>1373/2015</t>
  </si>
  <si>
    <t>MEJORAMIENTO,MANTENIMIENTO Y CONSERVACION DE LA VIA TRONCAL – EL GUAMO, ABSICISA PR11 + 770, EL GUAMO, EL DEPARTAMENTO DE BOLÍVAR.</t>
  </si>
  <si>
    <t>CONSORCIO EL GUAMO 2015</t>
  </si>
  <si>
    <t>EJECUCION 40%</t>
  </si>
  <si>
    <t>LIC-SI-004-2015</t>
  </si>
  <si>
    <t>1271/2015</t>
  </si>
  <si>
    <t>CONSTRUCCIÓN Y REHABILITACIÓN DE LA VÍA TERCIARIA NACIONAL CHAPARRAL-CASCAJAL DEL MUNICIPIO DE MAGANGUE, DEPARTAMENTO DE BOLÍVAR.</t>
  </si>
  <si>
    <t>CONSORCIO CHAPARRAL CASCAJAL</t>
  </si>
  <si>
    <t>EJECUCION 50%</t>
  </si>
  <si>
    <t>LIC-SI-005-2015</t>
  </si>
  <si>
    <t>2425/2015</t>
  </si>
  <si>
    <t>MEJORAMIENTO DE LA PISTA DEL AERÓDROMO DEL MUNICIPIO DE SANTA ROSA DEL SUR, DEPARTAMENTO DE BOLIVAR</t>
  </si>
  <si>
    <t>CONSORCIO PISTA 2015</t>
  </si>
  <si>
    <t>LIC-SI-006-2015</t>
  </si>
  <si>
    <t>CONTRATO No.</t>
  </si>
  <si>
    <t>CONSTRUCCIÓN DE INSPECCIÓN DE POLICÍA EN EL CORREGIMIENTO DE SAN BASILIO DE PALENQUE, Y CONSTRUCCIÓN DE PUESTO MILITAR UBICADO VILLANUEVA, DEPARTAMENTO DE BOLÍVAR</t>
  </si>
  <si>
    <t>CONSORCIO INGEDAR BOLIVAR</t>
  </si>
  <si>
    <t>CM-SI-001-2015</t>
  </si>
  <si>
    <t>1286-2015</t>
  </si>
  <si>
    <t>INTERVENTORÍA TÉCNICA, ADMINISTRATIVA Y FINANCIERA A LA CONSTRUCCIÓN Y REHABILITACIÓN DE LA VIA TERCIARIA NACIONAL CHAPARRAL - CASCAJAL DEL MUNICIPIO DE MAGANGUE, DEPARTAMENTO DE BOLIVAR</t>
  </si>
  <si>
    <t>CONSORCIO INTERVIAS</t>
  </si>
  <si>
    <t>CM-SI-002-2015</t>
  </si>
  <si>
    <t>2429-2015</t>
  </si>
  <si>
    <t>TECNICONSULTA S.A</t>
  </si>
  <si>
    <t>CM-SI-003-2015</t>
  </si>
  <si>
    <t>2430-2015</t>
  </si>
  <si>
    <t>INTERVENTORÍA TÉCNICA, ADMINISTRATIVA Y FINANCIERA PARA LA CONSTRUCCIÓN DE INSPECCIÓN DE POLICÍA EN EL CORREGIMIENTO DE SAN BASILIO DE PALENQUE, Y CONSTRUCCIÓN DE PUESTO MILITAR UBICADO VILLANUEVA, DEPARTAMENTO DE BOLÍVAR</t>
  </si>
  <si>
    <t>MC-SI-001-2015</t>
  </si>
  <si>
    <t>INTERVENTORIA TÉCNICA, ADMINISTRATIVA Y FINANCIERA DE LA OBRA: CONSTRUCCIÓN DE UN PUENTE SOBRE LA QUEBRADA MAMPUJAN, MUNICIPIO DE MARIALABAJA. DEPARTAMENTO DE BOLIVAR</t>
  </si>
  <si>
    <t>CARLOS GUETE RODRIGUEZ</t>
  </si>
  <si>
    <t>MC-SI-002-2015</t>
  </si>
  <si>
    <t>INTERVENTORÍA TÉCNICA, ADMINISTRATIVA Y FINANCIERA DE LA OBRA: CONSTRUCCIÓN DE OBRAS PARA LA SEGURIDAD Y LA VIGILANCIA EN EL MUNICIPIO DE SANTA  ROSA DEL SUR Y SANTA ROSA DE LIMA, DEPARTAMENTO DE BOLIVAR</t>
  </si>
  <si>
    <t>DINA TERESA LEON PEROZA</t>
  </si>
  <si>
    <t>LIC-SI-009-2015</t>
  </si>
  <si>
    <t>SI-C-2448-2015</t>
  </si>
  <si>
    <t>CONSTRUCCIÓN DE PAVIMENTO EN CONCRETO RÍGIDO CALLES DE CABECERA MUNICIPAL DE TALAIGUA, BOLÍVAR</t>
  </si>
  <si>
    <t>UNION TEMPORAL OBRAS PARA EL PROGRESO</t>
  </si>
  <si>
    <t>NO HA INICIADO</t>
  </si>
  <si>
    <t>LIC-SI-008-2015</t>
  </si>
  <si>
    <t>SI-C-2455-2015</t>
  </si>
  <si>
    <t>CONSTRUCCION DE UNA (1) INSTITUCION PRESTADORA DE SERVICIOS DE SALUD DE MEDIANA COMPLEJIDAD EN EL MUNICIPIO DE SIMITI. (Empresa Social Del Estado Hospital Regional del Sur de Bolívar).</t>
  </si>
  <si>
    <t>CONSORCIO HOSPITAL SIMITI</t>
  </si>
  <si>
    <t>EJECUCION 1%</t>
  </si>
  <si>
    <t>LIC-SI-011-2015</t>
  </si>
  <si>
    <t>SI-C-2452-2015</t>
  </si>
  <si>
    <t>CONSTRUCCION DEL PUENTE UBICADO EN LA VIA QUE CONDUCE DEL CORREGIMIENTO DE MALAGANA AL MUNICIPIO DE MAHATES, SECTOR ARROYO PITICA EN LA ZONA RURAL DEL MUNICIPIO DE MAHATES, DEPARTAMENTO DE BOLIVAR, INCLUYE DESMONTE DEL PUENTE MILITAR EXISTENTE, ESTRUCTURAS DE PROTECCION CONTRA LA SOCAVACION, MOVIMIENTO DE TIERRAS Y DESVIO PROVISIONAL DEL TRAFICO</t>
  </si>
  <si>
    <t>CONSORCIO CONSTRUPUENTE 2015</t>
  </si>
  <si>
    <t>LIC-SI-010-2015</t>
  </si>
  <si>
    <t>SI-C-2463-2015</t>
  </si>
  <si>
    <t>REHABILITACION Y MANTENIMIENTO DE 23,5 DE LA VIA LA LINEA: CRUCE 90 (CARRETERA LA CORDIALIDAD)- SANTA ROSA DE LIMA - VILLANUEVA - SAN ESTANISLAO. DEPARTAMENTO DE BOLIVAR</t>
  </si>
  <si>
    <t>CONSORCIO SANTA ROSA DE LIMA</t>
  </si>
  <si>
    <t>CM-SI-005-2015</t>
  </si>
  <si>
    <t>SI-I-2453-2015</t>
  </si>
  <si>
    <t>INTERVENTORIA TECNICA, ADMINISTRATIVA, AMBIENTAL Y FINANCIERA  A LA REHABILITACION Y MANTENIMIENTO DE 23,5 DE LA VIA LA LINEA: CRUCE 90 (CARRETERA LA CORDIALIDAD)- SANTA ROSA DE LIMA - VILLANUEVA - SAN ESTANISLAO. DEPARTAMENTO DE BOLIVAR.</t>
  </si>
  <si>
    <t>CONSORCIO INTERLINEA</t>
  </si>
  <si>
    <t>CM-SI-004-2015</t>
  </si>
  <si>
    <t>SI-I-2450-2015</t>
  </si>
  <si>
    <t>INTERVENTORIA TECNICA, ADMINISTRATIVA Y FINANCIERA PARA LA CONSTRUCCION DE UNA (1) INSTITUCION PRESTADORA DE SERVICIOS DE SALUD DE MEDIANA COMPLEJIDAD EN EL MUNICIPIO DE SIMITI. (Empresa Social Del Estado Hospital Regional del Sur de Bolívar).</t>
  </si>
  <si>
    <t>CONSORCIO INTERVENTORIA SIMITI</t>
  </si>
  <si>
    <r>
      <t xml:space="preserve">  </t>
    </r>
    <r>
      <rPr>
        <sz val="8"/>
        <color theme="1"/>
        <rFont val="Arial"/>
        <family val="2"/>
      </rPr>
      <t>INTERVENTORÍA TÉCNICA, ADMINISTRATIVA Y FINANCIERA PARA EL MEJORAMIENTO DE LA PISTA DEL AERÓDROMO DEL MUNICIPIO DE SANTA ROSA DEL SUR, DEPARTAMENTO DE BOLIVAR</t>
    </r>
  </si>
  <si>
    <t>PROCESOS EN CURSO NOVIEMBRE DE 2015-SECRETARIA DE INFRAESTRUCTURA GOBERNACION DE BOLIVAR</t>
  </si>
  <si>
    <t xml:space="preserve"> FECHA DE APERTURA</t>
  </si>
  <si>
    <t>ESTADO</t>
  </si>
  <si>
    <t>FECHA DE CIERRE</t>
  </si>
  <si>
    <t>FECHA DE ADJUDICACION</t>
  </si>
  <si>
    <t>LIC-SI-007-2015</t>
  </si>
  <si>
    <t>RESTAURACIÓN INTEGRAL DEL PALACIO DE LA PROCLAMACIÓN PARA EL FUNCIONAMIENTO DEL CENTRO REGIONAL PARA EL DESARROLLO DE LAS ARTES, LA CULTURA Y LAS ARTESANÍAS DE BOLÍVAR Y EL CARIBE  FASE 2</t>
  </si>
  <si>
    <t>CONVOCADO</t>
  </si>
  <si>
    <t>CM-SI-008-2015</t>
  </si>
  <si>
    <t>INTERVENTORIA TECNICA, ADMINISTRATIVA Y FINANCIERA DE LA RESTAURACIÓN INTEGRAL DEL PALACIO DE LA PROCLAMACIÓN PARA EL FUNCIONAMIENTO DEL CENTRO REGIONAL PARA EL DESARROLLO DE LAS ARTES, LA CULTURA Y LAS ARTESANÍAS DE BOLÍVAR Y EL CARIBE ¿ FASE 2</t>
  </si>
  <si>
    <t>BORRADOR</t>
  </si>
  <si>
    <t>LIC-SI-012-2015</t>
  </si>
  <si>
    <t>CONSTRUCCIÓN DE UN PUENTE SOBRE EL CANAL DEL DIQUE ENTRE LOS MUNICIPIOS DE SOPLAVIENTO Y SAN ESTANISLAO DE KOTSKA, EN EL DEPARTAMENTO DE BOLIVAR</t>
  </si>
  <si>
    <t>LIC-SI-013-2015</t>
  </si>
  <si>
    <t>CONSTRUCCION DE 22 CENTROS DE DESARROLLO INFANTIL CDI EN MUNICIPIOS DEL DEPARTAMENTO DE BOLIVAR  PRIMER GRUPO-CONSTRUCCIÓN Y DOTACIÓN DE 10 CENTROS DE DESARROLLO INFANTIL EN MUNICIPIOS DEL DEPARTAMENTO DE BOLÍVAR</t>
  </si>
  <si>
    <t>LIC-SI-014-2015</t>
  </si>
  <si>
    <t>CONSTRUCCION  DE 22 CENTROS DE DESDARROLLO INFANTIL CDI EN MUNICIPIOS DEL DEPARTAMENTO DE BOLIVAR ¿ SEGUNDO GRUPO-CONSTRUCCIÓN Y DOTACIÓN DE 6 CENTROS DE DESARROLLO INFANTIL EN MUNICIPIOS DEL DEPARTAMENTO DE BOLÍVAR</t>
  </si>
  <si>
    <t>LIC-SI-015-2015</t>
  </si>
  <si>
    <t>CONSTRUCCION  DE 22 CENTROS DE DESDARROLLO INFANTIL CDI EN MUNICIPIOS DEL DEPARTAMENTO DE BOLIVAR ¿ TERCER GRUPO-CONSTRUCCIÓN Y DOTACIÓN DE 6 CENTROS DE DESARROLLO INFANTIL EN MUNICIPIOS DEL DEPARTAMENTO DE BOLÍVAR</t>
  </si>
  <si>
    <t>Delegatario</t>
  </si>
  <si>
    <t>Funcion o facultad delegada</t>
  </si>
  <si>
    <t>Acto Administrativo</t>
  </si>
  <si>
    <t>Secretario de Infraestructura</t>
  </si>
  <si>
    <r>
      <t xml:space="preserve">DECRETO No. 91  DEL 11 MARZO 2013                    </t>
    </r>
    <r>
      <rPr>
        <i/>
        <sz val="10"/>
        <color theme="1"/>
        <rFont val="Arial"/>
        <family val="2"/>
      </rPr>
      <t>"Por el cual se delegan algunas funciones del Gobernador del Departamento de Bolívar y se dictas otras disposiciones"</t>
    </r>
  </si>
  <si>
    <r>
      <t xml:space="preserve">DECRETO No. 424  DEL 11 SEPTIEMBRE  2013    </t>
    </r>
    <r>
      <rPr>
        <i/>
        <sz val="10"/>
        <color theme="1"/>
        <rFont val="Arial"/>
        <family val="2"/>
      </rPr>
      <t xml:space="preserve">"Por el cual se delega la competencia para adelantar todas las actividades precontractuales, contractuales y poscontractuales necesarias para el cumplimiento de los fines del Estado, así mismo, la competencia para la ordenación del gasto, expedir los actos administrativos relativos a la actividad contractual, celebrar los contratos y convenios, y se dictan otras disposiciones" </t>
    </r>
  </si>
  <si>
    <r>
      <rPr>
        <b/>
        <sz val="10"/>
        <color theme="1"/>
        <rFont val="Calibri"/>
        <family val="2"/>
        <scheme val="minor"/>
      </rPr>
      <t xml:space="preserve">1º </t>
    </r>
    <r>
      <rPr>
        <sz val="10"/>
        <color theme="1"/>
        <rFont val="Calibri"/>
        <family val="2"/>
        <scheme val="minor"/>
      </rPr>
      <t xml:space="preserve">(ARTICULO PRIMERO) </t>
    </r>
    <r>
      <rPr>
        <b/>
        <sz val="10"/>
        <color theme="1"/>
        <rFont val="Calibri"/>
        <family val="2"/>
        <scheme val="minor"/>
      </rPr>
      <t>Adicionese un paragrafo quinto, al artículo primero del Decreto 424 de 2013, así:</t>
    </r>
    <r>
      <rPr>
        <sz val="10"/>
        <color theme="1"/>
        <rFont val="Calibri"/>
        <family val="2"/>
        <scheme val="minor"/>
      </rPr>
      <t xml:space="preserve"> PARAGRAFO QUINTO:</t>
    </r>
    <r>
      <rPr>
        <b/>
        <sz val="10"/>
        <color theme="1"/>
        <rFont val="Calibri"/>
        <family val="2"/>
        <scheme val="minor"/>
      </rPr>
      <t xml:space="preserve"> </t>
    </r>
    <r>
      <rPr>
        <i/>
        <sz val="10"/>
        <color theme="1"/>
        <rFont val="Calibri"/>
        <family val="2"/>
        <scheme val="minor"/>
      </rPr>
      <t>"La facultad de ordenar los gastos a través de la celebración de contratos conferida en el presente artículo, excluye la relacionada con el desarrollo de proyectos de infraestructura en el Departamento, la cual se delega en el Secretario(a) asignado a la Secretaría de Infraeestructura del Departamento, con cargo al presupuesto de funcionamiento e inversión  con independencia de la Unidad Ejecutora donde se encuentren radicados los recursos, e indistintamente de la modalidad de selección en los términos de la Ordenanza 20 de 201; los Decretos Departamentales 787 de 2012, 788 de 2012, 790 de 2012 y demás normas que los modifiquen, reglamenten, sustituya, adicionen, o complementen"</t>
    </r>
    <r>
      <rPr>
        <sz val="10"/>
        <color theme="1"/>
        <rFont val="Calibri"/>
        <family val="2"/>
        <scheme val="minor"/>
      </rPr>
      <t xml:space="preserve">                                                                                                                                                                                                   </t>
    </r>
    <r>
      <rPr>
        <b/>
        <sz val="10"/>
        <color theme="1"/>
        <rFont val="Calibri"/>
        <family val="2"/>
        <scheme val="minor"/>
      </rPr>
      <t xml:space="preserve">2º </t>
    </r>
    <r>
      <rPr>
        <sz val="10"/>
        <color theme="1"/>
        <rFont val="Calibri"/>
        <family val="2"/>
        <scheme val="minor"/>
      </rPr>
      <t xml:space="preserve">(ARTICULO SEGUNDO) Aclara el Articulo Segundo del Decreto 424 de 2013, el cual quedó así: </t>
    </r>
    <r>
      <rPr>
        <i/>
        <sz val="10"/>
        <color theme="1"/>
        <rFont val="Calibri"/>
        <family val="2"/>
        <scheme val="minor"/>
      </rPr>
      <t xml:space="preserve">La delegación excluye la facultad de ordenación del gasto relativa a los contratos de prestación de servicios profesionales y de apoyo a la gestión, en los términos del Decreto Departamental No.27 de Febrero de 2013 o para ejecución de trabajos artisticos que solo puedan encomendarse a determinadas peronas naturales (literal h, nral.4 Ley 1150/2007, art.3.4.2.5.1ª D.734/2012), facultad que se mantiene en el Director Administrtivo del Talento Humano, así como la competenica para la ordenación del gasto y realizar toda la actuación precontractual, expedir los actos administraativos relativos a la actividad contractual y celebrar los contratos relativos al Rubro Presupuestal denominado Viaticos y gastos de viaje, las que se conservan en los términos de los decretos departamentales vigentes" .  </t>
    </r>
    <r>
      <rPr>
        <b/>
        <sz val="10"/>
        <color theme="1"/>
        <rFont val="Calibri"/>
        <family val="2"/>
        <scheme val="minor"/>
      </rPr>
      <t xml:space="preserve"> </t>
    </r>
  </si>
  <si>
    <r>
      <t xml:space="preserve">DECRETO No. 522  DEL 01 NOVIEMBE 2013       </t>
    </r>
    <r>
      <rPr>
        <i/>
        <sz val="10"/>
        <color theme="1"/>
        <rFont val="Arial"/>
        <family val="2"/>
      </rPr>
      <t>"Por medio del cual se Modifica el Decreeto No.424 del 11  de Septiembre de 2013, y se dictan otras disposiciones"</t>
    </r>
  </si>
  <si>
    <t>TERMINAL DE TRANSPORTE DE CARTAGENA S.A.</t>
  </si>
  <si>
    <t>IDERBOL</t>
  </si>
  <si>
    <t>AGUAS DE BOLIVAR</t>
  </si>
  <si>
    <t>EDURBE S.A.</t>
  </si>
  <si>
    <t>COPNIA</t>
  </si>
  <si>
    <t>CALIDAD EN QUE SE ACTUA</t>
  </si>
  <si>
    <t>ENTIDAD</t>
  </si>
  <si>
    <t>Presidente de la junta directiva en su condición de secretario de infraestructura</t>
  </si>
  <si>
    <t xml:space="preserve">Miembro Junta Directiva </t>
  </si>
  <si>
    <r>
      <rPr>
        <b/>
        <sz val="10"/>
        <color theme="1"/>
        <rFont val="Arial"/>
        <family val="2"/>
      </rPr>
      <t xml:space="preserve">1º </t>
    </r>
    <r>
      <rPr>
        <sz val="10"/>
        <color theme="1"/>
        <rFont val="Arial"/>
        <family val="2"/>
      </rPr>
      <t xml:space="preserve">Aprobación de las garantías de cobertura a los riesgos que deriven de la ejecución o liquidación de los contratos en los que la Gobernación de Bolívar sea parte (contratante o contratista) y guarde relación con la misión y las funciones asignadas a cada una de las dependencias a las que se encuentren vinculadas.                                                                                                                                         </t>
    </r>
    <r>
      <rPr>
        <b/>
        <sz val="10"/>
        <color theme="1"/>
        <rFont val="Arial"/>
        <family val="2"/>
      </rPr>
      <t xml:space="preserve">2º  </t>
    </r>
    <r>
      <rPr>
        <sz val="10"/>
        <color theme="1"/>
        <rFont val="Arial"/>
        <family val="2"/>
      </rPr>
      <t xml:space="preserve">Liquidación de los contratos en los que la Gobernacion de Bolívar sea parte (contratante o contratista) y guarde relación con la misión y las funciones asignadas a cada una de las dependencias a las que se encuentren vinculadas.                                                                                                                                                                                            </t>
    </r>
    <r>
      <rPr>
        <b/>
        <sz val="10"/>
        <color theme="1"/>
        <rFont val="Arial"/>
        <family val="2"/>
      </rPr>
      <t xml:space="preserve">3º  </t>
    </r>
    <r>
      <rPr>
        <sz val="10"/>
        <color theme="1"/>
        <rFont val="Arial"/>
        <family val="2"/>
      </rPr>
      <t>Adelantar las actuaciones y los procesos tendientes a declarar el incumplimiento contractual, imponer multas, sanciones, hacer efectiva la cláusula penal, así como las garantías, declarar la caducidad, incluyendo la expedición del acto administrativo motivado de imposición de tales sanciones, la notificación de tales actos y todos los actos y actuaciones que deriven del proceso sancionatorio, respecto de los contratos suscritos por el Departamento de Bolívar cuyo objeto guarde relación con la misión y las funciones asignadas a sus Secretarías, siempre y cuando el delegatario no desarrolle la actividad de supervisión contractual respecto de los contratos objeto del trámite sancionatorio. Caso en el cual se delegará al Jefe de la Oficina Asesora Jurídica.</t>
    </r>
    <r>
      <rPr>
        <b/>
        <sz val="10"/>
        <color theme="1"/>
        <rFont val="Arial"/>
        <family val="2"/>
      </rPr>
      <t xml:space="preserve"> </t>
    </r>
  </si>
  <si>
    <r>
      <rPr>
        <b/>
        <sz val="10"/>
        <color theme="1"/>
        <rFont val="Arial"/>
        <family val="2"/>
      </rPr>
      <t xml:space="preserve">1º </t>
    </r>
    <r>
      <rPr>
        <sz val="10"/>
        <color theme="1"/>
        <rFont val="Arial"/>
        <family val="2"/>
      </rPr>
      <t xml:space="preserve">Ordenar los gastos a través de la celebración de contratos, con cargo al presupuesto de funcionamiento e inversión de sus respectivas unidades ejecutoras, indisstintamente de la modalidad de selección, en los términos de la Ordenanza 20 de 2012, los Decretos Departamentales 787 de 2012, 788 de 2012, 790 de 2012 y demás normas que los modifiquen, reglamenten, sustituya, adicionen o complementen. (ARTICULO PRIMERO)                                                                                                            </t>
    </r>
    <r>
      <rPr>
        <b/>
        <sz val="10"/>
        <color theme="1"/>
        <rFont val="Arial"/>
        <family val="2"/>
      </rPr>
      <t>1.1</t>
    </r>
    <r>
      <rPr>
        <sz val="10"/>
        <color theme="1"/>
        <rFont val="Arial"/>
        <family val="2"/>
      </rPr>
      <t xml:space="preserve">. Delegación que comprende la relacionada con la celebración de contratos que ejecuten contratos o convenios suscritos con organos del orden nacional tendientes al cumplimiento de los objetivos misionales de cada secretaría, aún cuando el mismo no involucre la ejecución de rcursos del orden Departamental. Adicilnamente comprende los convenios o contratos con entidades sin ánimo de lucro y de reconocida idoneidad con el fin de impulsar programas y actividades de interés público acordes con el Plan de Desarrollo (inciso 2º del art. 355 de la C.P., y arts. 95 y 96 de la Ley 489 de 1998) en los términos del Decreto 777 del 16 de mayo de 1992 modificado por los Decretos  1403 de 1992 y 2459 de 1993, que esten relacionados con la misión, objetivos y funciones corporativas. (PARAGRAFO PRIMERO)                                                                                                                                                                                           </t>
    </r>
    <r>
      <rPr>
        <b/>
        <sz val="10"/>
        <color theme="1"/>
        <rFont val="Arial"/>
        <family val="2"/>
      </rPr>
      <t xml:space="preserve"> 1.2. </t>
    </r>
    <r>
      <rPr>
        <sz val="10"/>
        <color theme="1"/>
        <rFont val="Arial"/>
        <family val="2"/>
      </rPr>
      <t xml:space="preserve">Delegación que comprende la relacionada con los convenios marcos de cooperación que se celebren con entidades de naturaleza pública que no tengan valor alguno, no afecten el presupuesto del Departamento de Bolívar y tengan como objeto el manejo de temas de interés y objetivo común en relación con el quehacer de las Secretarías de Despacho pertinentes. (PARAGRAFO SEGUNDO)                                                                                                                                                                </t>
    </r>
    <r>
      <rPr>
        <b/>
        <sz val="10"/>
        <color theme="1"/>
        <rFont val="Arial"/>
        <family val="2"/>
      </rPr>
      <t xml:space="preserve">1.3. </t>
    </r>
    <r>
      <rPr>
        <sz val="10"/>
        <color theme="1"/>
        <rFont val="Arial"/>
        <family val="2"/>
      </rPr>
      <t xml:space="preserve">Delegación que comprende todas las actividades precontractuales, contractuales y poscontractuales; la competencia para la ordenación del gasto, expedir los actos administrativos relativos a la actividad contractual, y celebrar los contratos y convenioos interadministrativos, según corresponda a la misión, objetivos y funciones de cada una; la suscripción de adendas, la adjudicación, celebración, de terminación, modificación, adición y prórroga de contratos, la designación del supervisor, la aplicación de cláusulas excepcionales, la imposición de sanciones y en general la expedición de todos los actos inherentes a las diferentes etapas del proceso de contratación que no se hayan delegado en otro funcionario; y las actuaciones relacionada con contratoss vigentes, ya sean adiciones, modificaciones, prórrogas, suspensiones, liquidaciones, interpretaciones o de cualquier otra naturaleza que corresponda. (PARAGRAFO TERCERO).                                                                                                                     </t>
    </r>
    <r>
      <rPr>
        <b/>
        <sz val="10"/>
        <color theme="1"/>
        <rFont val="Arial"/>
        <family val="2"/>
      </rPr>
      <t xml:space="preserve">1.4. </t>
    </r>
    <r>
      <rPr>
        <sz val="10"/>
        <color theme="1"/>
        <rFont val="Arial"/>
        <family val="2"/>
      </rPr>
      <t xml:space="preserve">Desarrollar la etapa de planeación precontractual, elaborar los estudios previos, que soporten la misma, los estudios de precios de mercado, los proyectos de pliegos de condiciones y pliegos de condiciones definitivos, solicitar oferta(s) y suscribir la respectiva solictud o invitación en procesos de contratación directa y de mínima cuantía, responder las observaciones que realicen a las ofertas y a los proyectos de pliegos y pliegos de condiciones. (PARAGRAFO CUARTO).                                                                                                                                                </t>
    </r>
    <r>
      <rPr>
        <b/>
        <sz val="10"/>
        <color theme="1"/>
        <rFont val="Arial"/>
        <family val="2"/>
      </rPr>
      <t xml:space="preserve">1.5. </t>
    </r>
    <r>
      <rPr>
        <sz val="10"/>
        <color theme="1"/>
        <rFont val="Arial"/>
        <family val="2"/>
      </rPr>
      <t xml:space="preserve">Se excluye la facultad de ordenación del gasto relativa a los contratos de prestación de servicios (nral. 3 art.32 Ley 80/93), contrato de prestación de servicios profesionales y de apoyo a la gestión o para ejeución de trabajos artisticos que solo puedan encomendarse a determinadas personas naturales Literal h, nral.4. Ley 1150/2007, art. 3.4.2.5.1º  Decreto 734/2012, remplazado por el Decreto 1082 del 26 de mayo de 2015), facultad que se mantiene el la Diretora de Talento Humano.  (ARTICULO SEGUNDO)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</si>
</sst>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quot;$&quot;\ #,##0_);[Red]\(&quot;$&quot;\ #,##0\)"/>
    <numFmt numFmtId="165" formatCode="_(&quot;$&quot;\ * #,##0.00_);_(&quot;$&quot;\ * \(#,##0.00\);_(&quot;$&quot;\ * &quot;-&quot;??_);_(@_)"/>
    <numFmt numFmtId="166" formatCode="_-&quot;$&quot;* #,##0.00_-;\-&quot;$&quot;* #,##0.00_-;_-&quot;$&quot;* &quot;-&quot;??_-;_-@_-"/>
    <numFmt numFmtId="167" formatCode="&quot;$&quot;#,##0.00;[Red]\-&quot;$&quot;#,##0.00"/>
    <numFmt numFmtId="168" formatCode="_-* #,##0.00_-;\-* #,##0.00_-;_-* &quot;-&quot;??_-;_-@_-"/>
  </numFmts>
  <fonts count="37" x14ac:knownFonts="1">
    <font>
      <sz val="11"/>
      <color theme="1"/>
      <name val="Calibri"/>
      <family val="2"/>
      <scheme val="minor"/>
    </font>
    <font>
      <sz val="11"/>
      <color theme="1"/>
      <name val="Calibri"/>
      <family val="2"/>
      <scheme val="minor"/>
    </font>
    <font>
      <sz val="11"/>
      <name val="Calibri"/>
      <family val="2"/>
    </font>
    <font>
      <sz val="11"/>
      <name val="Calibri"/>
      <family val="2"/>
      <scheme val="minor"/>
    </font>
    <font>
      <b/>
      <sz val="11"/>
      <name val="Calibri"/>
      <family val="2"/>
      <scheme val="minor"/>
    </font>
    <font>
      <b/>
      <sz val="12"/>
      <name val="Calibri"/>
      <family val="2"/>
    </font>
    <font>
      <b/>
      <sz val="11"/>
      <name val="Calibri"/>
      <family val="2"/>
    </font>
    <font>
      <b/>
      <sz val="11"/>
      <color theme="1"/>
      <name val="Calibri"/>
      <family val="2"/>
      <scheme val="minor"/>
    </font>
    <font>
      <sz val="11"/>
      <color indexed="8"/>
      <name val="Calibri"/>
      <family val="2"/>
    </font>
    <font>
      <b/>
      <sz val="10"/>
      <color indexed="8"/>
      <name val="Calibri"/>
      <family val="2"/>
    </font>
    <font>
      <b/>
      <sz val="11"/>
      <color indexed="8"/>
      <name val="Calibri"/>
      <family val="2"/>
    </font>
    <font>
      <sz val="9"/>
      <color indexed="8"/>
      <name val="Calibri"/>
      <family val="2"/>
    </font>
    <font>
      <sz val="10"/>
      <color indexed="8"/>
      <name val="Calibri"/>
      <family val="2"/>
    </font>
    <font>
      <sz val="10"/>
      <name val="Arial"/>
      <family val="2"/>
    </font>
    <font>
      <b/>
      <sz val="12"/>
      <color indexed="8"/>
      <name val="Calibri"/>
      <family val="2"/>
    </font>
    <font>
      <b/>
      <sz val="9"/>
      <color indexed="8"/>
      <name val="Calibri"/>
      <family val="2"/>
    </font>
    <font>
      <b/>
      <sz val="15"/>
      <name val="Calibri"/>
      <family val="2"/>
      <scheme val="minor"/>
    </font>
    <font>
      <b/>
      <sz val="8"/>
      <name val="Arial"/>
      <family val="2"/>
    </font>
    <font>
      <sz val="8"/>
      <color indexed="8"/>
      <name val="Calibri"/>
      <family val="2"/>
      <scheme val="minor"/>
    </font>
    <font>
      <sz val="8"/>
      <color theme="1"/>
      <name val="Calibri"/>
      <family val="2"/>
      <scheme val="minor"/>
    </font>
    <font>
      <sz val="12"/>
      <color theme="1"/>
      <name val="Arial"/>
      <family val="2"/>
    </font>
    <font>
      <sz val="7"/>
      <color theme="1"/>
      <name val="Arial"/>
      <family val="2"/>
    </font>
    <font>
      <sz val="7"/>
      <name val="Arial"/>
      <family val="2"/>
    </font>
    <font>
      <sz val="8"/>
      <color theme="1"/>
      <name val="Arial"/>
      <family val="2"/>
    </font>
    <font>
      <sz val="7"/>
      <color rgb="FF000000"/>
      <name val="Arial"/>
      <family val="2"/>
    </font>
    <font>
      <sz val="6"/>
      <color theme="1"/>
      <name val="Arial"/>
      <family val="2"/>
    </font>
    <font>
      <sz val="7"/>
      <color rgb="FF3D3D3D"/>
      <name val="Arial"/>
      <family val="2"/>
    </font>
    <font>
      <sz val="8"/>
      <name val="Arial"/>
      <family val="2"/>
    </font>
    <font>
      <sz val="11"/>
      <color theme="1"/>
      <name val="Arial"/>
      <family val="2"/>
    </font>
    <font>
      <b/>
      <sz val="12"/>
      <color theme="1"/>
      <name val="Arial"/>
      <family val="2"/>
    </font>
    <font>
      <b/>
      <sz val="10"/>
      <color theme="1"/>
      <name val="Arial"/>
      <family val="2"/>
    </font>
    <font>
      <sz val="10"/>
      <color theme="1"/>
      <name val="Calibri"/>
      <family val="2"/>
      <scheme val="minor"/>
    </font>
    <font>
      <b/>
      <sz val="10"/>
      <color theme="1"/>
      <name val="Calibri"/>
      <family val="2"/>
      <scheme val="minor"/>
    </font>
    <font>
      <sz val="10"/>
      <color theme="1"/>
      <name val="Arial"/>
      <family val="2"/>
    </font>
    <font>
      <i/>
      <sz val="10"/>
      <color theme="1"/>
      <name val="Arial"/>
      <family val="2"/>
    </font>
    <font>
      <i/>
      <sz val="10"/>
      <color theme="1"/>
      <name val="Calibri"/>
      <family val="2"/>
      <scheme val="minor"/>
    </font>
    <font>
      <b/>
      <sz val="11"/>
      <color theme="1"/>
      <name val="Arial"/>
      <family val="2"/>
    </font>
  </fonts>
  <fills count="9">
    <fill>
      <patternFill patternType="none"/>
    </fill>
    <fill>
      <patternFill patternType="gray125"/>
    </fill>
    <fill>
      <patternFill patternType="solid">
        <fgColor theme="6" tint="0.39997558519241921"/>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79646"/>
        <bgColor rgb="FF000000"/>
      </patternFill>
    </fill>
    <fill>
      <patternFill patternType="solid">
        <fgColor theme="9"/>
        <bgColor indexed="64"/>
      </patternFill>
    </fill>
    <fill>
      <patternFill patternType="solid">
        <fgColor theme="0"/>
        <bgColor indexed="64"/>
      </patternFill>
    </fill>
    <fill>
      <patternFill patternType="solid">
        <fgColor theme="4"/>
        <bgColor indexed="64"/>
      </patternFill>
    </fill>
  </fills>
  <borders count="4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s>
  <cellStyleXfs count="11">
    <xf numFmtId="0" fontId="0" fillId="0" borderId="0"/>
    <xf numFmtId="43" fontId="1" fillId="0" borderId="0" applyFont="0" applyFill="0" applyBorder="0" applyAlignment="0" applyProtection="0"/>
    <xf numFmtId="165" fontId="1" fillId="0" borderId="0" applyFont="0" applyFill="0" applyBorder="0" applyAlignment="0" applyProtection="0"/>
    <xf numFmtId="0" fontId="1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cellStyleXfs>
  <cellXfs count="369">
    <xf numFmtId="0" fontId="0" fillId="0" borderId="0" xfId="0"/>
    <xf numFmtId="0" fontId="0" fillId="0" borderId="0" xfId="0" applyAlignment="1">
      <alignment horizontal="center"/>
    </xf>
    <xf numFmtId="0" fontId="0" fillId="0" borderId="0" xfId="0" applyAlignment="1">
      <alignment horizontal="center" wrapText="1"/>
    </xf>
    <xf numFmtId="165" fontId="0" fillId="0" borderId="0" xfId="2" applyFont="1" applyAlignment="1">
      <alignment horizontal="center"/>
    </xf>
    <xf numFmtId="43" fontId="0" fillId="0" borderId="0" xfId="1" applyFont="1" applyAlignment="1">
      <alignment horizontal="center" wrapText="1"/>
    </xf>
    <xf numFmtId="0" fontId="0" fillId="0" borderId="0" xfId="0" applyAlignment="1">
      <alignment wrapText="1"/>
    </xf>
    <xf numFmtId="0" fontId="3" fillId="0" borderId="0" xfId="0" applyFont="1" applyAlignment="1">
      <alignment horizontal="center"/>
    </xf>
    <xf numFmtId="0" fontId="3" fillId="0" borderId="0" xfId="0" applyFont="1" applyAlignment="1">
      <alignment horizontal="center" wrapText="1"/>
    </xf>
    <xf numFmtId="165" fontId="3" fillId="0" borderId="0" xfId="2" applyFont="1" applyAlignment="1">
      <alignment horizontal="center"/>
    </xf>
    <xf numFmtId="0" fontId="3" fillId="0" borderId="0" xfId="0" applyFont="1"/>
    <xf numFmtId="0" fontId="3" fillId="0" borderId="0" xfId="0" applyFont="1" applyAlignment="1">
      <alignmen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2" fontId="2" fillId="0" borderId="6"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2" fontId="2" fillId="0" borderId="17" xfId="0" applyNumberFormat="1" applyFont="1" applyBorder="1" applyAlignment="1">
      <alignment horizontal="center" vertical="center" wrapText="1"/>
    </xf>
    <xf numFmtId="0" fontId="2" fillId="0" borderId="18" xfId="0" applyFont="1" applyBorder="1" applyAlignment="1">
      <alignment horizontal="center" vertical="center" wrapText="1"/>
    </xf>
    <xf numFmtId="2" fontId="2" fillId="0" borderId="18" xfId="0" applyNumberFormat="1" applyFont="1" applyBorder="1" applyAlignment="1">
      <alignment horizontal="center" vertical="center" wrapText="1"/>
    </xf>
    <xf numFmtId="0" fontId="2" fillId="0" borderId="6" xfId="0" applyFont="1" applyFill="1" applyBorder="1" applyAlignment="1">
      <alignment horizontal="center" vertical="center" wrapText="1"/>
    </xf>
    <xf numFmtId="2" fontId="2" fillId="0" borderId="18" xfId="0" applyNumberFormat="1" applyFont="1" applyFill="1" applyBorder="1" applyAlignment="1">
      <alignment horizontal="center" vertical="center" wrapText="1"/>
    </xf>
    <xf numFmtId="0" fontId="2" fillId="0" borderId="18" xfId="0" applyFont="1" applyFill="1" applyBorder="1" applyAlignment="1">
      <alignment horizontal="center" vertical="center" wrapText="1"/>
    </xf>
    <xf numFmtId="0" fontId="3" fillId="0" borderId="0" xfId="0" applyFont="1" applyFill="1"/>
    <xf numFmtId="0" fontId="3" fillId="0" borderId="0" xfId="0" applyFont="1" applyAlignment="1">
      <alignment wrapText="1"/>
    </xf>
    <xf numFmtId="2" fontId="3" fillId="0" borderId="0" xfId="0" applyNumberFormat="1" applyFont="1" applyAlignment="1">
      <alignment horizontal="center"/>
    </xf>
    <xf numFmtId="165" fontId="3" fillId="0" borderId="22" xfId="2" applyFont="1" applyBorder="1" applyAlignment="1">
      <alignment horizontal="center"/>
    </xf>
    <xf numFmtId="0" fontId="3" fillId="0" borderId="24" xfId="0" applyFont="1" applyBorder="1" applyAlignment="1">
      <alignment horizontal="center" wrapText="1"/>
    </xf>
    <xf numFmtId="43" fontId="3" fillId="0" borderId="20" xfId="1" applyFont="1" applyBorder="1" applyAlignment="1">
      <alignment horizontal="center"/>
    </xf>
    <xf numFmtId="0" fontId="4" fillId="0" borderId="0" xfId="0" applyFont="1" applyAlignment="1">
      <alignment horizontal="center"/>
    </xf>
    <xf numFmtId="43" fontId="4" fillId="0" borderId="11" xfId="1" applyFont="1" applyBorder="1" applyAlignment="1">
      <alignment horizontal="center" wrapText="1"/>
    </xf>
    <xf numFmtId="43" fontId="3" fillId="0" borderId="28" xfId="1" applyFont="1" applyBorder="1" applyAlignment="1">
      <alignment horizontal="center"/>
    </xf>
    <xf numFmtId="43" fontId="3" fillId="0" borderId="29" xfId="1" applyFont="1" applyBorder="1" applyAlignment="1">
      <alignment horizontal="center"/>
    </xf>
    <xf numFmtId="2" fontId="2" fillId="2" borderId="18" xfId="0" applyNumberFormat="1" applyFont="1" applyFill="1" applyBorder="1" applyAlignment="1">
      <alignment horizontal="center" vertical="center" wrapText="1"/>
    </xf>
    <xf numFmtId="2" fontId="2" fillId="2" borderId="6" xfId="0" applyNumberFormat="1" applyFont="1" applyFill="1" applyBorder="1" applyAlignment="1">
      <alignment horizontal="center" vertical="center" wrapText="1"/>
    </xf>
    <xf numFmtId="2" fontId="6" fillId="2" borderId="12" xfId="0" applyNumberFormat="1" applyFont="1" applyFill="1" applyBorder="1" applyAlignment="1">
      <alignment horizontal="center" vertical="center" wrapText="1"/>
    </xf>
    <xf numFmtId="0" fontId="2" fillId="2" borderId="2" xfId="0" applyFont="1" applyFill="1" applyBorder="1" applyAlignment="1">
      <alignment vertical="center" wrapText="1"/>
    </xf>
    <xf numFmtId="0" fontId="2" fillId="2" borderId="6" xfId="0" applyFont="1" applyFill="1" applyBorder="1" applyAlignment="1">
      <alignment vertical="center" wrapText="1"/>
    </xf>
    <xf numFmtId="0" fontId="2" fillId="2" borderId="18" xfId="0" applyFont="1" applyFill="1" applyBorder="1" applyAlignment="1">
      <alignment horizontal="center" vertical="center" wrapText="1"/>
    </xf>
    <xf numFmtId="43" fontId="3" fillId="0" borderId="0" xfId="0" applyNumberFormat="1" applyFont="1"/>
    <xf numFmtId="0" fontId="0" fillId="0" borderId="0" xfId="0"/>
    <xf numFmtId="0" fontId="8" fillId="0" borderId="0" xfId="0" applyFont="1" applyAlignment="1">
      <alignment horizontal="justify"/>
    </xf>
    <xf numFmtId="0" fontId="8" fillId="0" borderId="0" xfId="0" applyFont="1" applyBorder="1" applyAlignment="1">
      <alignment horizontal="justify" vertical="top" wrapText="1"/>
    </xf>
    <xf numFmtId="0" fontId="12" fillId="0" borderId="0" xfId="0" applyFont="1" applyBorder="1" applyAlignment="1">
      <alignment horizontal="left" vertical="top" wrapText="1"/>
    </xf>
    <xf numFmtId="0" fontId="12" fillId="0" borderId="0" xfId="0" applyFont="1" applyBorder="1" applyAlignment="1">
      <alignment horizontal="center" vertical="top"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11" fillId="0" borderId="24" xfId="0" applyFont="1" applyBorder="1" applyAlignment="1">
      <alignment vertical="top" wrapText="1"/>
    </xf>
    <xf numFmtId="0" fontId="11" fillId="0" borderId="25" xfId="0" applyFont="1" applyBorder="1" applyAlignment="1">
      <alignment vertical="top" wrapText="1"/>
    </xf>
    <xf numFmtId="0" fontId="11" fillId="0" borderId="26" xfId="0" applyFont="1" applyBorder="1" applyAlignment="1">
      <alignment vertical="top" wrapText="1"/>
    </xf>
    <xf numFmtId="0" fontId="11" fillId="0" borderId="27" xfId="0" applyFont="1" applyBorder="1" applyAlignment="1">
      <alignment vertical="top" wrapText="1"/>
    </xf>
    <xf numFmtId="0" fontId="10" fillId="0" borderId="0" xfId="0" applyFont="1" applyAlignment="1">
      <alignment horizontal="left"/>
    </xf>
    <xf numFmtId="1" fontId="11" fillId="0" borderId="31" xfId="0" applyNumberFormat="1" applyFont="1" applyBorder="1" applyAlignment="1">
      <alignment vertical="top" wrapText="1"/>
    </xf>
    <xf numFmtId="1" fontId="11" fillId="0" borderId="33" xfId="0" applyNumberFormat="1" applyFont="1" applyBorder="1" applyAlignment="1">
      <alignment vertical="top" wrapText="1"/>
    </xf>
    <xf numFmtId="0" fontId="11" fillId="0" borderId="32" xfId="0" applyFont="1" applyBorder="1" applyAlignment="1">
      <alignment horizontal="center" vertical="center" wrapText="1"/>
    </xf>
    <xf numFmtId="2" fontId="11" fillId="0" borderId="16" xfId="0" applyNumberFormat="1" applyFont="1" applyBorder="1" applyAlignment="1">
      <alignment horizontal="center" vertical="center" wrapText="1"/>
    </xf>
    <xf numFmtId="0" fontId="11" fillId="0" borderId="16" xfId="0" applyFont="1" applyBorder="1" applyAlignment="1">
      <alignment horizontal="center" vertical="center" wrapText="1"/>
    </xf>
    <xf numFmtId="1" fontId="11" fillId="0" borderId="32" xfId="0" applyNumberFormat="1" applyFont="1" applyBorder="1" applyAlignment="1">
      <alignment horizontal="center" vertical="center" wrapText="1"/>
    </xf>
    <xf numFmtId="1" fontId="11" fillId="0" borderId="16" xfId="0" applyNumberFormat="1" applyFont="1" applyBorder="1" applyAlignment="1">
      <alignment horizontal="center" vertical="center" wrapText="1"/>
    </xf>
    <xf numFmtId="0" fontId="11" fillId="0" borderId="13" xfId="0" applyFont="1" applyBorder="1" applyAlignment="1">
      <alignment horizontal="center" vertical="center" wrapText="1"/>
    </xf>
    <xf numFmtId="0" fontId="10" fillId="3" borderId="34" xfId="0" applyFont="1" applyFill="1" applyBorder="1" applyAlignment="1">
      <alignment horizontal="right" vertical="center" wrapText="1"/>
    </xf>
    <xf numFmtId="2" fontId="11" fillId="0" borderId="13" xfId="0" applyNumberFormat="1" applyFont="1" applyBorder="1" applyAlignment="1">
      <alignment horizontal="center" vertical="center" wrapText="1"/>
    </xf>
    <xf numFmtId="0" fontId="9" fillId="3" borderId="4"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1" fillId="0" borderId="20" xfId="0" applyFont="1" applyBorder="1" applyAlignment="1">
      <alignment horizontal="center" vertical="center" wrapText="1"/>
    </xf>
    <xf numFmtId="0" fontId="15" fillId="3" borderId="20" xfId="0" applyFont="1" applyFill="1" applyBorder="1" applyAlignment="1">
      <alignment horizontal="center" vertical="center" wrapText="1"/>
    </xf>
    <xf numFmtId="0" fontId="7" fillId="0" borderId="0" xfId="0" applyFont="1" applyAlignment="1">
      <alignment horizontal="left"/>
    </xf>
    <xf numFmtId="0" fontId="3" fillId="0" borderId="35" xfId="0" applyFont="1" applyBorder="1" applyAlignment="1">
      <alignment horizontal="center"/>
    </xf>
    <xf numFmtId="43" fontId="3" fillId="0" borderId="36" xfId="1" applyFont="1" applyBorder="1" applyAlignment="1">
      <alignment horizontal="center"/>
    </xf>
    <xf numFmtId="0" fontId="3" fillId="0" borderId="20" xfId="0" applyFont="1" applyBorder="1"/>
    <xf numFmtId="43" fontId="3" fillId="0" borderId="20" xfId="0" applyNumberFormat="1" applyFont="1" applyBorder="1"/>
    <xf numFmtId="43" fontId="3" fillId="0" borderId="37" xfId="0" applyNumberFormat="1" applyFont="1" applyBorder="1"/>
    <xf numFmtId="0" fontId="9" fillId="3" borderId="9"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1" fillId="0" borderId="3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2" fontId="11" fillId="3" borderId="15" xfId="0" applyNumberFormat="1" applyFont="1" applyFill="1" applyBorder="1" applyAlignment="1">
      <alignment horizontal="center" vertical="center" wrapText="1"/>
    </xf>
    <xf numFmtId="0" fontId="7" fillId="0" borderId="0" xfId="0" applyFont="1"/>
    <xf numFmtId="2" fontId="0" fillId="0" borderId="0" xfId="0" applyNumberFormat="1"/>
    <xf numFmtId="0" fontId="11" fillId="0" borderId="11" xfId="0" applyFont="1" applyFill="1" applyBorder="1" applyAlignment="1">
      <alignment horizontal="center" vertical="center" wrapText="1"/>
    </xf>
    <xf numFmtId="43" fontId="3" fillId="2" borderId="11" xfId="0" applyNumberFormat="1" applyFont="1" applyFill="1" applyBorder="1"/>
    <xf numFmtId="0" fontId="3" fillId="0" borderId="42" xfId="0" applyFont="1" applyBorder="1" applyAlignment="1">
      <alignment horizontal="center"/>
    </xf>
    <xf numFmtId="0" fontId="3" fillId="0" borderId="31" xfId="0" applyFont="1" applyBorder="1" applyAlignment="1">
      <alignment horizontal="center" wrapText="1"/>
    </xf>
    <xf numFmtId="0" fontId="3" fillId="2" borderId="11" xfId="0" applyFont="1" applyFill="1" applyBorder="1" applyAlignment="1">
      <alignment horizontal="center" wrapText="1"/>
    </xf>
    <xf numFmtId="0" fontId="16" fillId="0" borderId="0" xfId="0" applyFont="1" applyBorder="1" applyAlignment="1">
      <alignment horizontal="left"/>
    </xf>
    <xf numFmtId="0" fontId="2" fillId="0" borderId="15" xfId="0" applyFont="1" applyFill="1" applyBorder="1" applyAlignment="1">
      <alignment vertical="center" wrapText="1"/>
    </xf>
    <xf numFmtId="165" fontId="2" fillId="0" borderId="18" xfId="2"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2" fontId="2" fillId="0" borderId="4" xfId="0" applyNumberFormat="1" applyFont="1" applyFill="1" applyBorder="1" applyAlignment="1">
      <alignment horizontal="center" vertical="center" wrapText="1"/>
    </xf>
    <xf numFmtId="43" fontId="3" fillId="0" borderId="0" xfId="1" applyFont="1" applyFill="1"/>
    <xf numFmtId="0" fontId="2" fillId="0" borderId="0" xfId="0" applyFont="1" applyFill="1" applyBorder="1" applyAlignment="1">
      <alignment horizontal="center" vertical="center" wrapText="1"/>
    </xf>
    <xf numFmtId="164" fontId="2" fillId="0" borderId="18" xfId="2" applyNumberFormat="1" applyFont="1" applyBorder="1" applyAlignment="1">
      <alignment horizontal="center" vertical="center" wrapText="1"/>
    </xf>
    <xf numFmtId="0" fontId="2" fillId="0" borderId="0" xfId="0" applyFont="1" applyBorder="1" applyAlignment="1">
      <alignment horizontal="center" vertical="center" wrapText="1"/>
    </xf>
    <xf numFmtId="43" fontId="3" fillId="0" borderId="0" xfId="1" applyFont="1"/>
    <xf numFmtId="0" fontId="6" fillId="0" borderId="3" xfId="0" applyFont="1" applyFill="1" applyBorder="1" applyAlignment="1">
      <alignment horizontal="center" vertical="center" wrapText="1"/>
    </xf>
    <xf numFmtId="2" fontId="2" fillId="0" borderId="19" xfId="0" applyNumberFormat="1" applyFont="1" applyFill="1" applyBorder="1" applyAlignment="1">
      <alignment horizontal="center" vertical="center" wrapText="1"/>
    </xf>
    <xf numFmtId="0" fontId="3" fillId="0" borderId="0" xfId="0" applyFont="1" applyFill="1" applyBorder="1"/>
    <xf numFmtId="165" fontId="3" fillId="0" borderId="0" xfId="0" applyNumberFormat="1" applyFont="1" applyFill="1"/>
    <xf numFmtId="0" fontId="2" fillId="0" borderId="39"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12" xfId="0" applyFont="1" applyFill="1" applyBorder="1" applyAlignment="1">
      <alignment horizontal="center" vertical="center" wrapText="1"/>
    </xf>
    <xf numFmtId="165" fontId="6" fillId="2" borderId="39" xfId="2" applyFont="1" applyFill="1" applyBorder="1" applyAlignment="1">
      <alignment horizontal="center" vertical="center" wrapText="1"/>
    </xf>
    <xf numFmtId="2" fontId="6" fillId="2" borderId="18" xfId="0" applyNumberFormat="1" applyFont="1" applyFill="1" applyBorder="1" applyAlignment="1">
      <alignment horizontal="center" vertical="center" wrapText="1"/>
    </xf>
    <xf numFmtId="0" fontId="6" fillId="2" borderId="38" xfId="0" applyFont="1" applyFill="1" applyBorder="1" applyAlignment="1">
      <alignment vertical="center" wrapText="1"/>
    </xf>
    <xf numFmtId="0" fontId="3" fillId="0" borderId="0" xfId="0" applyFont="1" applyFill="1" applyAlignment="1">
      <alignment horizontal="center"/>
    </xf>
    <xf numFmtId="0" fontId="6" fillId="0" borderId="11" xfId="0" applyFont="1" applyFill="1" applyBorder="1" applyAlignment="1">
      <alignment vertical="center" wrapText="1"/>
    </xf>
    <xf numFmtId="165" fontId="2" fillId="0" borderId="18" xfId="2" applyFont="1" applyBorder="1" applyAlignment="1">
      <alignment horizontal="center" vertical="center" wrapText="1"/>
    </xf>
    <xf numFmtId="165" fontId="3" fillId="0" borderId="0" xfId="0" applyNumberFormat="1" applyFont="1"/>
    <xf numFmtId="0" fontId="2" fillId="0" borderId="15" xfId="0" applyFont="1" applyBorder="1" applyAlignment="1">
      <alignment vertical="center" wrapText="1"/>
    </xf>
    <xf numFmtId="165" fontId="6" fillId="0" borderId="18" xfId="2" applyFont="1" applyBorder="1" applyAlignment="1">
      <alignment horizontal="center" vertical="center" wrapText="1"/>
    </xf>
    <xf numFmtId="0" fontId="6" fillId="0" borderId="15" xfId="0" applyFont="1" applyBorder="1" applyAlignment="1">
      <alignment vertical="center" wrapText="1"/>
    </xf>
    <xf numFmtId="0" fontId="6" fillId="0" borderId="15" xfId="0" applyFont="1" applyFill="1" applyBorder="1" applyAlignment="1">
      <alignment vertical="center" wrapText="1"/>
    </xf>
    <xf numFmtId="165" fontId="6" fillId="0" borderId="18" xfId="2" applyFont="1" applyFill="1" applyBorder="1" applyAlignment="1">
      <alignment horizontal="center" vertical="center" wrapText="1"/>
    </xf>
    <xf numFmtId="165" fontId="6" fillId="0" borderId="18" xfId="2" applyNumberFormat="1" applyFont="1" applyBorder="1" applyAlignment="1">
      <alignment horizontal="center" vertical="center" wrapText="1"/>
    </xf>
    <xf numFmtId="165" fontId="2" fillId="0" borderId="18" xfId="2" applyNumberFormat="1" applyFont="1" applyBorder="1" applyAlignment="1">
      <alignment horizontal="center" vertical="center" wrapText="1"/>
    </xf>
    <xf numFmtId="0" fontId="2" fillId="0" borderId="15" xfId="0" applyFont="1" applyFill="1" applyBorder="1" applyAlignment="1">
      <alignment horizontal="left" vertical="center" wrapText="1"/>
    </xf>
    <xf numFmtId="43" fontId="3" fillId="0" borderId="0" xfId="1" applyFont="1" applyAlignment="1">
      <alignment horizontal="center"/>
    </xf>
    <xf numFmtId="0" fontId="6" fillId="0" borderId="15" xfId="0" applyFont="1" applyFill="1" applyBorder="1" applyAlignment="1">
      <alignment horizontal="left" vertical="center" wrapText="1"/>
    </xf>
    <xf numFmtId="0" fontId="6" fillId="0" borderId="15" xfId="0" applyFont="1" applyFill="1" applyBorder="1" applyAlignment="1">
      <alignment horizontal="center" vertical="center" wrapText="1"/>
    </xf>
    <xf numFmtId="43" fontId="2" fillId="0" borderId="18" xfId="1" applyFont="1" applyFill="1" applyBorder="1" applyAlignment="1">
      <alignment horizontal="center" vertical="center" wrapText="1"/>
    </xf>
    <xf numFmtId="165" fontId="2" fillId="0" borderId="0" xfId="2" applyFont="1" applyBorder="1" applyAlignment="1">
      <alignment horizontal="center" vertical="center" wrapText="1"/>
    </xf>
    <xf numFmtId="0" fontId="2" fillId="0" borderId="0" xfId="0" applyFont="1" applyFill="1" applyBorder="1" applyAlignment="1">
      <alignment vertical="center" wrapText="1"/>
    </xf>
    <xf numFmtId="0" fontId="2" fillId="0" borderId="11" xfId="0" applyFont="1" applyFill="1" applyBorder="1" applyAlignment="1">
      <alignment vertical="center" wrapText="1"/>
    </xf>
    <xf numFmtId="0" fontId="2" fillId="0" borderId="11" xfId="0" applyFont="1" applyFill="1" applyBorder="1" applyAlignment="1">
      <alignment horizontal="center" vertical="center" wrapText="1"/>
    </xf>
    <xf numFmtId="165" fontId="6" fillId="0" borderId="11" xfId="0" applyNumberFormat="1" applyFont="1" applyFill="1" applyBorder="1" applyAlignment="1">
      <alignment vertical="center" wrapText="1"/>
    </xf>
    <xf numFmtId="0" fontId="2" fillId="0" borderId="39" xfId="0" applyFont="1" applyFill="1" applyBorder="1" applyAlignment="1">
      <alignment vertical="center" wrapText="1"/>
    </xf>
    <xf numFmtId="165" fontId="6" fillId="0" borderId="11" xfId="2" applyFont="1" applyBorder="1" applyAlignment="1">
      <alignment horizontal="center" vertical="center" wrapText="1"/>
    </xf>
    <xf numFmtId="165" fontId="2" fillId="0" borderId="11" xfId="2" applyFont="1" applyBorder="1" applyAlignment="1">
      <alignment horizontal="center" vertical="center" wrapText="1"/>
    </xf>
    <xf numFmtId="43" fontId="6" fillId="2" borderId="12" xfId="1" applyFont="1" applyFill="1" applyBorder="1" applyAlignment="1">
      <alignment horizontal="center" vertical="center" wrapText="1"/>
    </xf>
    <xf numFmtId="165" fontId="6" fillId="2" borderId="38" xfId="2" applyFont="1" applyFill="1" applyBorder="1" applyAlignment="1">
      <alignment horizontal="center" vertical="center" wrapText="1"/>
    </xf>
    <xf numFmtId="2" fontId="6" fillId="2" borderId="39" xfId="0" applyNumberFormat="1" applyFont="1" applyFill="1" applyBorder="1" applyAlignment="1">
      <alignment horizontal="center" vertical="center" wrapText="1"/>
    </xf>
    <xf numFmtId="2" fontId="2" fillId="2" borderId="39" xfId="0" applyNumberFormat="1" applyFont="1" applyFill="1" applyBorder="1" applyAlignment="1">
      <alignment horizontal="center" vertical="center" wrapText="1"/>
    </xf>
    <xf numFmtId="2" fontId="2" fillId="2" borderId="12" xfId="0" applyNumberFormat="1" applyFont="1" applyFill="1" applyBorder="1" applyAlignment="1">
      <alignment horizontal="center" vertical="center" wrapText="1"/>
    </xf>
    <xf numFmtId="0" fontId="2" fillId="3" borderId="0" xfId="0" applyFont="1" applyFill="1" applyBorder="1" applyAlignment="1">
      <alignment horizontal="center" vertical="center" wrapText="1"/>
    </xf>
    <xf numFmtId="0" fontId="4" fillId="2" borderId="38" xfId="0" applyFont="1" applyFill="1" applyBorder="1" applyAlignment="1">
      <alignment vertical="center" wrapText="1"/>
    </xf>
    <xf numFmtId="0" fontId="4" fillId="2" borderId="39" xfId="0" applyFont="1" applyFill="1" applyBorder="1" applyAlignment="1">
      <alignment horizontal="center" vertical="center"/>
    </xf>
    <xf numFmtId="43" fontId="4" fillId="2" borderId="39" xfId="0" applyNumberFormat="1" applyFont="1" applyFill="1" applyBorder="1" applyAlignment="1">
      <alignment horizontal="center" vertical="center"/>
    </xf>
    <xf numFmtId="0" fontId="4" fillId="2" borderId="12" xfId="0" applyFont="1" applyFill="1" applyBorder="1" applyAlignment="1">
      <alignment horizontal="center" vertical="center"/>
    </xf>
    <xf numFmtId="0" fontId="4" fillId="2" borderId="38" xfId="0" applyFont="1" applyFill="1" applyBorder="1" applyAlignment="1">
      <alignment horizontal="center" vertical="center"/>
    </xf>
    <xf numFmtId="165" fontId="4" fillId="2" borderId="39" xfId="2" applyFont="1" applyFill="1" applyBorder="1" applyAlignment="1">
      <alignment horizontal="center" vertical="center"/>
    </xf>
    <xf numFmtId="0" fontId="4" fillId="0" borderId="0" xfId="0" applyFont="1" applyAlignment="1">
      <alignment horizontal="center" vertical="center"/>
    </xf>
    <xf numFmtId="43" fontId="4" fillId="0" borderId="0" xfId="1" applyFont="1" applyAlignment="1">
      <alignment vertical="center"/>
    </xf>
    <xf numFmtId="0" fontId="4" fillId="0" borderId="0" xfId="0" applyFont="1" applyAlignment="1">
      <alignment vertical="center"/>
    </xf>
    <xf numFmtId="2" fontId="3" fillId="0" borderId="0" xfId="0" applyNumberFormat="1" applyFont="1" applyFill="1" applyAlignment="1">
      <alignment horizontal="center"/>
    </xf>
    <xf numFmtId="0" fontId="6" fillId="2" borderId="18" xfId="0" applyFont="1" applyFill="1" applyBorder="1" applyAlignment="1">
      <alignment horizontal="center" vertical="center" wrapText="1"/>
    </xf>
    <xf numFmtId="2" fontId="4" fillId="2" borderId="38" xfId="0" applyNumberFormat="1" applyFont="1" applyFill="1" applyBorder="1" applyAlignment="1">
      <alignment horizontal="center" vertical="center"/>
    </xf>
    <xf numFmtId="165" fontId="4" fillId="2" borderId="38" xfId="2" applyFont="1" applyFill="1" applyBorder="1" applyAlignment="1">
      <alignment horizontal="center" vertical="center"/>
    </xf>
    <xf numFmtId="0" fontId="4" fillId="2" borderId="38" xfId="0" applyFont="1" applyFill="1" applyBorder="1" applyAlignment="1">
      <alignment horizontal="left" vertical="center"/>
    </xf>
    <xf numFmtId="0" fontId="4" fillId="2" borderId="39" xfId="0" applyFont="1" applyFill="1" applyBorder="1" applyAlignment="1">
      <alignment horizontal="center" vertical="center" wrapText="1"/>
    </xf>
    <xf numFmtId="0" fontId="4" fillId="0" borderId="0" xfId="0" applyFont="1" applyAlignment="1"/>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vertical="center" wrapText="1"/>
    </xf>
    <xf numFmtId="0" fontId="17" fillId="5" borderId="45" xfId="0" applyFont="1" applyFill="1" applyBorder="1" applyAlignment="1">
      <alignment horizontal="center" vertical="center"/>
    </xf>
    <xf numFmtId="0" fontId="17" fillId="5" borderId="46" xfId="0" applyFont="1" applyFill="1" applyBorder="1" applyAlignment="1">
      <alignment horizontal="center" vertical="center"/>
    </xf>
    <xf numFmtId="0" fontId="17" fillId="5" borderId="46" xfId="0" applyFont="1" applyFill="1" applyBorder="1" applyAlignment="1">
      <alignment horizontal="center" vertical="center" wrapText="1"/>
    </xf>
    <xf numFmtId="0" fontId="18" fillId="0" borderId="20" xfId="0" applyFont="1" applyBorder="1" applyAlignment="1">
      <alignment horizontal="center" vertical="center" wrapText="1"/>
    </xf>
    <xf numFmtId="0" fontId="18" fillId="0" borderId="20" xfId="0" applyFont="1" applyBorder="1" applyAlignment="1">
      <alignment horizontal="center" vertical="center"/>
    </xf>
    <xf numFmtId="0" fontId="18" fillId="0" borderId="20" xfId="0" applyFont="1" applyBorder="1" applyAlignment="1">
      <alignment horizontal="left" vertical="center" wrapText="1"/>
    </xf>
    <xf numFmtId="166" fontId="18" fillId="0" borderId="20" xfId="0" applyNumberFormat="1" applyFont="1" applyBorder="1" applyAlignment="1">
      <alignment horizontal="center" vertical="center"/>
    </xf>
    <xf numFmtId="0" fontId="19" fillId="0" borderId="20" xfId="0" applyFont="1" applyBorder="1" applyAlignment="1">
      <alignment horizontal="center" vertical="center" wrapText="1"/>
    </xf>
    <xf numFmtId="0" fontId="19" fillId="0" borderId="20" xfId="0" applyFont="1" applyBorder="1" applyAlignment="1">
      <alignment horizontal="center" vertical="center"/>
    </xf>
    <xf numFmtId="0" fontId="20" fillId="0" borderId="0" xfId="0" applyFont="1"/>
    <xf numFmtId="167" fontId="18" fillId="0" borderId="20" xfId="1" applyNumberFormat="1" applyFont="1" applyBorder="1" applyAlignment="1">
      <alignment horizontal="center" vertical="center"/>
    </xf>
    <xf numFmtId="0" fontId="19" fillId="0" borderId="20" xfId="0" applyFont="1" applyFill="1" applyBorder="1" applyAlignment="1">
      <alignment horizontal="center" vertical="center" wrapText="1"/>
    </xf>
    <xf numFmtId="3" fontId="18" fillId="0" borderId="20" xfId="0" applyNumberFormat="1" applyFont="1" applyBorder="1" applyAlignment="1">
      <alignment horizontal="center" vertical="center"/>
    </xf>
    <xf numFmtId="43" fontId="18" fillId="0" borderId="20" xfId="1" applyFont="1" applyBorder="1" applyAlignment="1">
      <alignment horizontal="center" vertical="center"/>
    </xf>
    <xf numFmtId="0" fontId="21" fillId="0" borderId="20" xfId="0" applyFont="1" applyBorder="1" applyAlignment="1">
      <alignment horizontal="center" vertical="center"/>
    </xf>
    <xf numFmtId="0" fontId="22" fillId="0" borderId="20" xfId="0" applyFont="1" applyBorder="1" applyAlignment="1">
      <alignment horizontal="left" vertical="center" wrapText="1"/>
    </xf>
    <xf numFmtId="0" fontId="22" fillId="0" borderId="20" xfId="0" applyFont="1" applyBorder="1" applyAlignment="1">
      <alignment horizontal="center" vertical="center" wrapText="1"/>
    </xf>
    <xf numFmtId="43" fontId="21" fillId="0" borderId="20" xfId="1" applyFont="1" applyBorder="1" applyAlignment="1">
      <alignment horizontal="center" vertical="center"/>
    </xf>
    <xf numFmtId="9" fontId="23" fillId="0" borderId="20" xfId="0" applyNumberFormat="1" applyFont="1" applyBorder="1" applyAlignment="1">
      <alignment horizontal="center" vertical="center"/>
    </xf>
    <xf numFmtId="0" fontId="23" fillId="0" borderId="20" xfId="0" applyFont="1" applyBorder="1" applyAlignment="1">
      <alignment horizontal="center" vertical="center"/>
    </xf>
    <xf numFmtId="0" fontId="21" fillId="0" borderId="20" xfId="0" applyFont="1" applyBorder="1" applyAlignment="1">
      <alignment horizontal="center" vertical="center" wrapText="1"/>
    </xf>
    <xf numFmtId="0" fontId="23" fillId="0" borderId="0" xfId="0" applyFont="1" applyAlignment="1">
      <alignment horizontal="center" vertical="center"/>
    </xf>
    <xf numFmtId="0" fontId="21" fillId="0" borderId="0" xfId="0" applyFont="1" applyAlignment="1">
      <alignment horizontal="center" vertical="center" wrapText="1"/>
    </xf>
    <xf numFmtId="0" fontId="24" fillId="0" borderId="20" xfId="0" applyFont="1" applyBorder="1" applyAlignment="1">
      <alignment horizontal="center" vertical="center" wrapText="1"/>
    </xf>
    <xf numFmtId="0" fontId="21" fillId="0" borderId="20" xfId="0" applyFont="1" applyFill="1" applyBorder="1" applyAlignment="1">
      <alignment horizontal="center" vertical="center"/>
    </xf>
    <xf numFmtId="0" fontId="21" fillId="0" borderId="20" xfId="0" applyFont="1" applyBorder="1" applyAlignment="1">
      <alignment horizontal="left" vertical="center" wrapText="1"/>
    </xf>
    <xf numFmtId="43" fontId="21" fillId="0" borderId="20" xfId="1" applyFont="1" applyFill="1" applyBorder="1" applyAlignment="1">
      <alignment horizontal="center" vertical="center"/>
    </xf>
    <xf numFmtId="0" fontId="21" fillId="0" borderId="37" xfId="0" applyFont="1" applyBorder="1" applyAlignment="1">
      <alignment horizontal="center" vertical="center"/>
    </xf>
    <xf numFmtId="0" fontId="21" fillId="0" borderId="37" xfId="0" applyFont="1" applyBorder="1" applyAlignment="1">
      <alignment horizontal="left" vertical="center" wrapText="1"/>
    </xf>
    <xf numFmtId="43" fontId="21" fillId="0" borderId="37" xfId="1" applyFont="1" applyBorder="1" applyAlignment="1">
      <alignment horizontal="center" vertical="center"/>
    </xf>
    <xf numFmtId="0" fontId="23" fillId="0" borderId="37" xfId="0" applyFont="1" applyBorder="1" applyAlignment="1">
      <alignment horizontal="center" vertical="center"/>
    </xf>
    <xf numFmtId="0" fontId="21" fillId="0" borderId="37" xfId="0" applyFont="1" applyBorder="1" applyAlignment="1">
      <alignment horizontal="center" vertical="center" wrapText="1"/>
    </xf>
    <xf numFmtId="0" fontId="0" fillId="0" borderId="20" xfId="0" applyBorder="1" applyAlignment="1">
      <alignment horizontal="center" vertical="center"/>
    </xf>
    <xf numFmtId="0" fontId="21" fillId="0" borderId="0" xfId="0" applyFont="1" applyBorder="1"/>
    <xf numFmtId="0" fontId="25" fillId="0" borderId="20" xfId="0" applyFont="1" applyBorder="1" applyAlignment="1">
      <alignment horizontal="center" vertical="center" wrapText="1"/>
    </xf>
    <xf numFmtId="0" fontId="21" fillId="0" borderId="20" xfId="0" applyFont="1" applyFill="1" applyBorder="1" applyAlignment="1">
      <alignment horizontal="center" vertical="center" wrapText="1"/>
    </xf>
    <xf numFmtId="0" fontId="0" fillId="0" borderId="0" xfId="0" applyBorder="1"/>
    <xf numFmtId="0" fontId="21" fillId="0" borderId="45" xfId="0" applyFont="1" applyBorder="1" applyAlignment="1">
      <alignment horizontal="center" vertical="center" wrapText="1"/>
    </xf>
    <xf numFmtId="0" fontId="0" fillId="7" borderId="0" xfId="0" applyFill="1"/>
    <xf numFmtId="0" fontId="0" fillId="8" borderId="0" xfId="0" applyFill="1"/>
    <xf numFmtId="0" fontId="17" fillId="6" borderId="20" xfId="0" applyFont="1" applyFill="1" applyBorder="1" applyAlignment="1">
      <alignment horizontal="center" vertical="center"/>
    </xf>
    <xf numFmtId="0" fontId="17" fillId="6" borderId="20" xfId="0" applyFont="1" applyFill="1" applyBorder="1" applyAlignment="1">
      <alignment horizontal="center" vertical="center" wrapText="1"/>
    </xf>
    <xf numFmtId="0" fontId="21" fillId="7" borderId="20" xfId="0" applyFont="1" applyFill="1" applyBorder="1" applyAlignment="1">
      <alignment horizontal="center" vertical="center" wrapText="1"/>
    </xf>
    <xf numFmtId="0" fontId="21" fillId="7" borderId="20" xfId="0" applyFont="1" applyFill="1" applyBorder="1" applyAlignment="1">
      <alignment horizontal="left" vertical="center" wrapText="1"/>
    </xf>
    <xf numFmtId="168" fontId="22" fillId="7" borderId="20" xfId="1" applyNumberFormat="1" applyFont="1" applyFill="1" applyBorder="1" applyAlignment="1">
      <alignment horizontal="center" vertical="center" wrapText="1"/>
    </xf>
    <xf numFmtId="166" fontId="21" fillId="7" borderId="20" xfId="1" applyNumberFormat="1" applyFont="1" applyFill="1" applyBorder="1" applyAlignment="1">
      <alignment horizontal="center" vertical="center" wrapText="1"/>
    </xf>
    <xf numFmtId="0" fontId="21" fillId="0" borderId="36" xfId="0" applyFont="1" applyBorder="1" applyAlignment="1">
      <alignment horizontal="center" vertical="center" wrapText="1"/>
    </xf>
    <xf numFmtId="17" fontId="21" fillId="0" borderId="20" xfId="0" applyNumberFormat="1" applyFont="1" applyBorder="1" applyAlignment="1">
      <alignment horizontal="center" vertical="center" wrapText="1"/>
    </xf>
    <xf numFmtId="168" fontId="22" fillId="7" borderId="44" xfId="1" applyNumberFormat="1" applyFont="1" applyFill="1" applyBorder="1" applyAlignment="1">
      <alignment horizontal="center" vertical="center" wrapText="1"/>
    </xf>
    <xf numFmtId="0" fontId="21" fillId="7" borderId="24" xfId="0" applyFont="1" applyFill="1" applyBorder="1" applyAlignment="1">
      <alignment horizontal="center" vertical="center" wrapText="1"/>
    </xf>
    <xf numFmtId="166" fontId="21" fillId="0" borderId="20" xfId="0" applyNumberFormat="1" applyFont="1" applyBorder="1" applyAlignment="1">
      <alignment horizontal="center" vertical="center" wrapText="1"/>
    </xf>
    <xf numFmtId="168" fontId="21" fillId="7" borderId="20" xfId="1" applyNumberFormat="1" applyFont="1" applyFill="1" applyBorder="1" applyAlignment="1">
      <alignment horizontal="center" vertical="center" wrapText="1"/>
    </xf>
    <xf numFmtId="14" fontId="21" fillId="7" borderId="20" xfId="0" applyNumberFormat="1" applyFont="1" applyFill="1" applyBorder="1" applyAlignment="1">
      <alignment horizontal="center" vertical="center" wrapText="1"/>
    </xf>
    <xf numFmtId="14" fontId="21" fillId="7" borderId="36" xfId="0" applyNumberFormat="1" applyFont="1" applyFill="1" applyBorder="1" applyAlignment="1">
      <alignment horizontal="center" vertical="center" wrapText="1"/>
    </xf>
    <xf numFmtId="0" fontId="22" fillId="7" borderId="20" xfId="0" applyFont="1" applyFill="1" applyBorder="1" applyAlignment="1">
      <alignment horizontal="center" vertical="center" wrapText="1"/>
    </xf>
    <xf numFmtId="0" fontId="22" fillId="7" borderId="20" xfId="0" applyFont="1" applyFill="1" applyBorder="1" applyAlignment="1">
      <alignment horizontal="left" vertical="center" wrapText="1"/>
    </xf>
    <xf numFmtId="166" fontId="22" fillId="7" borderId="20" xfId="1" applyNumberFormat="1" applyFont="1" applyFill="1" applyBorder="1" applyAlignment="1">
      <alignment horizontal="center" vertical="center" wrapText="1"/>
    </xf>
    <xf numFmtId="166" fontId="22" fillId="7" borderId="20" xfId="0" applyNumberFormat="1" applyFont="1" applyFill="1" applyBorder="1" applyAlignment="1">
      <alignment horizontal="center" vertical="center" wrapText="1"/>
    </xf>
    <xf numFmtId="0" fontId="26" fillId="0" borderId="20" xfId="0" applyFont="1" applyBorder="1" applyAlignment="1">
      <alignment horizontal="center" vertical="center" wrapText="1"/>
    </xf>
    <xf numFmtId="166" fontId="21" fillId="0" borderId="20" xfId="1" applyNumberFormat="1" applyFont="1" applyBorder="1" applyAlignment="1">
      <alignment horizontal="center" vertical="center" wrapText="1"/>
    </xf>
    <xf numFmtId="0" fontId="21" fillId="0" borderId="47" xfId="0" applyFont="1" applyBorder="1" applyAlignment="1">
      <alignment horizontal="center" vertical="center" wrapText="1"/>
    </xf>
    <xf numFmtId="14" fontId="21" fillId="0" borderId="20" xfId="0" applyNumberFormat="1" applyFont="1" applyBorder="1" applyAlignment="1">
      <alignment horizontal="center" vertical="center" wrapText="1"/>
    </xf>
    <xf numFmtId="0" fontId="21" fillId="7" borderId="36" xfId="0" applyFont="1" applyFill="1" applyBorder="1" applyAlignment="1">
      <alignment horizontal="center" vertical="center" wrapText="1"/>
    </xf>
    <xf numFmtId="14" fontId="21" fillId="0" borderId="36" xfId="0" applyNumberFormat="1" applyFont="1" applyFill="1" applyBorder="1" applyAlignment="1">
      <alignment horizontal="center" vertical="center" wrapText="1"/>
    </xf>
    <xf numFmtId="14" fontId="21" fillId="0" borderId="20" xfId="0" applyNumberFormat="1" applyFont="1" applyFill="1" applyBorder="1" applyAlignment="1">
      <alignment horizontal="center" vertical="center" wrapText="1"/>
    </xf>
    <xf numFmtId="0" fontId="22" fillId="0" borderId="20" xfId="0" applyFont="1" applyFill="1" applyBorder="1" applyAlignment="1">
      <alignment horizontal="center" vertical="center" wrapText="1"/>
    </xf>
    <xf numFmtId="165" fontId="22" fillId="0" borderId="20" xfId="2" applyNumberFormat="1" applyFont="1" applyFill="1" applyBorder="1" applyAlignment="1">
      <alignment horizontal="center" vertical="center" wrapText="1"/>
    </xf>
    <xf numFmtId="0" fontId="23" fillId="7" borderId="20" xfId="0" applyFont="1" applyFill="1" applyBorder="1" applyAlignment="1">
      <alignment horizontal="center" vertical="center"/>
    </xf>
    <xf numFmtId="0" fontId="23" fillId="7" borderId="20" xfId="0" applyFont="1" applyFill="1" applyBorder="1" applyAlignment="1">
      <alignment horizontal="left" vertical="center" wrapText="1"/>
    </xf>
    <xf numFmtId="168" fontId="23" fillId="7" borderId="20" xfId="1" applyNumberFormat="1" applyFont="1" applyFill="1" applyBorder="1" applyAlignment="1">
      <alignment horizontal="center" vertical="center" wrapText="1"/>
    </xf>
    <xf numFmtId="165" fontId="23" fillId="7" borderId="20" xfId="1" applyNumberFormat="1" applyFont="1" applyFill="1" applyBorder="1" applyAlignment="1">
      <alignment horizontal="center" vertical="center"/>
    </xf>
    <xf numFmtId="0" fontId="23" fillId="7" borderId="20" xfId="0" applyFont="1" applyFill="1" applyBorder="1" applyAlignment="1">
      <alignment horizontal="center" vertical="center" wrapText="1"/>
    </xf>
    <xf numFmtId="0" fontId="23" fillId="0" borderId="20" xfId="0" applyFont="1" applyBorder="1" applyAlignment="1">
      <alignment horizontal="center" vertical="center" wrapText="1"/>
    </xf>
    <xf numFmtId="14" fontId="23" fillId="0" borderId="20" xfId="0" applyNumberFormat="1" applyFont="1" applyBorder="1" applyAlignment="1">
      <alignment horizontal="center" vertical="center"/>
    </xf>
    <xf numFmtId="0" fontId="23" fillId="0" borderId="20" xfId="0" quotePrefix="1" applyFont="1" applyBorder="1" applyAlignment="1">
      <alignment horizontal="center" vertical="center"/>
    </xf>
    <xf numFmtId="0" fontId="23" fillId="0" borderId="20" xfId="0" applyFont="1" applyFill="1" applyBorder="1" applyAlignment="1">
      <alignment horizontal="center" vertical="center"/>
    </xf>
    <xf numFmtId="0" fontId="27" fillId="7" borderId="20" xfId="0" applyFont="1" applyFill="1" applyBorder="1" applyAlignment="1">
      <alignment horizontal="center" vertical="center"/>
    </xf>
    <xf numFmtId="0" fontId="23" fillId="0" borderId="20" xfId="0" applyFont="1" applyBorder="1" applyAlignment="1">
      <alignment horizontal="left" vertical="center" wrapText="1"/>
    </xf>
    <xf numFmtId="43" fontId="23" fillId="0" borderId="20" xfId="1" applyFont="1" applyFill="1" applyBorder="1" applyAlignment="1">
      <alignment horizontal="center" vertical="center" wrapText="1"/>
    </xf>
    <xf numFmtId="165" fontId="27" fillId="7" borderId="20" xfId="1" applyNumberFormat="1" applyFont="1" applyFill="1" applyBorder="1" applyAlignment="1">
      <alignment horizontal="center" vertical="center"/>
    </xf>
    <xf numFmtId="0" fontId="27" fillId="0" borderId="20" xfId="0" applyFont="1" applyFill="1" applyBorder="1" applyAlignment="1">
      <alignment horizontal="center" vertical="center" wrapText="1"/>
    </xf>
    <xf numFmtId="0" fontId="27" fillId="7" borderId="20" xfId="0" applyFont="1" applyFill="1" applyBorder="1" applyAlignment="1">
      <alignment horizontal="center" vertical="center" wrapText="1"/>
    </xf>
    <xf numFmtId="0" fontId="27" fillId="7" borderId="20" xfId="0" applyFont="1" applyFill="1" applyBorder="1" applyAlignment="1">
      <alignment horizontal="left" vertical="center" wrapText="1"/>
    </xf>
    <xf numFmtId="165" fontId="23" fillId="0" borderId="20" xfId="0" applyNumberFormat="1" applyFont="1" applyBorder="1" applyAlignment="1">
      <alignment horizontal="center" vertical="center"/>
    </xf>
    <xf numFmtId="0" fontId="28" fillId="0" borderId="20" xfId="0" applyFont="1" applyBorder="1" applyAlignment="1">
      <alignment horizontal="center" vertical="center"/>
    </xf>
    <xf numFmtId="0" fontId="28" fillId="0" borderId="20" xfId="0" applyFont="1" applyFill="1" applyBorder="1" applyAlignment="1">
      <alignment vertical="center"/>
    </xf>
    <xf numFmtId="0" fontId="28" fillId="0" borderId="20" xfId="0" applyFont="1" applyBorder="1" applyAlignment="1">
      <alignment horizontal="justify" vertical="top"/>
    </xf>
    <xf numFmtId="14" fontId="28" fillId="0" borderId="20" xfId="0" applyNumberFormat="1" applyFont="1" applyBorder="1" applyAlignment="1">
      <alignment horizontal="center" vertical="center"/>
    </xf>
    <xf numFmtId="49" fontId="28" fillId="0" borderId="20" xfId="0" applyNumberFormat="1" applyFont="1" applyFill="1" applyBorder="1" applyAlignment="1">
      <alignment horizontal="center" vertical="center"/>
    </xf>
    <xf numFmtId="0" fontId="28" fillId="0" borderId="45" xfId="0" applyFont="1" applyFill="1" applyBorder="1" applyAlignment="1">
      <alignment vertical="center"/>
    </xf>
    <xf numFmtId="0" fontId="29" fillId="0" borderId="20" xfId="0" applyFont="1" applyBorder="1" applyAlignment="1">
      <alignment horizontal="center" vertical="center"/>
    </xf>
    <xf numFmtId="0" fontId="30" fillId="0" borderId="20" xfId="0" applyFont="1" applyBorder="1" applyAlignment="1">
      <alignment horizontal="center" vertical="top" wrapText="1"/>
    </xf>
    <xf numFmtId="0" fontId="31" fillId="0" borderId="20" xfId="0" applyFont="1" applyBorder="1" applyAlignment="1">
      <alignment horizontal="left" vertical="top" wrapText="1"/>
    </xf>
    <xf numFmtId="0" fontId="33" fillId="0" borderId="20" xfId="0" applyFont="1" applyBorder="1" applyAlignment="1">
      <alignment horizontal="center" vertical="center" wrapText="1"/>
    </xf>
    <xf numFmtId="0" fontId="20" fillId="0" borderId="20" xfId="0" applyFont="1" applyBorder="1" applyAlignment="1">
      <alignment horizontal="justify" vertical="center"/>
    </xf>
    <xf numFmtId="0" fontId="20" fillId="0" borderId="2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0" xfId="0" applyFont="1" applyBorder="1" applyAlignment="1">
      <alignment horizontal="left" vertical="center" wrapText="1"/>
    </xf>
    <xf numFmtId="0" fontId="33" fillId="0" borderId="20" xfId="0" applyFont="1" applyBorder="1" applyAlignment="1">
      <alignment horizontal="left" vertical="top" wrapText="1"/>
    </xf>
    <xf numFmtId="0" fontId="36" fillId="6" borderId="20" xfId="0" applyFont="1" applyFill="1" applyBorder="1" applyAlignment="1">
      <alignment horizontal="center" vertical="center" wrapText="1"/>
    </xf>
    <xf numFmtId="0" fontId="6" fillId="2" borderId="38" xfId="0" applyFont="1" applyFill="1" applyBorder="1" applyAlignment="1">
      <alignment horizontal="left" vertical="center" wrapText="1"/>
    </xf>
    <xf numFmtId="0" fontId="6" fillId="2" borderId="39"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18" xfId="0" applyFont="1" applyFill="1" applyBorder="1" applyAlignment="1">
      <alignment horizontal="left" vertical="center" wrapText="1"/>
    </xf>
    <xf numFmtId="165" fontId="6" fillId="2" borderId="3" xfId="2" applyFont="1" applyFill="1" applyBorder="1" applyAlignment="1">
      <alignment horizontal="center" vertical="center" wrapText="1"/>
    </xf>
    <xf numFmtId="165" fontId="6" fillId="2" borderId="0" xfId="2" applyFont="1" applyFill="1" applyBorder="1" applyAlignment="1">
      <alignment horizontal="center" vertical="center" wrapText="1"/>
    </xf>
    <xf numFmtId="165" fontId="6" fillId="2" borderId="19" xfId="2"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5" xfId="0" applyFont="1" applyFill="1" applyBorder="1" applyAlignment="1">
      <alignment horizontal="center" vertical="center" wrapText="1"/>
    </xf>
    <xf numFmtId="165" fontId="2" fillId="0" borderId="4" xfId="2" applyFont="1" applyBorder="1" applyAlignment="1">
      <alignment horizontal="center" vertical="center"/>
    </xf>
    <xf numFmtId="165" fontId="2" fillId="0" borderId="9" xfId="2" applyFont="1" applyBorder="1" applyAlignment="1">
      <alignment horizontal="center" vertical="center"/>
    </xf>
    <xf numFmtId="165" fontId="2" fillId="0" borderId="15" xfId="2" applyFont="1" applyBorder="1" applyAlignment="1">
      <alignment horizontal="center" vertical="center"/>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165" fontId="2" fillId="0" borderId="4" xfId="2" applyFont="1" applyBorder="1" applyAlignment="1">
      <alignment horizontal="center" vertical="center" wrapText="1"/>
    </xf>
    <xf numFmtId="165" fontId="2" fillId="0" borderId="9" xfId="2" applyFont="1" applyBorder="1" applyAlignment="1">
      <alignment horizontal="center" vertical="center" wrapText="1"/>
    </xf>
    <xf numFmtId="165" fontId="2" fillId="0" borderId="15" xfId="2" applyFont="1" applyBorder="1" applyAlignment="1">
      <alignment horizontal="center" vertical="center" wrapText="1"/>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15" xfId="0" applyFont="1" applyBorder="1" applyAlignment="1">
      <alignment horizontal="center" vertical="center"/>
    </xf>
    <xf numFmtId="165" fontId="2" fillId="0" borderId="4" xfId="2" applyFont="1" applyFill="1" applyBorder="1" applyAlignment="1">
      <alignment horizontal="center" vertical="center" wrapText="1"/>
    </xf>
    <xf numFmtId="165" fontId="2" fillId="0" borderId="9" xfId="2" applyFont="1" applyFill="1" applyBorder="1" applyAlignment="1">
      <alignment horizontal="center" vertical="center" wrapText="1"/>
    </xf>
    <xf numFmtId="165" fontId="2" fillId="0" borderId="15" xfId="2" applyFont="1" applyFill="1" applyBorder="1" applyAlignment="1">
      <alignment horizontal="center" vertical="center" wrapText="1"/>
    </xf>
    <xf numFmtId="43" fontId="2" fillId="0" borderId="4" xfId="1" applyFont="1" applyBorder="1" applyAlignment="1">
      <alignment horizontal="center" vertical="center" wrapText="1"/>
    </xf>
    <xf numFmtId="43" fontId="2" fillId="0" borderId="9" xfId="1" applyFont="1" applyBorder="1" applyAlignment="1">
      <alignment horizontal="center" vertical="center" wrapText="1"/>
    </xf>
    <xf numFmtId="43" fontId="2" fillId="0" borderId="15" xfId="1" applyFont="1" applyBorder="1" applyAlignment="1">
      <alignment horizontal="center" vertical="center" wrapText="1"/>
    </xf>
    <xf numFmtId="0" fontId="3" fillId="0" borderId="9" xfId="0" applyFont="1" applyBorder="1" applyAlignment="1">
      <alignment wrapText="1"/>
    </xf>
    <xf numFmtId="0" fontId="3" fillId="0" borderId="15" xfId="0" applyFont="1" applyBorder="1" applyAlignment="1">
      <alignment wrapText="1"/>
    </xf>
    <xf numFmtId="0" fontId="2" fillId="0" borderId="9" xfId="0" applyFont="1" applyFill="1" applyBorder="1" applyAlignment="1">
      <alignment horizontal="center" vertical="center" wrapText="1"/>
    </xf>
    <xf numFmtId="0" fontId="3" fillId="0" borderId="0" xfId="0" applyFont="1" applyAlignment="1">
      <alignment horizontal="center" vertical="center"/>
    </xf>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10"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0" xfId="0" applyFont="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8"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 xfId="0" applyFont="1" applyBorder="1" applyAlignment="1">
      <alignment vertical="center" wrapText="1"/>
    </xf>
    <xf numFmtId="0" fontId="6" fillId="0" borderId="5" xfId="0" applyFont="1" applyBorder="1" applyAlignment="1">
      <alignment vertical="center" wrapText="1"/>
    </xf>
    <xf numFmtId="0" fontId="6" fillId="0" borderId="10"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 xfId="0" applyFont="1" applyBorder="1" applyAlignment="1">
      <alignment horizontal="center" vertical="center" wrapText="1"/>
    </xf>
    <xf numFmtId="165" fontId="6" fillId="0" borderId="4" xfId="2" applyFont="1" applyBorder="1" applyAlignment="1">
      <alignment horizontal="center" vertical="center" wrapText="1"/>
    </xf>
    <xf numFmtId="165" fontId="6" fillId="0" borderId="9" xfId="2" applyFont="1" applyBorder="1" applyAlignment="1">
      <alignment horizontal="center" vertical="center" wrapText="1"/>
    </xf>
    <xf numFmtId="165" fontId="6" fillId="0" borderId="15" xfId="2" applyFont="1" applyBorder="1" applyAlignment="1">
      <alignment horizontal="center" vertical="center" wrapText="1"/>
    </xf>
    <xf numFmtId="0" fontId="14" fillId="3" borderId="38" xfId="0" applyFont="1" applyFill="1" applyBorder="1" applyAlignment="1">
      <alignment horizontal="center" wrapText="1"/>
    </xf>
    <xf numFmtId="0" fontId="14" fillId="3" borderId="39" xfId="0" applyFont="1" applyFill="1" applyBorder="1" applyAlignment="1">
      <alignment horizontal="center" wrapText="1"/>
    </xf>
    <xf numFmtId="0" fontId="14" fillId="3" borderId="12" xfId="0" applyFont="1" applyFill="1" applyBorder="1" applyAlignment="1">
      <alignment horizontal="center" wrapText="1"/>
    </xf>
    <xf numFmtId="0" fontId="9" fillId="4" borderId="38" xfId="0" applyFont="1" applyFill="1" applyBorder="1" applyAlignment="1">
      <alignment horizontal="center"/>
    </xf>
    <xf numFmtId="0" fontId="9" fillId="4" borderId="39" xfId="0" applyFont="1" applyFill="1" applyBorder="1" applyAlignment="1">
      <alignment horizontal="center"/>
    </xf>
    <xf numFmtId="0" fontId="9" fillId="4" borderId="12" xfId="0" applyFont="1" applyFill="1" applyBorder="1" applyAlignment="1">
      <alignment horizontal="center"/>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11" fillId="0" borderId="38" xfId="0" applyFont="1" applyFill="1" applyBorder="1" applyAlignment="1">
      <alignment horizontal="center" vertical="center" wrapText="1"/>
    </xf>
    <xf numFmtId="0" fontId="11" fillId="0" borderId="3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4" fillId="3" borderId="20" xfId="0" applyFont="1" applyFill="1" applyBorder="1" applyAlignment="1">
      <alignment horizontal="center" vertical="top" wrapText="1"/>
    </xf>
    <xf numFmtId="0" fontId="9" fillId="3" borderId="30"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0" fillId="0" borderId="15" xfId="0" applyBorder="1"/>
    <xf numFmtId="0" fontId="17" fillId="5" borderId="36" xfId="0" applyFont="1" applyFill="1" applyBorder="1" applyAlignment="1">
      <alignment horizontal="center" vertical="center"/>
    </xf>
    <xf numFmtId="0" fontId="17" fillId="5" borderId="43" xfId="0" applyFont="1" applyFill="1" applyBorder="1" applyAlignment="1">
      <alignment horizontal="center" vertical="center"/>
    </xf>
    <xf numFmtId="0" fontId="17" fillId="5" borderId="44" xfId="0" applyFont="1" applyFill="1" applyBorder="1" applyAlignment="1">
      <alignment horizontal="center" vertical="center"/>
    </xf>
    <xf numFmtId="0" fontId="17" fillId="6" borderId="20" xfId="0" applyFont="1" applyFill="1" applyBorder="1" applyAlignment="1">
      <alignment horizontal="center" vertical="center"/>
    </xf>
    <xf numFmtId="0" fontId="36" fillId="6" borderId="48" xfId="0" applyFont="1" applyFill="1" applyBorder="1" applyAlignment="1">
      <alignment horizontal="center" vertical="center" wrapText="1"/>
    </xf>
  </cellXfs>
  <cellStyles count="11">
    <cellStyle name="Estilo 1" xfId="3"/>
    <cellStyle name="Millares" xfId="1" builtinId="3"/>
    <cellStyle name="Millares 2" xfId="5"/>
    <cellStyle name="Millares 3" xfId="6"/>
    <cellStyle name="Millares 4" xfId="4"/>
    <cellStyle name="Moneda" xfId="2" builtinId="4"/>
    <cellStyle name="Normal" xfId="0" builtinId="0"/>
    <cellStyle name="Normal 2" xfId="7"/>
    <cellStyle name="Porcentual 2" xfId="9"/>
    <cellStyle name="Porcentual 3" xfId="10"/>
    <cellStyle name="Porcentual 4"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4</xdr:col>
      <xdr:colOff>514350</xdr:colOff>
      <xdr:row>0</xdr:row>
      <xdr:rowOff>0</xdr:rowOff>
    </xdr:from>
    <xdr:to>
      <xdr:col>5</xdr:col>
      <xdr:colOff>504825</xdr:colOff>
      <xdr:row>3</xdr:row>
      <xdr:rowOff>28575</xdr:rowOff>
    </xdr:to>
    <xdr:pic>
      <xdr:nvPicPr>
        <xdr:cNvPr id="2" name="Imagen 2118" descr="http://www.procuraduria.gov.co/portal/media/image/99.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33900" y="0"/>
          <a:ext cx="971550"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647700</xdr:colOff>
      <xdr:row>0</xdr:row>
      <xdr:rowOff>0</xdr:rowOff>
    </xdr:from>
    <xdr:to>
      <xdr:col>6</xdr:col>
      <xdr:colOff>600075</xdr:colOff>
      <xdr:row>2</xdr:row>
      <xdr:rowOff>161925</xdr:rowOff>
    </xdr:to>
    <xdr:pic>
      <xdr:nvPicPr>
        <xdr:cNvPr id="3" name="Imagen 2119" descr="http://www.archivogeneral.gov.co/sites/all/themes/nevia/images/transparencia33.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9257" r="20976" b="-6374"/>
        <a:stretch>
          <a:fillRect/>
        </a:stretch>
      </xdr:blipFill>
      <xdr:spPr bwMode="auto">
        <a:xfrm>
          <a:off x="5648325" y="0"/>
          <a:ext cx="885825"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104775</xdr:rowOff>
    </xdr:from>
    <xdr:to>
      <xdr:col>1</xdr:col>
      <xdr:colOff>247650</xdr:colOff>
      <xdr:row>1</xdr:row>
      <xdr:rowOff>95250</xdr:rowOff>
    </xdr:to>
    <xdr:pic>
      <xdr:nvPicPr>
        <xdr:cNvPr id="4" name="Imagen 2120" descr="dnp"/>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04775"/>
          <a:ext cx="164782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152400</xdr:colOff>
      <xdr:row>0</xdr:row>
      <xdr:rowOff>47625</xdr:rowOff>
    </xdr:from>
    <xdr:to>
      <xdr:col>2</xdr:col>
      <xdr:colOff>647700</xdr:colOff>
      <xdr:row>2</xdr:row>
      <xdr:rowOff>114300</xdr:rowOff>
    </xdr:to>
    <xdr:pic>
      <xdr:nvPicPr>
        <xdr:cNvPr id="5" name="Imagen 2121" descr="funcion publica"/>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29411" r="52258" b="20168"/>
        <a:stretch>
          <a:fillRect/>
        </a:stretch>
      </xdr:blipFill>
      <xdr:spPr bwMode="auto">
        <a:xfrm>
          <a:off x="1552575" y="47625"/>
          <a:ext cx="125730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666750</xdr:colOff>
      <xdr:row>0</xdr:row>
      <xdr:rowOff>85725</xdr:rowOff>
    </xdr:from>
    <xdr:to>
      <xdr:col>4</xdr:col>
      <xdr:colOff>266700</xdr:colOff>
      <xdr:row>2</xdr:row>
      <xdr:rowOff>47625</xdr:rowOff>
    </xdr:to>
    <xdr:pic>
      <xdr:nvPicPr>
        <xdr:cNvPr id="6" name="Imagen 2122" descr="funcion publica"/>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50322"/>
        <a:stretch>
          <a:fillRect/>
        </a:stretch>
      </xdr:blipFill>
      <xdr:spPr bwMode="auto">
        <a:xfrm>
          <a:off x="2828925" y="85725"/>
          <a:ext cx="145732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514350</xdr:colOff>
      <xdr:row>0</xdr:row>
      <xdr:rowOff>0</xdr:rowOff>
    </xdr:from>
    <xdr:to>
      <xdr:col>5</xdr:col>
      <xdr:colOff>504825</xdr:colOff>
      <xdr:row>3</xdr:row>
      <xdr:rowOff>28575</xdr:rowOff>
    </xdr:to>
    <xdr:pic>
      <xdr:nvPicPr>
        <xdr:cNvPr id="7" name="Imagen 2118" descr="http://www.procuraduria.gov.co/portal/media/image/99.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33900" y="0"/>
          <a:ext cx="971550"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647700</xdr:colOff>
      <xdr:row>0</xdr:row>
      <xdr:rowOff>0</xdr:rowOff>
    </xdr:from>
    <xdr:to>
      <xdr:col>6</xdr:col>
      <xdr:colOff>600075</xdr:colOff>
      <xdr:row>2</xdr:row>
      <xdr:rowOff>161925</xdr:rowOff>
    </xdr:to>
    <xdr:pic>
      <xdr:nvPicPr>
        <xdr:cNvPr id="8" name="Imagen 2119" descr="http://www.archivogeneral.gov.co/sites/all/themes/nevia/images/transparencia33.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9257" r="20976" b="-6374"/>
        <a:stretch>
          <a:fillRect/>
        </a:stretch>
      </xdr:blipFill>
      <xdr:spPr bwMode="auto">
        <a:xfrm>
          <a:off x="5648325" y="0"/>
          <a:ext cx="885825"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104775</xdr:rowOff>
    </xdr:from>
    <xdr:to>
      <xdr:col>1</xdr:col>
      <xdr:colOff>247650</xdr:colOff>
      <xdr:row>1</xdr:row>
      <xdr:rowOff>95250</xdr:rowOff>
    </xdr:to>
    <xdr:pic>
      <xdr:nvPicPr>
        <xdr:cNvPr id="9" name="Imagen 2120" descr="dnp"/>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04775"/>
          <a:ext cx="164782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152400</xdr:colOff>
      <xdr:row>0</xdr:row>
      <xdr:rowOff>47625</xdr:rowOff>
    </xdr:from>
    <xdr:to>
      <xdr:col>2</xdr:col>
      <xdr:colOff>647700</xdr:colOff>
      <xdr:row>2</xdr:row>
      <xdr:rowOff>114300</xdr:rowOff>
    </xdr:to>
    <xdr:pic>
      <xdr:nvPicPr>
        <xdr:cNvPr id="10" name="Imagen 2121" descr="funcion publica"/>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29411" r="52258" b="20168"/>
        <a:stretch>
          <a:fillRect/>
        </a:stretch>
      </xdr:blipFill>
      <xdr:spPr bwMode="auto">
        <a:xfrm>
          <a:off x="1552575" y="47625"/>
          <a:ext cx="125730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666750</xdr:colOff>
      <xdr:row>0</xdr:row>
      <xdr:rowOff>85725</xdr:rowOff>
    </xdr:from>
    <xdr:to>
      <xdr:col>4</xdr:col>
      <xdr:colOff>266700</xdr:colOff>
      <xdr:row>2</xdr:row>
      <xdr:rowOff>47625</xdr:rowOff>
    </xdr:to>
    <xdr:pic>
      <xdr:nvPicPr>
        <xdr:cNvPr id="11" name="Imagen 2122" descr="funcion publica"/>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50322"/>
        <a:stretch>
          <a:fillRect/>
        </a:stretch>
      </xdr:blipFill>
      <xdr:spPr bwMode="auto">
        <a:xfrm>
          <a:off x="2828925" y="85725"/>
          <a:ext cx="1457325"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174"/>
  <sheetViews>
    <sheetView topLeftCell="C133" zoomScale="60" zoomScaleNormal="60" workbookViewId="0">
      <selection activeCell="R152" sqref="R152"/>
    </sheetView>
  </sheetViews>
  <sheetFormatPr baseColWidth="10" defaultRowHeight="15" x14ac:dyDescent="0.25"/>
  <cols>
    <col min="1" max="1" width="21" style="25" customWidth="1"/>
    <col min="2" max="2" width="11.42578125" style="6"/>
    <col min="3" max="3" width="20.7109375" style="6" customWidth="1"/>
    <col min="4" max="4" width="11.42578125" style="6"/>
    <col min="5" max="5" width="14.7109375" style="6" customWidth="1"/>
    <col min="6" max="6" width="14" style="6" customWidth="1"/>
    <col min="7" max="8" width="11.42578125" style="6"/>
    <col min="9" max="9" width="25.140625" style="7" customWidth="1"/>
    <col min="10" max="10" width="17.28515625" style="6" customWidth="1"/>
    <col min="11" max="11" width="28.7109375" style="8" customWidth="1"/>
    <col min="12" max="12" width="11.7109375" style="6" customWidth="1"/>
    <col min="13" max="13" width="14" style="9" customWidth="1"/>
    <col min="14" max="16384" width="11.42578125" style="9"/>
  </cols>
  <sheetData>
    <row r="1" spans="1:12" s="311" customFormat="1" x14ac:dyDescent="0.25">
      <c r="A1" s="311" t="s">
        <v>0</v>
      </c>
    </row>
    <row r="2" spans="1:12" s="311" customFormat="1" x14ac:dyDescent="0.25"/>
    <row r="3" spans="1:12" s="311" customFormat="1" x14ac:dyDescent="0.25"/>
    <row r="4" spans="1:12" s="311" customFormat="1" x14ac:dyDescent="0.25"/>
    <row r="5" spans="1:12" x14ac:dyDescent="0.25">
      <c r="A5" s="162" t="s">
        <v>1</v>
      </c>
    </row>
    <row r="6" spans="1:12" ht="15.75" thickBot="1" x14ac:dyDescent="0.3">
      <c r="A6" s="10"/>
    </row>
    <row r="7" spans="1:12" ht="33" customHeight="1" thickBot="1" x14ac:dyDescent="0.3">
      <c r="A7" s="312" t="s">
        <v>2</v>
      </c>
      <c r="B7" s="315" t="s">
        <v>3</v>
      </c>
      <c r="C7" s="316"/>
      <c r="D7" s="319" t="s">
        <v>4</v>
      </c>
      <c r="E7" s="319"/>
      <c r="F7" s="319"/>
      <c r="G7" s="319"/>
      <c r="H7" s="319"/>
      <c r="I7" s="316"/>
      <c r="J7" s="290" t="s">
        <v>88</v>
      </c>
      <c r="K7" s="296" t="s">
        <v>5</v>
      </c>
      <c r="L7" s="290" t="s">
        <v>6</v>
      </c>
    </row>
    <row r="8" spans="1:12" ht="34.9" customHeight="1" thickBot="1" x14ac:dyDescent="0.3">
      <c r="A8" s="313"/>
      <c r="B8" s="317"/>
      <c r="C8" s="318"/>
      <c r="D8" s="320" t="s">
        <v>7</v>
      </c>
      <c r="E8" s="321"/>
      <c r="F8" s="99" t="s">
        <v>8</v>
      </c>
      <c r="G8" s="315" t="s">
        <v>9</v>
      </c>
      <c r="H8" s="316"/>
      <c r="I8" s="98" t="s">
        <v>10</v>
      </c>
      <c r="J8" s="291"/>
      <c r="K8" s="297"/>
      <c r="L8" s="291"/>
    </row>
    <row r="9" spans="1:12" ht="60.75" thickBot="1" x14ac:dyDescent="0.3">
      <c r="A9" s="314"/>
      <c r="B9" s="11" t="s">
        <v>11</v>
      </c>
      <c r="C9" s="12" t="s">
        <v>43</v>
      </c>
      <c r="D9" s="13" t="s">
        <v>12</v>
      </c>
      <c r="E9" s="14" t="s">
        <v>13</v>
      </c>
      <c r="F9" s="14" t="s">
        <v>13</v>
      </c>
      <c r="G9" s="13" t="s">
        <v>12</v>
      </c>
      <c r="H9" s="14" t="s">
        <v>13</v>
      </c>
      <c r="I9" s="13" t="s">
        <v>12</v>
      </c>
      <c r="J9" s="292"/>
      <c r="K9" s="298"/>
      <c r="L9" s="292"/>
    </row>
    <row r="10" spans="1:12" ht="30.75" customHeight="1" x14ac:dyDescent="0.25">
      <c r="A10" s="285" t="s">
        <v>44</v>
      </c>
      <c r="B10" s="100" t="s">
        <v>14</v>
      </c>
      <c r="C10" s="100"/>
      <c r="D10" s="15">
        <f>74.98+3+32.6+7.17</f>
        <v>117.75000000000001</v>
      </c>
      <c r="E10" s="100" t="s">
        <v>15</v>
      </c>
      <c r="F10" s="290" t="s">
        <v>16</v>
      </c>
      <c r="G10" s="290" t="s">
        <v>89</v>
      </c>
      <c r="H10" s="290" t="s">
        <v>89</v>
      </c>
      <c r="I10" s="290" t="s">
        <v>17</v>
      </c>
      <c r="J10" s="290" t="s">
        <v>18</v>
      </c>
      <c r="K10" s="296">
        <v>16713341402.940001</v>
      </c>
      <c r="L10" s="290">
        <v>100</v>
      </c>
    </row>
    <row r="11" spans="1:12" ht="21.75" customHeight="1" x14ac:dyDescent="0.25">
      <c r="A11" s="310"/>
      <c r="B11" s="16"/>
      <c r="C11" s="17" t="s">
        <v>14</v>
      </c>
      <c r="D11" s="18">
        <f>1.452+2.8</f>
        <v>4.2519999999999998</v>
      </c>
      <c r="E11" s="17" t="s">
        <v>15</v>
      </c>
      <c r="F11" s="291"/>
      <c r="G11" s="291"/>
      <c r="H11" s="291"/>
      <c r="I11" s="291"/>
      <c r="J11" s="291"/>
      <c r="K11" s="297"/>
      <c r="L11" s="291"/>
    </row>
    <row r="12" spans="1:12" x14ac:dyDescent="0.25">
      <c r="A12" s="310"/>
      <c r="B12" s="16" t="s">
        <v>14</v>
      </c>
      <c r="C12" s="17"/>
      <c r="D12" s="18">
        <f>6.96+7+15.18-7.17</f>
        <v>21.97</v>
      </c>
      <c r="E12" s="17" t="s">
        <v>19</v>
      </c>
      <c r="F12" s="291"/>
      <c r="G12" s="291"/>
      <c r="H12" s="291"/>
      <c r="I12" s="291"/>
      <c r="J12" s="291"/>
      <c r="K12" s="297"/>
      <c r="L12" s="291"/>
    </row>
    <row r="13" spans="1:12" ht="15.75" thickBot="1" x14ac:dyDescent="0.3">
      <c r="A13" s="286"/>
      <c r="B13" s="19" t="s">
        <v>14</v>
      </c>
      <c r="C13" s="19"/>
      <c r="D13" s="20">
        <f>19.72</f>
        <v>19.72</v>
      </c>
      <c r="E13" s="19" t="s">
        <v>20</v>
      </c>
      <c r="F13" s="292"/>
      <c r="G13" s="292"/>
      <c r="H13" s="292"/>
      <c r="I13" s="292"/>
      <c r="J13" s="292"/>
      <c r="K13" s="298"/>
      <c r="L13" s="292"/>
    </row>
    <row r="14" spans="1:12" ht="30.75" customHeight="1" x14ac:dyDescent="0.25">
      <c r="A14" s="285" t="s">
        <v>45</v>
      </c>
      <c r="B14" s="100" t="s">
        <v>14</v>
      </c>
      <c r="C14" s="100"/>
      <c r="D14" s="15">
        <v>3</v>
      </c>
      <c r="E14" s="100" t="s">
        <v>15</v>
      </c>
      <c r="F14" s="290" t="s">
        <v>89</v>
      </c>
      <c r="G14" s="290" t="s">
        <v>89</v>
      </c>
      <c r="H14" s="290" t="s">
        <v>89</v>
      </c>
      <c r="I14" s="290" t="s">
        <v>21</v>
      </c>
      <c r="J14" s="290" t="s">
        <v>22</v>
      </c>
      <c r="K14" s="296">
        <v>656590819</v>
      </c>
      <c r="L14" s="290">
        <v>100</v>
      </c>
    </row>
    <row r="15" spans="1:12" x14ac:dyDescent="0.25">
      <c r="A15" s="310"/>
      <c r="B15" s="16" t="s">
        <v>14</v>
      </c>
      <c r="C15" s="17"/>
      <c r="D15" s="18">
        <v>0</v>
      </c>
      <c r="E15" s="17" t="s">
        <v>19</v>
      </c>
      <c r="F15" s="291"/>
      <c r="G15" s="291"/>
      <c r="H15" s="291"/>
      <c r="I15" s="291"/>
      <c r="J15" s="291"/>
      <c r="K15" s="297"/>
      <c r="L15" s="291"/>
    </row>
    <row r="16" spans="1:12" ht="15.75" thickBot="1" x14ac:dyDescent="0.3">
      <c r="A16" s="286"/>
      <c r="B16" s="19" t="s">
        <v>14</v>
      </c>
      <c r="C16" s="19"/>
      <c r="D16" s="20">
        <v>17</v>
      </c>
      <c r="E16" s="19" t="s">
        <v>20</v>
      </c>
      <c r="F16" s="292"/>
      <c r="G16" s="292"/>
      <c r="H16" s="292"/>
      <c r="I16" s="292"/>
      <c r="J16" s="292"/>
      <c r="K16" s="298"/>
      <c r="L16" s="292"/>
    </row>
    <row r="17" spans="1:12" ht="30.75" customHeight="1" x14ac:dyDescent="0.25">
      <c r="A17" s="293" t="s">
        <v>46</v>
      </c>
      <c r="B17" s="100" t="s">
        <v>14</v>
      </c>
      <c r="C17" s="100"/>
      <c r="D17" s="15">
        <v>24</v>
      </c>
      <c r="E17" s="100" t="s">
        <v>15</v>
      </c>
      <c r="F17" s="290" t="s">
        <v>89</v>
      </c>
      <c r="G17" s="290" t="s">
        <v>89</v>
      </c>
      <c r="H17" s="290" t="s">
        <v>89</v>
      </c>
      <c r="I17" s="290" t="s">
        <v>94</v>
      </c>
      <c r="J17" s="290" t="s">
        <v>24</v>
      </c>
      <c r="K17" s="302">
        <v>1886000000</v>
      </c>
      <c r="L17" s="290">
        <v>100</v>
      </c>
    </row>
    <row r="18" spans="1:12" x14ac:dyDescent="0.25">
      <c r="A18" s="294"/>
      <c r="B18" s="16" t="s">
        <v>14</v>
      </c>
      <c r="C18" s="17"/>
      <c r="D18" s="18">
        <v>2.4</v>
      </c>
      <c r="E18" s="17" t="s">
        <v>19</v>
      </c>
      <c r="F18" s="291"/>
      <c r="G18" s="291"/>
      <c r="H18" s="291"/>
      <c r="I18" s="291"/>
      <c r="J18" s="291"/>
      <c r="K18" s="303"/>
      <c r="L18" s="291"/>
    </row>
    <row r="19" spans="1:12" ht="15.75" thickBot="1" x14ac:dyDescent="0.3">
      <c r="A19" s="295"/>
      <c r="B19" s="19" t="s">
        <v>14</v>
      </c>
      <c r="C19" s="19"/>
      <c r="D19" s="20">
        <f>25.9-24</f>
        <v>1.8999999999999986</v>
      </c>
      <c r="E19" s="19" t="s">
        <v>20</v>
      </c>
      <c r="F19" s="292"/>
      <c r="G19" s="292"/>
      <c r="H19" s="292"/>
      <c r="I19" s="292"/>
      <c r="J19" s="292"/>
      <c r="K19" s="304"/>
      <c r="L19" s="292"/>
    </row>
    <row r="20" spans="1:12" ht="30.75" customHeight="1" x14ac:dyDescent="0.25">
      <c r="A20" s="293" t="s">
        <v>47</v>
      </c>
      <c r="B20" s="100" t="s">
        <v>14</v>
      </c>
      <c r="C20" s="100"/>
      <c r="D20" s="15">
        <v>50.9</v>
      </c>
      <c r="E20" s="100" t="s">
        <v>15</v>
      </c>
      <c r="F20" s="290" t="s">
        <v>89</v>
      </c>
      <c r="G20" s="290" t="s">
        <v>89</v>
      </c>
      <c r="H20" s="290" t="s">
        <v>89</v>
      </c>
      <c r="I20" s="290" t="s">
        <v>93</v>
      </c>
      <c r="J20" s="290" t="s">
        <v>90</v>
      </c>
      <c r="K20" s="296">
        <f>25000000*50.9</f>
        <v>1272500000</v>
      </c>
      <c r="L20" s="290">
        <v>100</v>
      </c>
    </row>
    <row r="21" spans="1:12" x14ac:dyDescent="0.25">
      <c r="A21" s="294"/>
      <c r="B21" s="16" t="s">
        <v>14</v>
      </c>
      <c r="C21" s="17"/>
      <c r="D21" s="18">
        <f>21-10</f>
        <v>11</v>
      </c>
      <c r="E21" s="17" t="s">
        <v>19</v>
      </c>
      <c r="F21" s="291"/>
      <c r="G21" s="291"/>
      <c r="H21" s="291"/>
      <c r="I21" s="291"/>
      <c r="J21" s="291"/>
      <c r="K21" s="297"/>
      <c r="L21" s="291"/>
    </row>
    <row r="22" spans="1:12" ht="15.75" thickBot="1" x14ac:dyDescent="0.3">
      <c r="A22" s="295"/>
      <c r="B22" s="19" t="s">
        <v>14</v>
      </c>
      <c r="C22" s="19"/>
      <c r="D22" s="20">
        <f>57-40.9</f>
        <v>16.100000000000001</v>
      </c>
      <c r="E22" s="19" t="s">
        <v>20</v>
      </c>
      <c r="F22" s="292"/>
      <c r="G22" s="292"/>
      <c r="H22" s="292"/>
      <c r="I22" s="292"/>
      <c r="J22" s="292"/>
      <c r="K22" s="298"/>
      <c r="L22" s="292"/>
    </row>
    <row r="23" spans="1:12" ht="30.75" customHeight="1" x14ac:dyDescent="0.25">
      <c r="A23" s="293" t="s">
        <v>48</v>
      </c>
      <c r="B23" s="100" t="s">
        <v>14</v>
      </c>
      <c r="C23" s="100"/>
      <c r="D23" s="15">
        <f>14+0.1+3+0.4+9.5</f>
        <v>27</v>
      </c>
      <c r="E23" s="100" t="s">
        <v>15</v>
      </c>
      <c r="F23" s="290" t="s">
        <v>89</v>
      </c>
      <c r="G23" s="290" t="s">
        <v>89</v>
      </c>
      <c r="H23" s="290" t="s">
        <v>89</v>
      </c>
      <c r="I23" s="290" t="s">
        <v>89</v>
      </c>
      <c r="J23" s="290" t="s">
        <v>25</v>
      </c>
      <c r="K23" s="296">
        <v>10463307531.02</v>
      </c>
      <c r="L23" s="290">
        <v>100</v>
      </c>
    </row>
    <row r="24" spans="1:12" x14ac:dyDescent="0.25">
      <c r="A24" s="308"/>
      <c r="B24" s="16" t="s">
        <v>14</v>
      </c>
      <c r="C24" s="17"/>
      <c r="D24" s="18">
        <f>22+26.24-9.5</f>
        <v>38.739999999999995</v>
      </c>
      <c r="E24" s="17" t="s">
        <v>19</v>
      </c>
      <c r="F24" s="291"/>
      <c r="G24" s="291"/>
      <c r="H24" s="291"/>
      <c r="I24" s="291"/>
      <c r="J24" s="291"/>
      <c r="K24" s="297"/>
      <c r="L24" s="291"/>
    </row>
    <row r="25" spans="1:12" ht="15.75" thickBot="1" x14ac:dyDescent="0.3">
      <c r="A25" s="309"/>
      <c r="B25" s="19" t="s">
        <v>14</v>
      </c>
      <c r="C25" s="19"/>
      <c r="D25" s="20">
        <f>17.49-3-0.4</f>
        <v>14.089999999999998</v>
      </c>
      <c r="E25" s="19" t="s">
        <v>20</v>
      </c>
      <c r="F25" s="292"/>
      <c r="G25" s="292"/>
      <c r="H25" s="292"/>
      <c r="I25" s="292"/>
      <c r="J25" s="292"/>
      <c r="K25" s="298"/>
      <c r="L25" s="292"/>
    </row>
    <row r="26" spans="1:12" ht="23.25" customHeight="1" x14ac:dyDescent="0.25">
      <c r="A26" s="293" t="s">
        <v>49</v>
      </c>
      <c r="B26" s="100" t="s">
        <v>14</v>
      </c>
      <c r="C26" s="100"/>
      <c r="D26" s="15">
        <f>5+5.5+1.6+11+15</f>
        <v>38.1</v>
      </c>
      <c r="E26" s="100" t="s">
        <v>15</v>
      </c>
      <c r="F26" s="290" t="s">
        <v>89</v>
      </c>
      <c r="G26" s="290" t="s">
        <v>89</v>
      </c>
      <c r="H26" s="290" t="s">
        <v>89</v>
      </c>
      <c r="I26" s="290" t="s">
        <v>89</v>
      </c>
      <c r="J26" s="290" t="s">
        <v>26</v>
      </c>
      <c r="K26" s="296">
        <v>7325316148.6499996</v>
      </c>
      <c r="L26" s="290">
        <v>100</v>
      </c>
    </row>
    <row r="27" spans="1:12" ht="24" customHeight="1" x14ac:dyDescent="0.25">
      <c r="A27" s="294"/>
      <c r="B27" s="16" t="s">
        <v>14</v>
      </c>
      <c r="C27" s="18"/>
      <c r="D27" s="18">
        <f>7+7.47-1.6-11</f>
        <v>1.8699999999999992</v>
      </c>
      <c r="E27" s="17" t="s">
        <v>19</v>
      </c>
      <c r="F27" s="291"/>
      <c r="G27" s="291"/>
      <c r="H27" s="291"/>
      <c r="I27" s="291"/>
      <c r="J27" s="291"/>
      <c r="K27" s="297"/>
      <c r="L27" s="291"/>
    </row>
    <row r="28" spans="1:12" ht="30.75" customHeight="1" thickBot="1" x14ac:dyDescent="0.3">
      <c r="A28" s="295"/>
      <c r="B28" s="19" t="s">
        <v>14</v>
      </c>
      <c r="C28" s="19"/>
      <c r="D28" s="20">
        <f>4+17.43-5.5-15</f>
        <v>0.92999999999999972</v>
      </c>
      <c r="E28" s="19" t="s">
        <v>20</v>
      </c>
      <c r="F28" s="292"/>
      <c r="G28" s="292"/>
      <c r="H28" s="292"/>
      <c r="I28" s="292"/>
      <c r="J28" s="292"/>
      <c r="K28" s="298"/>
      <c r="L28" s="292"/>
    </row>
    <row r="29" spans="1:12" ht="23.25" customHeight="1" x14ac:dyDescent="0.25">
      <c r="A29" s="293" t="s">
        <v>27</v>
      </c>
      <c r="B29" s="100" t="s">
        <v>14</v>
      </c>
      <c r="C29" s="100"/>
      <c r="D29" s="15">
        <f>10+9</f>
        <v>19</v>
      </c>
      <c r="E29" s="100" t="s">
        <v>15</v>
      </c>
      <c r="F29" s="290" t="s">
        <v>89</v>
      </c>
      <c r="G29" s="290" t="s">
        <v>89</v>
      </c>
      <c r="H29" s="290" t="s">
        <v>89</v>
      </c>
      <c r="I29" s="290" t="s">
        <v>23</v>
      </c>
      <c r="J29" s="290" t="s">
        <v>24</v>
      </c>
      <c r="K29" s="296">
        <v>553500000</v>
      </c>
      <c r="L29" s="290">
        <v>100</v>
      </c>
    </row>
    <row r="30" spans="1:12" x14ac:dyDescent="0.25">
      <c r="A30" s="294"/>
      <c r="B30" s="16" t="s">
        <v>14</v>
      </c>
      <c r="C30" s="17"/>
      <c r="D30" s="18">
        <v>12.21</v>
      </c>
      <c r="E30" s="17" t="s">
        <v>19</v>
      </c>
      <c r="F30" s="291"/>
      <c r="G30" s="291"/>
      <c r="H30" s="291"/>
      <c r="I30" s="291"/>
      <c r="J30" s="291"/>
      <c r="K30" s="297"/>
      <c r="L30" s="291"/>
    </row>
    <row r="31" spans="1:12" ht="15.75" thickBot="1" x14ac:dyDescent="0.3">
      <c r="A31" s="295"/>
      <c r="B31" s="19" t="s">
        <v>14</v>
      </c>
      <c r="C31" s="19"/>
      <c r="D31" s="20">
        <f>30.09-9-10</f>
        <v>11.09</v>
      </c>
      <c r="E31" s="19" t="s">
        <v>20</v>
      </c>
      <c r="F31" s="292"/>
      <c r="G31" s="292"/>
      <c r="H31" s="292"/>
      <c r="I31" s="292"/>
      <c r="J31" s="292"/>
      <c r="K31" s="298"/>
      <c r="L31" s="292"/>
    </row>
    <row r="32" spans="1:12" ht="30.75" customHeight="1" x14ac:dyDescent="0.25">
      <c r="A32" s="293" t="s">
        <v>50</v>
      </c>
      <c r="B32" s="100" t="s">
        <v>14</v>
      </c>
      <c r="C32" s="100"/>
      <c r="D32" s="15">
        <v>13</v>
      </c>
      <c r="E32" s="100" t="s">
        <v>15</v>
      </c>
      <c r="F32" s="290" t="s">
        <v>89</v>
      </c>
      <c r="G32" s="290" t="s">
        <v>89</v>
      </c>
      <c r="H32" s="290" t="s">
        <v>89</v>
      </c>
      <c r="I32" s="290" t="s">
        <v>23</v>
      </c>
      <c r="J32" s="290" t="s">
        <v>89</v>
      </c>
      <c r="K32" s="290" t="s">
        <v>89</v>
      </c>
      <c r="L32" s="290" t="s">
        <v>89</v>
      </c>
    </row>
    <row r="33" spans="1:12" x14ac:dyDescent="0.25">
      <c r="A33" s="294"/>
      <c r="B33" s="16" t="s">
        <v>14</v>
      </c>
      <c r="C33" s="17"/>
      <c r="D33" s="18">
        <f>6+1+3.38</f>
        <v>10.379999999999999</v>
      </c>
      <c r="E33" s="17" t="s">
        <v>19</v>
      </c>
      <c r="F33" s="291"/>
      <c r="G33" s="291"/>
      <c r="H33" s="291"/>
      <c r="I33" s="291"/>
      <c r="J33" s="291"/>
      <c r="K33" s="291"/>
      <c r="L33" s="291"/>
    </row>
    <row r="34" spans="1:12" ht="15.75" thickBot="1" x14ac:dyDescent="0.3">
      <c r="A34" s="295"/>
      <c r="B34" s="19" t="s">
        <v>14</v>
      </c>
      <c r="C34" s="19"/>
      <c r="D34" s="20">
        <f>2+1+8.12</f>
        <v>11.12</v>
      </c>
      <c r="E34" s="19" t="s">
        <v>20</v>
      </c>
      <c r="F34" s="292"/>
      <c r="G34" s="292"/>
      <c r="H34" s="292"/>
      <c r="I34" s="292"/>
      <c r="J34" s="292"/>
      <c r="K34" s="292"/>
      <c r="L34" s="292"/>
    </row>
    <row r="35" spans="1:12" s="6" customFormat="1" x14ac:dyDescent="0.25">
      <c r="A35" s="293" t="s">
        <v>51</v>
      </c>
      <c r="B35" s="100" t="s">
        <v>14</v>
      </c>
      <c r="C35" s="100"/>
      <c r="D35" s="15">
        <v>0</v>
      </c>
      <c r="E35" s="100" t="s">
        <v>15</v>
      </c>
      <c r="F35" s="290" t="s">
        <v>89</v>
      </c>
      <c r="G35" s="290" t="s">
        <v>89</v>
      </c>
      <c r="H35" s="290" t="s">
        <v>89</v>
      </c>
      <c r="I35" s="290" t="s">
        <v>23</v>
      </c>
      <c r="J35" s="290" t="s">
        <v>89</v>
      </c>
      <c r="K35" s="290" t="s">
        <v>89</v>
      </c>
      <c r="L35" s="290" t="s">
        <v>89</v>
      </c>
    </row>
    <row r="36" spans="1:12" s="6" customFormat="1" x14ac:dyDescent="0.25">
      <c r="A36" s="294"/>
      <c r="B36" s="16" t="s">
        <v>14</v>
      </c>
      <c r="C36" s="17"/>
      <c r="D36" s="18">
        <v>6.3</v>
      </c>
      <c r="E36" s="17" t="s">
        <v>19</v>
      </c>
      <c r="F36" s="291"/>
      <c r="G36" s="291"/>
      <c r="H36" s="291"/>
      <c r="I36" s="291"/>
      <c r="J36" s="291"/>
      <c r="K36" s="291"/>
      <c r="L36" s="291"/>
    </row>
    <row r="37" spans="1:12" s="6" customFormat="1" ht="15.75" thickBot="1" x14ac:dyDescent="0.3">
      <c r="A37" s="295"/>
      <c r="B37" s="19" t="s">
        <v>14</v>
      </c>
      <c r="C37" s="19"/>
      <c r="D37" s="20">
        <v>14.7</v>
      </c>
      <c r="E37" s="19" t="s">
        <v>20</v>
      </c>
      <c r="F37" s="292"/>
      <c r="G37" s="292"/>
      <c r="H37" s="292"/>
      <c r="I37" s="292"/>
      <c r="J37" s="292"/>
      <c r="K37" s="292"/>
      <c r="L37" s="292"/>
    </row>
    <row r="38" spans="1:12" ht="30.75" customHeight="1" x14ac:dyDescent="0.25">
      <c r="A38" s="293" t="s">
        <v>52</v>
      </c>
      <c r="B38" s="100" t="s">
        <v>14</v>
      </c>
      <c r="C38" s="100"/>
      <c r="D38" s="15">
        <v>5</v>
      </c>
      <c r="E38" s="100" t="s">
        <v>15</v>
      </c>
      <c r="F38" s="290" t="s">
        <v>89</v>
      </c>
      <c r="G38" s="290" t="s">
        <v>89</v>
      </c>
      <c r="H38" s="290" t="s">
        <v>89</v>
      </c>
      <c r="I38" s="290" t="s">
        <v>95</v>
      </c>
      <c r="J38" s="290" t="s">
        <v>89</v>
      </c>
      <c r="K38" s="290" t="s">
        <v>89</v>
      </c>
      <c r="L38" s="290" t="s">
        <v>89</v>
      </c>
    </row>
    <row r="39" spans="1:12" x14ac:dyDescent="0.25">
      <c r="A39" s="294"/>
      <c r="B39" s="16" t="s">
        <v>14</v>
      </c>
      <c r="C39" s="17"/>
      <c r="D39" s="18">
        <v>2</v>
      </c>
      <c r="E39" s="17" t="s">
        <v>19</v>
      </c>
      <c r="F39" s="291"/>
      <c r="G39" s="291"/>
      <c r="H39" s="291"/>
      <c r="I39" s="291"/>
      <c r="J39" s="291"/>
      <c r="K39" s="291"/>
      <c r="L39" s="291"/>
    </row>
    <row r="40" spans="1:12" ht="15.75" thickBot="1" x14ac:dyDescent="0.3">
      <c r="A40" s="295"/>
      <c r="B40" s="19" t="s">
        <v>14</v>
      </c>
      <c r="C40" s="19"/>
      <c r="D40" s="20">
        <v>2</v>
      </c>
      <c r="E40" s="19" t="s">
        <v>20</v>
      </c>
      <c r="F40" s="292"/>
      <c r="G40" s="292"/>
      <c r="H40" s="292"/>
      <c r="I40" s="292"/>
      <c r="J40" s="292"/>
      <c r="K40" s="292"/>
      <c r="L40" s="292"/>
    </row>
    <row r="41" spans="1:12" ht="30.75" customHeight="1" x14ac:dyDescent="0.25">
      <c r="A41" s="293" t="s">
        <v>53</v>
      </c>
      <c r="B41" s="100" t="s">
        <v>14</v>
      </c>
      <c r="C41" s="100"/>
      <c r="D41" s="15">
        <v>2.4</v>
      </c>
      <c r="E41" s="100" t="s">
        <v>15</v>
      </c>
      <c r="F41" s="290" t="s">
        <v>89</v>
      </c>
      <c r="G41" s="290" t="s">
        <v>89</v>
      </c>
      <c r="H41" s="290" t="s">
        <v>89</v>
      </c>
      <c r="I41" s="290" t="s">
        <v>89</v>
      </c>
      <c r="J41" s="290" t="s">
        <v>24</v>
      </c>
      <c r="K41" s="296">
        <v>225960335.90000001</v>
      </c>
      <c r="L41" s="290">
        <v>100</v>
      </c>
    </row>
    <row r="42" spans="1:12" x14ac:dyDescent="0.25">
      <c r="A42" s="294"/>
      <c r="B42" s="16" t="s">
        <v>14</v>
      </c>
      <c r="C42" s="17"/>
      <c r="D42" s="18">
        <f>7.93+15.8</f>
        <v>23.73</v>
      </c>
      <c r="E42" s="17" t="s">
        <v>19</v>
      </c>
      <c r="F42" s="291"/>
      <c r="G42" s="291"/>
      <c r="H42" s="291"/>
      <c r="I42" s="291"/>
      <c r="J42" s="291"/>
      <c r="K42" s="297"/>
      <c r="L42" s="291"/>
    </row>
    <row r="43" spans="1:12" ht="15.75" thickBot="1" x14ac:dyDescent="0.3">
      <c r="A43" s="295"/>
      <c r="B43" s="19" t="s">
        <v>14</v>
      </c>
      <c r="C43" s="19"/>
      <c r="D43" s="20">
        <v>3.95</v>
      </c>
      <c r="E43" s="19" t="s">
        <v>20</v>
      </c>
      <c r="F43" s="292"/>
      <c r="G43" s="292"/>
      <c r="H43" s="292"/>
      <c r="I43" s="292"/>
      <c r="J43" s="292"/>
      <c r="K43" s="298"/>
      <c r="L43" s="292"/>
    </row>
    <row r="44" spans="1:12" ht="30.75" customHeight="1" x14ac:dyDescent="0.25">
      <c r="A44" s="293" t="s">
        <v>54</v>
      </c>
      <c r="B44" s="100" t="s">
        <v>14</v>
      </c>
      <c r="C44" s="100"/>
      <c r="D44" s="15">
        <f>2.2+11.4</f>
        <v>13.600000000000001</v>
      </c>
      <c r="E44" s="100" t="s">
        <v>15</v>
      </c>
      <c r="F44" s="290" t="s">
        <v>89</v>
      </c>
      <c r="G44" s="290" t="s">
        <v>89</v>
      </c>
      <c r="H44" s="290" t="s">
        <v>89</v>
      </c>
      <c r="I44" s="290" t="s">
        <v>96</v>
      </c>
      <c r="J44" s="290" t="s">
        <v>28</v>
      </c>
      <c r="K44" s="296">
        <v>18282095804.5</v>
      </c>
      <c r="L44" s="290">
        <v>100</v>
      </c>
    </row>
    <row r="45" spans="1:12" x14ac:dyDescent="0.25">
      <c r="A45" s="294"/>
      <c r="B45" s="16" t="s">
        <v>14</v>
      </c>
      <c r="C45" s="17"/>
      <c r="D45" s="18">
        <f>33.57-2.2-11.4</f>
        <v>19.97</v>
      </c>
      <c r="E45" s="17" t="s">
        <v>19</v>
      </c>
      <c r="F45" s="291"/>
      <c r="G45" s="291"/>
      <c r="H45" s="291"/>
      <c r="I45" s="291"/>
      <c r="J45" s="291"/>
      <c r="K45" s="297"/>
      <c r="L45" s="291"/>
    </row>
    <row r="46" spans="1:12" ht="15.75" thickBot="1" x14ac:dyDescent="0.3">
      <c r="A46" s="295"/>
      <c r="B46" s="19" t="s">
        <v>14</v>
      </c>
      <c r="C46" s="19"/>
      <c r="D46" s="20">
        <f>27.38</f>
        <v>27.38</v>
      </c>
      <c r="E46" s="19" t="s">
        <v>20</v>
      </c>
      <c r="F46" s="292"/>
      <c r="G46" s="292"/>
      <c r="H46" s="292"/>
      <c r="I46" s="292"/>
      <c r="J46" s="292"/>
      <c r="K46" s="298"/>
      <c r="L46" s="292"/>
    </row>
    <row r="47" spans="1:12" ht="30.75" customHeight="1" x14ac:dyDescent="0.25">
      <c r="A47" s="293" t="s">
        <v>55</v>
      </c>
      <c r="B47" s="100" t="s">
        <v>14</v>
      </c>
      <c r="C47" s="100"/>
      <c r="D47" s="15">
        <f>56+6.08</f>
        <v>62.08</v>
      </c>
      <c r="E47" s="100" t="s">
        <v>15</v>
      </c>
      <c r="F47" s="290" t="s">
        <v>29</v>
      </c>
      <c r="G47" s="290" t="s">
        <v>89</v>
      </c>
      <c r="H47" s="290" t="s">
        <v>89</v>
      </c>
      <c r="I47" s="290" t="s">
        <v>89</v>
      </c>
      <c r="J47" s="290" t="s">
        <v>22</v>
      </c>
      <c r="K47" s="296">
        <v>54815848835.5</v>
      </c>
      <c r="L47" s="290">
        <v>100</v>
      </c>
    </row>
    <row r="48" spans="1:12" x14ac:dyDescent="0.25">
      <c r="A48" s="294"/>
      <c r="B48" s="16" t="s">
        <v>14</v>
      </c>
      <c r="C48" s="17"/>
      <c r="D48" s="18">
        <f>20+24.21-10</f>
        <v>34.21</v>
      </c>
      <c r="E48" s="17" t="s">
        <v>19</v>
      </c>
      <c r="F48" s="291"/>
      <c r="G48" s="291"/>
      <c r="H48" s="291"/>
      <c r="I48" s="291"/>
      <c r="J48" s="291"/>
      <c r="K48" s="297"/>
      <c r="L48" s="291"/>
    </row>
    <row r="49" spans="1:12" ht="15.75" thickBot="1" x14ac:dyDescent="0.3">
      <c r="A49" s="295"/>
      <c r="B49" s="19" t="s">
        <v>14</v>
      </c>
      <c r="C49" s="19"/>
      <c r="D49" s="20">
        <f>6.92+67.94-46</f>
        <v>28.86</v>
      </c>
      <c r="E49" s="19" t="s">
        <v>20</v>
      </c>
      <c r="F49" s="292"/>
      <c r="G49" s="292"/>
      <c r="H49" s="292"/>
      <c r="I49" s="292"/>
      <c r="J49" s="292"/>
      <c r="K49" s="298"/>
      <c r="L49" s="292"/>
    </row>
    <row r="50" spans="1:12" ht="30.75" customHeight="1" x14ac:dyDescent="0.25">
      <c r="A50" s="293" t="s">
        <v>56</v>
      </c>
      <c r="B50" s="100" t="s">
        <v>14</v>
      </c>
      <c r="C50" s="100"/>
      <c r="D50" s="15">
        <f>23.7+0.5</f>
        <v>24.2</v>
      </c>
      <c r="E50" s="100" t="s">
        <v>15</v>
      </c>
      <c r="F50" s="290" t="s">
        <v>89</v>
      </c>
      <c r="G50" s="290" t="s">
        <v>89</v>
      </c>
      <c r="H50" s="290" t="s">
        <v>89</v>
      </c>
      <c r="I50" s="290" t="s">
        <v>89</v>
      </c>
      <c r="J50" s="290" t="s">
        <v>30</v>
      </c>
      <c r="K50" s="296">
        <v>20333484712</v>
      </c>
      <c r="L50" s="290">
        <v>100</v>
      </c>
    </row>
    <row r="51" spans="1:12" x14ac:dyDescent="0.25">
      <c r="A51" s="294"/>
      <c r="B51" s="16" t="s">
        <v>14</v>
      </c>
      <c r="C51" s="17"/>
      <c r="D51" s="18">
        <f>7.47-7.47</f>
        <v>0</v>
      </c>
      <c r="E51" s="17" t="s">
        <v>19</v>
      </c>
      <c r="F51" s="291"/>
      <c r="G51" s="291"/>
      <c r="H51" s="291"/>
      <c r="I51" s="291"/>
      <c r="J51" s="291"/>
      <c r="K51" s="297"/>
      <c r="L51" s="291"/>
    </row>
    <row r="52" spans="1:12" ht="15.75" thickBot="1" x14ac:dyDescent="0.3">
      <c r="A52" s="295"/>
      <c r="B52" s="19" t="s">
        <v>14</v>
      </c>
      <c r="C52" s="19"/>
      <c r="D52" s="20">
        <f>16.23-16.23</f>
        <v>0</v>
      </c>
      <c r="E52" s="19" t="s">
        <v>20</v>
      </c>
      <c r="F52" s="292"/>
      <c r="G52" s="292"/>
      <c r="H52" s="292"/>
      <c r="I52" s="292"/>
      <c r="J52" s="292"/>
      <c r="K52" s="298"/>
      <c r="L52" s="292"/>
    </row>
    <row r="53" spans="1:12" ht="27" customHeight="1" x14ac:dyDescent="0.25">
      <c r="A53" s="293" t="s">
        <v>79</v>
      </c>
      <c r="B53" s="100" t="s">
        <v>14</v>
      </c>
      <c r="C53" s="100"/>
      <c r="D53" s="15">
        <v>0</v>
      </c>
      <c r="E53" s="100" t="s">
        <v>15</v>
      </c>
      <c r="F53" s="290" t="s">
        <v>89</v>
      </c>
      <c r="G53" s="290" t="s">
        <v>89</v>
      </c>
      <c r="H53" s="290" t="s">
        <v>89</v>
      </c>
      <c r="I53" s="290" t="s">
        <v>23</v>
      </c>
      <c r="J53" s="290" t="s">
        <v>89</v>
      </c>
      <c r="K53" s="290" t="s">
        <v>89</v>
      </c>
      <c r="L53" s="290" t="s">
        <v>89</v>
      </c>
    </row>
    <row r="54" spans="1:12" x14ac:dyDescent="0.25">
      <c r="A54" s="294"/>
      <c r="B54" s="16" t="s">
        <v>14</v>
      </c>
      <c r="C54" s="17"/>
      <c r="D54" s="18">
        <v>0</v>
      </c>
      <c r="E54" s="17" t="s">
        <v>19</v>
      </c>
      <c r="F54" s="291"/>
      <c r="G54" s="291"/>
      <c r="H54" s="291"/>
      <c r="I54" s="291"/>
      <c r="J54" s="291"/>
      <c r="K54" s="291"/>
      <c r="L54" s="291"/>
    </row>
    <row r="55" spans="1:12" ht="15.75" thickBot="1" x14ac:dyDescent="0.3">
      <c r="A55" s="295"/>
      <c r="B55" s="19" t="s">
        <v>14</v>
      </c>
      <c r="C55" s="19"/>
      <c r="D55" s="20">
        <v>0</v>
      </c>
      <c r="E55" s="19" t="s">
        <v>20</v>
      </c>
      <c r="F55" s="292"/>
      <c r="G55" s="292"/>
      <c r="H55" s="292"/>
      <c r="I55" s="292"/>
      <c r="J55" s="292"/>
      <c r="K55" s="292"/>
      <c r="L55" s="292"/>
    </row>
    <row r="56" spans="1:12" ht="30.75" customHeight="1" x14ac:dyDescent="0.25">
      <c r="A56" s="293" t="s">
        <v>78</v>
      </c>
      <c r="B56" s="100" t="s">
        <v>14</v>
      </c>
      <c r="C56" s="100"/>
      <c r="D56" s="15">
        <v>4</v>
      </c>
      <c r="E56" s="100" t="s">
        <v>15</v>
      </c>
      <c r="F56" s="290" t="s">
        <v>89</v>
      </c>
      <c r="G56" s="290" t="s">
        <v>89</v>
      </c>
      <c r="H56" s="290" t="s">
        <v>89</v>
      </c>
      <c r="I56" s="290" t="s">
        <v>23</v>
      </c>
      <c r="J56" s="290" t="s">
        <v>31</v>
      </c>
      <c r="K56" s="302">
        <v>4119000000</v>
      </c>
      <c r="L56" s="290">
        <v>100</v>
      </c>
    </row>
    <row r="57" spans="1:12" x14ac:dyDescent="0.25">
      <c r="A57" s="294"/>
      <c r="B57" s="16" t="s">
        <v>14</v>
      </c>
      <c r="C57" s="17"/>
      <c r="D57" s="18">
        <v>11.83</v>
      </c>
      <c r="E57" s="17" t="s">
        <v>19</v>
      </c>
      <c r="F57" s="291"/>
      <c r="G57" s="291"/>
      <c r="H57" s="291"/>
      <c r="I57" s="291"/>
      <c r="J57" s="291"/>
      <c r="K57" s="303"/>
      <c r="L57" s="291"/>
    </row>
    <row r="58" spans="1:12" ht="15.75" thickBot="1" x14ac:dyDescent="0.3">
      <c r="A58" s="295"/>
      <c r="B58" s="19" t="s">
        <v>14</v>
      </c>
      <c r="C58" s="19"/>
      <c r="D58" s="20">
        <f>5.07-4</f>
        <v>1.0700000000000003</v>
      </c>
      <c r="E58" s="19" t="s">
        <v>20</v>
      </c>
      <c r="F58" s="292"/>
      <c r="G58" s="292"/>
      <c r="H58" s="292"/>
      <c r="I58" s="292"/>
      <c r="J58" s="292"/>
      <c r="K58" s="304"/>
      <c r="L58" s="292"/>
    </row>
    <row r="59" spans="1:12" ht="19.5" customHeight="1" x14ac:dyDescent="0.25">
      <c r="A59" s="293" t="s">
        <v>817</v>
      </c>
      <c r="B59" s="100" t="s">
        <v>14</v>
      </c>
      <c r="C59" s="100"/>
      <c r="D59" s="15">
        <f>24+5.3</f>
        <v>29.3</v>
      </c>
      <c r="E59" s="100" t="s">
        <v>15</v>
      </c>
      <c r="F59" s="290" t="s">
        <v>29</v>
      </c>
      <c r="G59" s="290" t="s">
        <v>89</v>
      </c>
      <c r="H59" s="290" t="s">
        <v>89</v>
      </c>
      <c r="I59" s="290" t="s">
        <v>23</v>
      </c>
      <c r="J59" s="290" t="s">
        <v>24</v>
      </c>
      <c r="K59" s="296">
        <v>251739409</v>
      </c>
      <c r="L59" s="290">
        <v>100</v>
      </c>
    </row>
    <row r="60" spans="1:12" ht="21.75" customHeight="1" x14ac:dyDescent="0.25">
      <c r="A60" s="294"/>
      <c r="B60" s="16"/>
      <c r="C60" s="17" t="s">
        <v>14</v>
      </c>
      <c r="D60" s="18">
        <v>0.20399999999999999</v>
      </c>
      <c r="E60" s="17" t="s">
        <v>15</v>
      </c>
      <c r="F60" s="291"/>
      <c r="G60" s="291"/>
      <c r="H60" s="291"/>
      <c r="I60" s="291"/>
      <c r="J60" s="291"/>
      <c r="K60" s="297"/>
      <c r="L60" s="291"/>
    </row>
    <row r="61" spans="1:12" x14ac:dyDescent="0.25">
      <c r="A61" s="294"/>
      <c r="B61" s="16" t="s">
        <v>14</v>
      </c>
      <c r="C61" s="17"/>
      <c r="D61" s="18">
        <f>4+2+55.8</f>
        <v>61.8</v>
      </c>
      <c r="E61" s="17" t="s">
        <v>19</v>
      </c>
      <c r="F61" s="291"/>
      <c r="G61" s="291"/>
      <c r="H61" s="291"/>
      <c r="I61" s="291"/>
      <c r="J61" s="291"/>
      <c r="K61" s="297"/>
      <c r="L61" s="291"/>
    </row>
    <row r="62" spans="1:12" ht="15.75" thickBot="1" x14ac:dyDescent="0.3">
      <c r="A62" s="295"/>
      <c r="B62" s="19" t="s">
        <v>14</v>
      </c>
      <c r="C62" s="19"/>
      <c r="D62" s="20">
        <v>32.9</v>
      </c>
      <c r="E62" s="19" t="s">
        <v>20</v>
      </c>
      <c r="F62" s="292"/>
      <c r="G62" s="292"/>
      <c r="H62" s="292"/>
      <c r="I62" s="292"/>
      <c r="J62" s="292"/>
      <c r="K62" s="298"/>
      <c r="L62" s="292"/>
    </row>
    <row r="63" spans="1:12" ht="30.75" customHeight="1" x14ac:dyDescent="0.25">
      <c r="A63" s="293" t="s">
        <v>57</v>
      </c>
      <c r="B63" s="100" t="s">
        <v>14</v>
      </c>
      <c r="C63" s="100"/>
      <c r="D63" s="15">
        <f>28+1.6+9.5+18</f>
        <v>57.1</v>
      </c>
      <c r="E63" s="100" t="s">
        <v>15</v>
      </c>
      <c r="F63" s="290" t="s">
        <v>89</v>
      </c>
      <c r="G63" s="290" t="s">
        <v>89</v>
      </c>
      <c r="H63" s="290" t="s">
        <v>89</v>
      </c>
      <c r="I63" s="290" t="s">
        <v>89</v>
      </c>
      <c r="J63" s="290" t="s">
        <v>32</v>
      </c>
      <c r="K63" s="296">
        <v>7227223323.21</v>
      </c>
      <c r="L63" s="290">
        <v>100</v>
      </c>
    </row>
    <row r="64" spans="1:12" x14ac:dyDescent="0.25">
      <c r="A64" s="294"/>
      <c r="B64" s="16" t="s">
        <v>14</v>
      </c>
      <c r="C64" s="17"/>
      <c r="D64" s="18">
        <f>6+8+54.34-18-1.6-9.5</f>
        <v>39.24</v>
      </c>
      <c r="E64" s="17" t="s">
        <v>19</v>
      </c>
      <c r="F64" s="291"/>
      <c r="G64" s="291"/>
      <c r="H64" s="291"/>
      <c r="I64" s="291"/>
      <c r="J64" s="291"/>
      <c r="K64" s="297"/>
      <c r="L64" s="291"/>
    </row>
    <row r="65" spans="1:12" ht="15.75" thickBot="1" x14ac:dyDescent="0.3">
      <c r="A65" s="295"/>
      <c r="B65" s="19" t="s">
        <v>14</v>
      </c>
      <c r="C65" s="19"/>
      <c r="D65" s="20">
        <f>6+27.56</f>
        <v>33.56</v>
      </c>
      <c r="E65" s="19" t="s">
        <v>20</v>
      </c>
      <c r="F65" s="292"/>
      <c r="G65" s="292"/>
      <c r="H65" s="292"/>
      <c r="I65" s="292"/>
      <c r="J65" s="292"/>
      <c r="K65" s="298"/>
      <c r="L65" s="292"/>
    </row>
    <row r="66" spans="1:12" ht="30.75" customHeight="1" x14ac:dyDescent="0.25">
      <c r="A66" s="293" t="s">
        <v>80</v>
      </c>
      <c r="B66" s="100" t="s">
        <v>14</v>
      </c>
      <c r="C66" s="100"/>
      <c r="D66" s="15">
        <f>9.63+10.9</f>
        <v>20.53</v>
      </c>
      <c r="E66" s="100" t="s">
        <v>15</v>
      </c>
      <c r="F66" s="290" t="s">
        <v>89</v>
      </c>
      <c r="G66" s="290" t="s">
        <v>89</v>
      </c>
      <c r="H66" s="290" t="s">
        <v>89</v>
      </c>
      <c r="I66" s="290" t="s">
        <v>97</v>
      </c>
      <c r="J66" s="290" t="s">
        <v>33</v>
      </c>
      <c r="K66" s="296">
        <v>631911654.39999998</v>
      </c>
      <c r="L66" s="290">
        <v>100</v>
      </c>
    </row>
    <row r="67" spans="1:12" ht="21" customHeight="1" x14ac:dyDescent="0.25">
      <c r="A67" s="294"/>
      <c r="B67" s="16"/>
      <c r="C67" s="17" t="s">
        <v>14</v>
      </c>
      <c r="D67" s="18">
        <v>0.373</v>
      </c>
      <c r="E67" s="17" t="s">
        <v>15</v>
      </c>
      <c r="F67" s="291"/>
      <c r="G67" s="291"/>
      <c r="H67" s="291"/>
      <c r="I67" s="291"/>
      <c r="J67" s="291"/>
      <c r="K67" s="297"/>
      <c r="L67" s="291"/>
    </row>
    <row r="68" spans="1:12" x14ac:dyDescent="0.25">
      <c r="A68" s="294"/>
      <c r="B68" s="16" t="s">
        <v>14</v>
      </c>
      <c r="C68" s="17"/>
      <c r="D68" s="18">
        <f>32.39</f>
        <v>32.39</v>
      </c>
      <c r="E68" s="17" t="s">
        <v>19</v>
      </c>
      <c r="F68" s="291"/>
      <c r="G68" s="291"/>
      <c r="H68" s="291"/>
      <c r="I68" s="291"/>
      <c r="J68" s="291"/>
      <c r="K68" s="297"/>
      <c r="L68" s="291"/>
    </row>
    <row r="69" spans="1:12" ht="15.75" thickBot="1" x14ac:dyDescent="0.3">
      <c r="A69" s="295"/>
      <c r="B69" s="19" t="s">
        <v>14</v>
      </c>
      <c r="C69" s="19"/>
      <c r="D69" s="20">
        <v>16.260000000000002</v>
      </c>
      <c r="E69" s="19" t="s">
        <v>20</v>
      </c>
      <c r="F69" s="292"/>
      <c r="G69" s="292"/>
      <c r="H69" s="292"/>
      <c r="I69" s="292"/>
      <c r="J69" s="292"/>
      <c r="K69" s="298"/>
      <c r="L69" s="292"/>
    </row>
    <row r="70" spans="1:12" ht="30.75" customHeight="1" x14ac:dyDescent="0.25">
      <c r="A70" s="293" t="s">
        <v>58</v>
      </c>
      <c r="B70" s="100" t="s">
        <v>14</v>
      </c>
      <c r="C70" s="100"/>
      <c r="D70" s="15">
        <f>25+4.5+7.5</f>
        <v>37</v>
      </c>
      <c r="E70" s="100" t="s">
        <v>15</v>
      </c>
      <c r="F70" s="290" t="s">
        <v>89</v>
      </c>
      <c r="G70" s="290" t="s">
        <v>89</v>
      </c>
      <c r="H70" s="290" t="s">
        <v>89</v>
      </c>
      <c r="I70" s="290" t="s">
        <v>89</v>
      </c>
      <c r="J70" s="290" t="s">
        <v>34</v>
      </c>
      <c r="K70" s="296">
        <v>3050627322</v>
      </c>
      <c r="L70" s="290">
        <v>100</v>
      </c>
    </row>
    <row r="71" spans="1:12" x14ac:dyDescent="0.25">
      <c r="A71" s="294"/>
      <c r="B71" s="16" t="s">
        <v>14</v>
      </c>
      <c r="C71" s="17"/>
      <c r="D71" s="18">
        <f>2+3+27.96-4.5-7.5</f>
        <v>20.96</v>
      </c>
      <c r="E71" s="17" t="s">
        <v>19</v>
      </c>
      <c r="F71" s="291"/>
      <c r="G71" s="291"/>
      <c r="H71" s="291"/>
      <c r="I71" s="291"/>
      <c r="J71" s="291"/>
      <c r="K71" s="297"/>
      <c r="L71" s="291"/>
    </row>
    <row r="72" spans="1:12" ht="15.75" thickBot="1" x14ac:dyDescent="0.3">
      <c r="A72" s="295"/>
      <c r="B72" s="19" t="s">
        <v>14</v>
      </c>
      <c r="C72" s="19"/>
      <c r="D72" s="20">
        <f>54.94</f>
        <v>54.94</v>
      </c>
      <c r="E72" s="19" t="s">
        <v>20</v>
      </c>
      <c r="F72" s="292"/>
      <c r="G72" s="292"/>
      <c r="H72" s="292"/>
      <c r="I72" s="292"/>
      <c r="J72" s="292"/>
      <c r="K72" s="298"/>
      <c r="L72" s="292"/>
    </row>
    <row r="73" spans="1:12" ht="30.75" customHeight="1" x14ac:dyDescent="0.25">
      <c r="A73" s="293" t="s">
        <v>81</v>
      </c>
      <c r="B73" s="100" t="s">
        <v>14</v>
      </c>
      <c r="C73" s="100"/>
      <c r="D73" s="15">
        <f>17.9+1.27+5</f>
        <v>24.169999999999998</v>
      </c>
      <c r="E73" s="100" t="s">
        <v>15</v>
      </c>
      <c r="F73" s="290" t="s">
        <v>16</v>
      </c>
      <c r="G73" s="290" t="s">
        <v>89</v>
      </c>
      <c r="H73" s="290" t="s">
        <v>89</v>
      </c>
      <c r="I73" s="290" t="s">
        <v>97</v>
      </c>
      <c r="J73" s="290" t="s">
        <v>22</v>
      </c>
      <c r="K73" s="296">
        <v>2227764757</v>
      </c>
      <c r="L73" s="290">
        <v>100</v>
      </c>
    </row>
    <row r="74" spans="1:12" x14ac:dyDescent="0.25">
      <c r="A74" s="294"/>
      <c r="B74" s="16" t="s">
        <v>14</v>
      </c>
      <c r="C74" s="17"/>
      <c r="D74" s="18">
        <f>4+6.53</f>
        <v>10.530000000000001</v>
      </c>
      <c r="E74" s="17" t="s">
        <v>19</v>
      </c>
      <c r="F74" s="291"/>
      <c r="G74" s="291"/>
      <c r="H74" s="291"/>
      <c r="I74" s="291"/>
      <c r="J74" s="291"/>
      <c r="K74" s="297"/>
      <c r="L74" s="291"/>
    </row>
    <row r="75" spans="1:12" ht="15.75" thickBot="1" x14ac:dyDescent="0.3">
      <c r="A75" s="295"/>
      <c r="B75" s="19" t="s">
        <v>14</v>
      </c>
      <c r="C75" s="19"/>
      <c r="D75" s="20">
        <f>6.1+1.2-5</f>
        <v>2.2999999999999998</v>
      </c>
      <c r="E75" s="19" t="s">
        <v>20</v>
      </c>
      <c r="F75" s="292"/>
      <c r="G75" s="292"/>
      <c r="H75" s="292"/>
      <c r="I75" s="292"/>
      <c r="J75" s="292"/>
      <c r="K75" s="298"/>
      <c r="L75" s="292"/>
    </row>
    <row r="76" spans="1:12" ht="30.75" customHeight="1" x14ac:dyDescent="0.25">
      <c r="A76" s="293" t="s">
        <v>82</v>
      </c>
      <c r="B76" s="100" t="s">
        <v>14</v>
      </c>
      <c r="C76" s="100"/>
      <c r="D76" s="15">
        <v>8.6999999999999993</v>
      </c>
      <c r="E76" s="100" t="s">
        <v>15</v>
      </c>
      <c r="F76" s="290" t="s">
        <v>89</v>
      </c>
      <c r="G76" s="290" t="s">
        <v>89</v>
      </c>
      <c r="H76" s="290" t="s">
        <v>89</v>
      </c>
      <c r="I76" s="290" t="s">
        <v>98</v>
      </c>
      <c r="J76" s="290" t="s">
        <v>35</v>
      </c>
      <c r="K76" s="296">
        <v>223000000</v>
      </c>
      <c r="L76" s="290">
        <v>100</v>
      </c>
    </row>
    <row r="77" spans="1:12" x14ac:dyDescent="0.25">
      <c r="A77" s="294"/>
      <c r="B77" s="16" t="s">
        <v>14</v>
      </c>
      <c r="C77" s="17"/>
      <c r="D77" s="18">
        <v>0</v>
      </c>
      <c r="E77" s="17" t="s">
        <v>19</v>
      </c>
      <c r="F77" s="291"/>
      <c r="G77" s="291"/>
      <c r="H77" s="291"/>
      <c r="I77" s="291"/>
      <c r="J77" s="291"/>
      <c r="K77" s="297"/>
      <c r="L77" s="291"/>
    </row>
    <row r="78" spans="1:12" ht="15.75" thickBot="1" x14ac:dyDescent="0.3">
      <c r="A78" s="295"/>
      <c r="B78" s="19" t="s">
        <v>14</v>
      </c>
      <c r="C78" s="19"/>
      <c r="D78" s="20">
        <v>0</v>
      </c>
      <c r="E78" s="19" t="s">
        <v>20</v>
      </c>
      <c r="F78" s="292"/>
      <c r="G78" s="292"/>
      <c r="H78" s="292"/>
      <c r="I78" s="292"/>
      <c r="J78" s="292"/>
      <c r="K78" s="298"/>
      <c r="L78" s="292"/>
    </row>
    <row r="79" spans="1:12" ht="30.75" customHeight="1" x14ac:dyDescent="0.25">
      <c r="A79" s="293" t="s">
        <v>59</v>
      </c>
      <c r="B79" s="100" t="s">
        <v>14</v>
      </c>
      <c r="C79" s="100"/>
      <c r="D79" s="15">
        <f>43.2</f>
        <v>43.2</v>
      </c>
      <c r="E79" s="100" t="s">
        <v>15</v>
      </c>
      <c r="F79" s="290" t="s">
        <v>89</v>
      </c>
      <c r="G79" s="290" t="s">
        <v>89</v>
      </c>
      <c r="H79" s="290" t="s">
        <v>89</v>
      </c>
      <c r="I79" s="290" t="s">
        <v>99</v>
      </c>
      <c r="J79" s="290" t="s">
        <v>91</v>
      </c>
      <c r="K79" s="296">
        <v>5074502006</v>
      </c>
      <c r="L79" s="290">
        <v>100</v>
      </c>
    </row>
    <row r="80" spans="1:12" ht="30.75" customHeight="1" x14ac:dyDescent="0.25">
      <c r="A80" s="294"/>
      <c r="B80" s="16"/>
      <c r="C80" s="17" t="s">
        <v>14</v>
      </c>
      <c r="D80" s="18">
        <v>1.92</v>
      </c>
      <c r="E80" s="17" t="s">
        <v>15</v>
      </c>
      <c r="F80" s="291"/>
      <c r="G80" s="291"/>
      <c r="H80" s="291"/>
      <c r="I80" s="291"/>
      <c r="J80" s="291"/>
      <c r="K80" s="297"/>
      <c r="L80" s="291"/>
    </row>
    <row r="81" spans="1:12" x14ac:dyDescent="0.25">
      <c r="A81" s="294"/>
      <c r="B81" s="16" t="s">
        <v>14</v>
      </c>
      <c r="C81" s="17"/>
      <c r="D81" s="18">
        <f>36.25-30</f>
        <v>6.25</v>
      </c>
      <c r="E81" s="17" t="s">
        <v>19</v>
      </c>
      <c r="F81" s="291"/>
      <c r="G81" s="291"/>
      <c r="H81" s="291"/>
      <c r="I81" s="291"/>
      <c r="J81" s="291"/>
      <c r="K81" s="297"/>
      <c r="L81" s="291"/>
    </row>
    <row r="82" spans="1:12" ht="15.75" thickBot="1" x14ac:dyDescent="0.3">
      <c r="A82" s="295"/>
      <c r="B82" s="19" t="s">
        <v>14</v>
      </c>
      <c r="C82" s="19"/>
      <c r="D82" s="20">
        <f>62.65-13.2</f>
        <v>49.45</v>
      </c>
      <c r="E82" s="19" t="s">
        <v>20</v>
      </c>
      <c r="F82" s="292"/>
      <c r="G82" s="292"/>
      <c r="H82" s="292"/>
      <c r="I82" s="292"/>
      <c r="J82" s="292"/>
      <c r="K82" s="298"/>
      <c r="L82" s="292"/>
    </row>
    <row r="83" spans="1:12" ht="30.75" customHeight="1" x14ac:dyDescent="0.25">
      <c r="A83" s="293" t="s">
        <v>60</v>
      </c>
      <c r="B83" s="100" t="s">
        <v>14</v>
      </c>
      <c r="C83" s="100"/>
      <c r="D83" s="15">
        <v>18</v>
      </c>
      <c r="E83" s="100" t="s">
        <v>15</v>
      </c>
      <c r="F83" s="290" t="s">
        <v>89</v>
      </c>
      <c r="G83" s="290" t="s">
        <v>89</v>
      </c>
      <c r="H83" s="290" t="s">
        <v>89</v>
      </c>
      <c r="I83" s="290" t="s">
        <v>89</v>
      </c>
      <c r="J83" s="290" t="s">
        <v>36</v>
      </c>
      <c r="K83" s="302">
        <v>2048000000</v>
      </c>
      <c r="L83" s="290">
        <v>100</v>
      </c>
    </row>
    <row r="84" spans="1:12" x14ac:dyDescent="0.25">
      <c r="A84" s="294"/>
      <c r="B84" s="16" t="s">
        <v>14</v>
      </c>
      <c r="C84" s="17"/>
      <c r="D84" s="18">
        <f>4.86</f>
        <v>4.8600000000000003</v>
      </c>
      <c r="E84" s="17" t="s">
        <v>19</v>
      </c>
      <c r="F84" s="291"/>
      <c r="G84" s="291"/>
      <c r="H84" s="291"/>
      <c r="I84" s="291"/>
      <c r="J84" s="291"/>
      <c r="K84" s="303"/>
      <c r="L84" s="291"/>
    </row>
    <row r="85" spans="1:12" ht="15.75" thickBot="1" x14ac:dyDescent="0.3">
      <c r="A85" s="295"/>
      <c r="B85" s="19" t="s">
        <v>14</v>
      </c>
      <c r="C85" s="19"/>
      <c r="D85" s="20">
        <f>35.49-18</f>
        <v>17.490000000000002</v>
      </c>
      <c r="E85" s="19" t="s">
        <v>20</v>
      </c>
      <c r="F85" s="292"/>
      <c r="G85" s="292"/>
      <c r="H85" s="292"/>
      <c r="I85" s="292"/>
      <c r="J85" s="292"/>
      <c r="K85" s="304"/>
      <c r="L85" s="292"/>
    </row>
    <row r="86" spans="1:12" ht="30.75" customHeight="1" x14ac:dyDescent="0.25">
      <c r="A86" s="293" t="s">
        <v>100</v>
      </c>
      <c r="B86" s="100" t="s">
        <v>14</v>
      </c>
      <c r="C86" s="100"/>
      <c r="D86" s="15">
        <v>0</v>
      </c>
      <c r="E86" s="100" t="s">
        <v>15</v>
      </c>
      <c r="F86" s="290" t="s">
        <v>89</v>
      </c>
      <c r="G86" s="290" t="s">
        <v>89</v>
      </c>
      <c r="H86" s="290" t="s">
        <v>89</v>
      </c>
      <c r="I86" s="290" t="s">
        <v>23</v>
      </c>
      <c r="J86" s="290" t="s">
        <v>89</v>
      </c>
      <c r="K86" s="290" t="s">
        <v>89</v>
      </c>
      <c r="L86" s="290" t="s">
        <v>89</v>
      </c>
    </row>
    <row r="87" spans="1:12" x14ac:dyDescent="0.25">
      <c r="A87" s="294"/>
      <c r="B87" s="16" t="s">
        <v>14</v>
      </c>
      <c r="C87" s="17"/>
      <c r="D87" s="18">
        <v>0</v>
      </c>
      <c r="E87" s="17" t="s">
        <v>19</v>
      </c>
      <c r="F87" s="291"/>
      <c r="G87" s="291"/>
      <c r="H87" s="291"/>
      <c r="I87" s="291"/>
      <c r="J87" s="291"/>
      <c r="K87" s="291"/>
      <c r="L87" s="291"/>
    </row>
    <row r="88" spans="1:12" ht="15.75" thickBot="1" x14ac:dyDescent="0.3">
      <c r="A88" s="295"/>
      <c r="B88" s="19" t="s">
        <v>14</v>
      </c>
      <c r="C88" s="19"/>
      <c r="D88" s="20">
        <v>0</v>
      </c>
      <c r="E88" s="19" t="s">
        <v>20</v>
      </c>
      <c r="F88" s="292"/>
      <c r="G88" s="292"/>
      <c r="H88" s="292"/>
      <c r="I88" s="292"/>
      <c r="J88" s="292"/>
      <c r="K88" s="292"/>
      <c r="L88" s="292"/>
    </row>
    <row r="89" spans="1:12" ht="30.75" customHeight="1" x14ac:dyDescent="0.25">
      <c r="A89" s="293" t="s">
        <v>61</v>
      </c>
      <c r="B89" s="100" t="s">
        <v>14</v>
      </c>
      <c r="C89" s="100"/>
      <c r="D89" s="15">
        <v>5.25</v>
      </c>
      <c r="E89" s="100" t="s">
        <v>15</v>
      </c>
      <c r="F89" s="290" t="s">
        <v>89</v>
      </c>
      <c r="G89" s="290" t="s">
        <v>89</v>
      </c>
      <c r="H89" s="290" t="s">
        <v>89</v>
      </c>
      <c r="I89" s="290" t="s">
        <v>23</v>
      </c>
      <c r="J89" s="290" t="s">
        <v>92</v>
      </c>
      <c r="K89" s="305">
        <f>25000000*5.25</f>
        <v>131250000</v>
      </c>
      <c r="L89" s="290">
        <v>100</v>
      </c>
    </row>
    <row r="90" spans="1:12" x14ac:dyDescent="0.25">
      <c r="A90" s="294"/>
      <c r="B90" s="16" t="s">
        <v>14</v>
      </c>
      <c r="C90" s="17"/>
      <c r="D90" s="18">
        <v>1.75</v>
      </c>
      <c r="E90" s="17" t="s">
        <v>19</v>
      </c>
      <c r="F90" s="291"/>
      <c r="G90" s="291"/>
      <c r="H90" s="291"/>
      <c r="I90" s="291"/>
      <c r="J90" s="291"/>
      <c r="K90" s="306"/>
      <c r="L90" s="291"/>
    </row>
    <row r="91" spans="1:12" ht="15.75" thickBot="1" x14ac:dyDescent="0.3">
      <c r="A91" s="295"/>
      <c r="B91" s="19" t="s">
        <v>14</v>
      </c>
      <c r="C91" s="19"/>
      <c r="D91" s="20">
        <v>0</v>
      </c>
      <c r="E91" s="19" t="s">
        <v>20</v>
      </c>
      <c r="F91" s="292"/>
      <c r="G91" s="292"/>
      <c r="H91" s="292"/>
      <c r="I91" s="292"/>
      <c r="J91" s="292"/>
      <c r="K91" s="307"/>
      <c r="L91" s="292"/>
    </row>
    <row r="92" spans="1:12" ht="30.75" customHeight="1" x14ac:dyDescent="0.25">
      <c r="A92" s="293" t="s">
        <v>62</v>
      </c>
      <c r="B92" s="100" t="s">
        <v>14</v>
      </c>
      <c r="C92" s="100"/>
      <c r="D92" s="15">
        <f>3+(76.5-50.9-5.25)</f>
        <v>23.35</v>
      </c>
      <c r="E92" s="100" t="s">
        <v>15</v>
      </c>
      <c r="F92" s="290" t="s">
        <v>89</v>
      </c>
      <c r="G92" s="290" t="s">
        <v>89</v>
      </c>
      <c r="H92" s="290" t="s">
        <v>89</v>
      </c>
      <c r="I92" s="290" t="s">
        <v>99</v>
      </c>
      <c r="J92" s="290" t="s">
        <v>37</v>
      </c>
      <c r="K92" s="296">
        <f>5009082803.43+(20.35*25000000)</f>
        <v>5517832803.4300003</v>
      </c>
      <c r="L92" s="290">
        <v>100</v>
      </c>
    </row>
    <row r="93" spans="1:12" ht="30.75" customHeight="1" x14ac:dyDescent="0.25">
      <c r="A93" s="294"/>
      <c r="B93" s="16"/>
      <c r="C93" s="18" t="s">
        <v>14</v>
      </c>
      <c r="D93" s="18">
        <v>3</v>
      </c>
      <c r="E93" s="17" t="s">
        <v>15</v>
      </c>
      <c r="F93" s="291"/>
      <c r="G93" s="291"/>
      <c r="H93" s="291"/>
      <c r="I93" s="291"/>
      <c r="J93" s="291"/>
      <c r="K93" s="297"/>
      <c r="L93" s="291"/>
    </row>
    <row r="94" spans="1:12" x14ac:dyDescent="0.25">
      <c r="A94" s="294"/>
      <c r="B94" s="16" t="s">
        <v>14</v>
      </c>
      <c r="C94" s="18"/>
      <c r="D94" s="18">
        <f>12.25-3-9</f>
        <v>0.25</v>
      </c>
      <c r="E94" s="17" t="s">
        <v>19</v>
      </c>
      <c r="F94" s="291"/>
      <c r="G94" s="291"/>
      <c r="H94" s="291"/>
      <c r="I94" s="291"/>
      <c r="J94" s="291"/>
      <c r="K94" s="297"/>
      <c r="L94" s="291"/>
    </row>
    <row r="95" spans="1:12" ht="15.75" thickBot="1" x14ac:dyDescent="0.3">
      <c r="A95" s="295"/>
      <c r="B95" s="19" t="s">
        <v>14</v>
      </c>
      <c r="C95" s="19"/>
      <c r="D95" s="20">
        <f>36.75-11.35</f>
        <v>25.4</v>
      </c>
      <c r="E95" s="19" t="s">
        <v>20</v>
      </c>
      <c r="F95" s="292"/>
      <c r="G95" s="292"/>
      <c r="H95" s="292"/>
      <c r="I95" s="292"/>
      <c r="J95" s="292"/>
      <c r="K95" s="298"/>
      <c r="L95" s="292"/>
    </row>
    <row r="96" spans="1:12" ht="30.75" customHeight="1" x14ac:dyDescent="0.25">
      <c r="A96" s="293" t="s">
        <v>63</v>
      </c>
      <c r="B96" s="100" t="s">
        <v>14</v>
      </c>
      <c r="C96" s="100"/>
      <c r="D96" s="15">
        <v>0</v>
      </c>
      <c r="E96" s="100" t="s">
        <v>15</v>
      </c>
      <c r="F96" s="290" t="s">
        <v>89</v>
      </c>
      <c r="G96" s="290" t="s">
        <v>89</v>
      </c>
      <c r="H96" s="290" t="s">
        <v>89</v>
      </c>
      <c r="I96" s="290" t="s">
        <v>17</v>
      </c>
      <c r="J96" s="290" t="s">
        <v>89</v>
      </c>
      <c r="K96" s="290" t="s">
        <v>89</v>
      </c>
      <c r="L96" s="290" t="s">
        <v>89</v>
      </c>
    </row>
    <row r="97" spans="1:12" x14ac:dyDescent="0.25">
      <c r="A97" s="294"/>
      <c r="B97" s="16" t="s">
        <v>14</v>
      </c>
      <c r="C97" s="17"/>
      <c r="D97" s="18">
        <v>6.04</v>
      </c>
      <c r="E97" s="17" t="s">
        <v>19</v>
      </c>
      <c r="F97" s="291"/>
      <c r="G97" s="291"/>
      <c r="H97" s="291"/>
      <c r="I97" s="291"/>
      <c r="J97" s="291"/>
      <c r="K97" s="291"/>
      <c r="L97" s="291"/>
    </row>
    <row r="98" spans="1:12" ht="15.75" thickBot="1" x14ac:dyDescent="0.3">
      <c r="A98" s="295"/>
      <c r="B98" s="19" t="s">
        <v>14</v>
      </c>
      <c r="C98" s="19"/>
      <c r="D98" s="20">
        <v>1.51</v>
      </c>
      <c r="E98" s="19" t="s">
        <v>20</v>
      </c>
      <c r="F98" s="292"/>
      <c r="G98" s="292"/>
      <c r="H98" s="292"/>
      <c r="I98" s="292"/>
      <c r="J98" s="292"/>
      <c r="K98" s="292"/>
      <c r="L98" s="292"/>
    </row>
    <row r="99" spans="1:12" ht="30.75" customHeight="1" x14ac:dyDescent="0.25">
      <c r="A99" s="293" t="s">
        <v>64</v>
      </c>
      <c r="B99" s="100" t="s">
        <v>14</v>
      </c>
      <c r="C99" s="100"/>
      <c r="D99" s="15">
        <v>9</v>
      </c>
      <c r="E99" s="100" t="s">
        <v>15</v>
      </c>
      <c r="F99" s="290" t="s">
        <v>89</v>
      </c>
      <c r="G99" s="290" t="s">
        <v>89</v>
      </c>
      <c r="H99" s="290" t="s">
        <v>89</v>
      </c>
      <c r="I99" s="290" t="s">
        <v>17</v>
      </c>
      <c r="J99" s="290" t="s">
        <v>89</v>
      </c>
      <c r="K99" s="290" t="s">
        <v>89</v>
      </c>
      <c r="L99" s="290" t="s">
        <v>89</v>
      </c>
    </row>
    <row r="100" spans="1:12" x14ac:dyDescent="0.25">
      <c r="A100" s="294"/>
      <c r="B100" s="16" t="s">
        <v>14</v>
      </c>
      <c r="C100" s="17"/>
      <c r="D100" s="18">
        <f>2+39.4</f>
        <v>41.4</v>
      </c>
      <c r="E100" s="17" t="s">
        <v>19</v>
      </c>
      <c r="F100" s="291"/>
      <c r="G100" s="291"/>
      <c r="H100" s="291"/>
      <c r="I100" s="291"/>
      <c r="J100" s="291"/>
      <c r="K100" s="291"/>
      <c r="L100" s="291"/>
    </row>
    <row r="101" spans="1:12" ht="15.75" thickBot="1" x14ac:dyDescent="0.3">
      <c r="A101" s="295"/>
      <c r="B101" s="19" t="s">
        <v>14</v>
      </c>
      <c r="C101" s="19"/>
      <c r="D101" s="20">
        <v>12.23</v>
      </c>
      <c r="E101" s="19" t="s">
        <v>20</v>
      </c>
      <c r="F101" s="292"/>
      <c r="G101" s="292"/>
      <c r="H101" s="292"/>
      <c r="I101" s="292"/>
      <c r="J101" s="292"/>
      <c r="K101" s="292"/>
      <c r="L101" s="292"/>
    </row>
    <row r="102" spans="1:12" ht="30.75" customHeight="1" x14ac:dyDescent="0.25">
      <c r="A102" s="293" t="s">
        <v>83</v>
      </c>
      <c r="B102" s="100" t="s">
        <v>14</v>
      </c>
      <c r="C102" s="100"/>
      <c r="D102" s="15">
        <v>5.2</v>
      </c>
      <c r="E102" s="100" t="s">
        <v>15</v>
      </c>
      <c r="F102" s="290" t="s">
        <v>89</v>
      </c>
      <c r="G102" s="290" t="s">
        <v>89</v>
      </c>
      <c r="H102" s="290" t="s">
        <v>89</v>
      </c>
      <c r="I102" s="290" t="s">
        <v>97</v>
      </c>
      <c r="J102" s="290" t="s">
        <v>89</v>
      </c>
      <c r="K102" s="290" t="s">
        <v>89</v>
      </c>
      <c r="L102" s="290" t="s">
        <v>89</v>
      </c>
    </row>
    <row r="103" spans="1:12" x14ac:dyDescent="0.25">
      <c r="A103" s="294"/>
      <c r="B103" s="16" t="s">
        <v>14</v>
      </c>
      <c r="C103" s="17"/>
      <c r="D103" s="18">
        <f>9.8+23.1</f>
        <v>32.900000000000006</v>
      </c>
      <c r="E103" s="17" t="s">
        <v>19</v>
      </c>
      <c r="F103" s="291"/>
      <c r="G103" s="291"/>
      <c r="H103" s="291"/>
      <c r="I103" s="291"/>
      <c r="J103" s="291"/>
      <c r="K103" s="291"/>
      <c r="L103" s="291"/>
    </row>
    <row r="104" spans="1:12" ht="15.75" thickBot="1" x14ac:dyDescent="0.3">
      <c r="A104" s="295"/>
      <c r="B104" s="19" t="s">
        <v>14</v>
      </c>
      <c r="C104" s="19"/>
      <c r="D104" s="20">
        <v>6.86</v>
      </c>
      <c r="E104" s="19" t="s">
        <v>20</v>
      </c>
      <c r="F104" s="292"/>
      <c r="G104" s="292"/>
      <c r="H104" s="292"/>
      <c r="I104" s="292"/>
      <c r="J104" s="292"/>
      <c r="K104" s="292"/>
      <c r="L104" s="292"/>
    </row>
    <row r="105" spans="1:12" ht="30.75" customHeight="1" x14ac:dyDescent="0.25">
      <c r="A105" s="293" t="s">
        <v>65</v>
      </c>
      <c r="B105" s="100" t="s">
        <v>14</v>
      </c>
      <c r="C105" s="100"/>
      <c r="D105" s="15">
        <f>4+5</f>
        <v>9</v>
      </c>
      <c r="E105" s="100" t="s">
        <v>15</v>
      </c>
      <c r="F105" s="290" t="s">
        <v>89</v>
      </c>
      <c r="G105" s="290" t="s">
        <v>89</v>
      </c>
      <c r="H105" s="290" t="s">
        <v>89</v>
      </c>
      <c r="I105" s="290" t="s">
        <v>89</v>
      </c>
      <c r="J105" s="290" t="s">
        <v>22</v>
      </c>
      <c r="K105" s="296">
        <v>491100000</v>
      </c>
      <c r="L105" s="290">
        <v>100</v>
      </c>
    </row>
    <row r="106" spans="1:12" x14ac:dyDescent="0.25">
      <c r="A106" s="294"/>
      <c r="B106" s="16" t="s">
        <v>14</v>
      </c>
      <c r="C106" s="17"/>
      <c r="D106" s="18">
        <f>12+5+16.62-5</f>
        <v>28.620000000000005</v>
      </c>
      <c r="E106" s="17" t="s">
        <v>19</v>
      </c>
      <c r="F106" s="291"/>
      <c r="G106" s="291"/>
      <c r="H106" s="291"/>
      <c r="I106" s="291"/>
      <c r="J106" s="291"/>
      <c r="K106" s="297"/>
      <c r="L106" s="291"/>
    </row>
    <row r="107" spans="1:12" ht="15.75" thickBot="1" x14ac:dyDescent="0.3">
      <c r="A107" s="295"/>
      <c r="B107" s="19" t="s">
        <v>14</v>
      </c>
      <c r="C107" s="19"/>
      <c r="D107" s="20">
        <f>1+10+37.18</f>
        <v>48.18</v>
      </c>
      <c r="E107" s="19" t="s">
        <v>20</v>
      </c>
      <c r="F107" s="292"/>
      <c r="G107" s="292"/>
      <c r="H107" s="292"/>
      <c r="I107" s="292"/>
      <c r="J107" s="292"/>
      <c r="K107" s="298"/>
      <c r="L107" s="292"/>
    </row>
    <row r="108" spans="1:12" ht="30.75" customHeight="1" x14ac:dyDescent="0.25">
      <c r="A108" s="293" t="s">
        <v>66</v>
      </c>
      <c r="B108" s="100" t="s">
        <v>14</v>
      </c>
      <c r="C108" s="100"/>
      <c r="D108" s="15">
        <v>0</v>
      </c>
      <c r="E108" s="100" t="s">
        <v>15</v>
      </c>
      <c r="F108" s="290" t="s">
        <v>89</v>
      </c>
      <c r="G108" s="290" t="s">
        <v>89</v>
      </c>
      <c r="H108" s="290" t="s">
        <v>89</v>
      </c>
      <c r="I108" s="290" t="s">
        <v>21</v>
      </c>
      <c r="J108" s="290" t="s">
        <v>89</v>
      </c>
      <c r="K108" s="290" t="s">
        <v>89</v>
      </c>
      <c r="L108" s="290" t="s">
        <v>89</v>
      </c>
    </row>
    <row r="109" spans="1:12" x14ac:dyDescent="0.25">
      <c r="A109" s="294"/>
      <c r="B109" s="16" t="s">
        <v>14</v>
      </c>
      <c r="C109" s="17"/>
      <c r="D109" s="18">
        <v>0</v>
      </c>
      <c r="E109" s="17" t="s">
        <v>19</v>
      </c>
      <c r="F109" s="291"/>
      <c r="G109" s="291"/>
      <c r="H109" s="291"/>
      <c r="I109" s="291"/>
      <c r="J109" s="291"/>
      <c r="K109" s="291"/>
      <c r="L109" s="291"/>
    </row>
    <row r="110" spans="1:12" ht="15.75" thickBot="1" x14ac:dyDescent="0.3">
      <c r="A110" s="295"/>
      <c r="B110" s="19" t="s">
        <v>14</v>
      </c>
      <c r="C110" s="19"/>
      <c r="D110" s="20">
        <v>0</v>
      </c>
      <c r="E110" s="19" t="s">
        <v>20</v>
      </c>
      <c r="F110" s="292"/>
      <c r="G110" s="292"/>
      <c r="H110" s="292"/>
      <c r="I110" s="292"/>
      <c r="J110" s="292"/>
      <c r="K110" s="292"/>
      <c r="L110" s="292"/>
    </row>
    <row r="111" spans="1:12" ht="30.75" customHeight="1" x14ac:dyDescent="0.25">
      <c r="A111" s="293" t="s">
        <v>67</v>
      </c>
      <c r="B111" s="100" t="s">
        <v>14</v>
      </c>
      <c r="C111" s="100"/>
      <c r="D111" s="15">
        <f>18.23+0.6+11</f>
        <v>29.830000000000002</v>
      </c>
      <c r="E111" s="100" t="s">
        <v>15</v>
      </c>
      <c r="F111" s="290" t="s">
        <v>89</v>
      </c>
      <c r="G111" s="290" t="s">
        <v>89</v>
      </c>
      <c r="H111" s="290" t="s">
        <v>89</v>
      </c>
      <c r="I111" s="290" t="s">
        <v>89</v>
      </c>
      <c r="J111" s="290" t="s">
        <v>22</v>
      </c>
      <c r="K111" s="296">
        <v>889077992.62</v>
      </c>
      <c r="L111" s="290">
        <v>100</v>
      </c>
    </row>
    <row r="112" spans="1:12" x14ac:dyDescent="0.25">
      <c r="A112" s="294"/>
      <c r="B112" s="16" t="s">
        <v>14</v>
      </c>
      <c r="C112" s="17"/>
      <c r="D112" s="18">
        <f>16+16.41</f>
        <v>32.409999999999997</v>
      </c>
      <c r="E112" s="17" t="s">
        <v>19</v>
      </c>
      <c r="F112" s="291"/>
      <c r="G112" s="291"/>
      <c r="H112" s="291"/>
      <c r="I112" s="291"/>
      <c r="J112" s="291"/>
      <c r="K112" s="297"/>
      <c r="L112" s="291"/>
    </row>
    <row r="113" spans="1:12" ht="15.75" thickBot="1" x14ac:dyDescent="0.3">
      <c r="A113" s="295"/>
      <c r="B113" s="19" t="s">
        <v>14</v>
      </c>
      <c r="C113" s="19"/>
      <c r="D113" s="20">
        <f>83.09-11</f>
        <v>72.09</v>
      </c>
      <c r="E113" s="19" t="s">
        <v>20</v>
      </c>
      <c r="F113" s="292"/>
      <c r="G113" s="292"/>
      <c r="H113" s="292"/>
      <c r="I113" s="292"/>
      <c r="J113" s="292"/>
      <c r="K113" s="298"/>
      <c r="L113" s="292"/>
    </row>
    <row r="114" spans="1:12" ht="30.75" customHeight="1" x14ac:dyDescent="0.25">
      <c r="A114" s="293" t="s">
        <v>84</v>
      </c>
      <c r="B114" s="100" t="s">
        <v>14</v>
      </c>
      <c r="C114" s="100"/>
      <c r="D114" s="15">
        <v>0</v>
      </c>
      <c r="E114" s="100" t="s">
        <v>15</v>
      </c>
      <c r="F114" s="290" t="s">
        <v>89</v>
      </c>
      <c r="G114" s="290" t="s">
        <v>89</v>
      </c>
      <c r="H114" s="290" t="s">
        <v>89</v>
      </c>
      <c r="I114" s="290" t="s">
        <v>23</v>
      </c>
      <c r="J114" s="290" t="s">
        <v>89</v>
      </c>
      <c r="K114" s="296">
        <v>0</v>
      </c>
      <c r="L114" s="290" t="s">
        <v>89</v>
      </c>
    </row>
    <row r="115" spans="1:12" x14ac:dyDescent="0.25">
      <c r="A115" s="294"/>
      <c r="B115" s="16" t="s">
        <v>14</v>
      </c>
      <c r="C115" s="17"/>
      <c r="D115" s="18">
        <v>22.49</v>
      </c>
      <c r="E115" s="17" t="s">
        <v>19</v>
      </c>
      <c r="F115" s="291"/>
      <c r="G115" s="291"/>
      <c r="H115" s="291"/>
      <c r="I115" s="291"/>
      <c r="J115" s="291"/>
      <c r="K115" s="297"/>
      <c r="L115" s="291"/>
    </row>
    <row r="116" spans="1:12" ht="15.75" thickBot="1" x14ac:dyDescent="0.3">
      <c r="A116" s="295"/>
      <c r="B116" s="19" t="s">
        <v>14</v>
      </c>
      <c r="C116" s="19"/>
      <c r="D116" s="20">
        <f>28.01</f>
        <v>28.01</v>
      </c>
      <c r="E116" s="19" t="s">
        <v>20</v>
      </c>
      <c r="F116" s="292"/>
      <c r="G116" s="292"/>
      <c r="H116" s="292"/>
      <c r="I116" s="292"/>
      <c r="J116" s="292"/>
      <c r="K116" s="298"/>
      <c r="L116" s="292"/>
    </row>
    <row r="117" spans="1:12" x14ac:dyDescent="0.25">
      <c r="A117" s="293" t="s">
        <v>85</v>
      </c>
      <c r="B117" s="100" t="s">
        <v>14</v>
      </c>
      <c r="C117" s="100"/>
      <c r="D117" s="15">
        <v>24.65</v>
      </c>
      <c r="E117" s="100" t="s">
        <v>15</v>
      </c>
      <c r="F117" s="290" t="s">
        <v>89</v>
      </c>
      <c r="G117" s="290" t="s">
        <v>89</v>
      </c>
      <c r="H117" s="290" t="s">
        <v>89</v>
      </c>
      <c r="I117" s="290" t="s">
        <v>23</v>
      </c>
      <c r="J117" s="290" t="s">
        <v>89</v>
      </c>
      <c r="K117" s="290" t="s">
        <v>89</v>
      </c>
      <c r="L117" s="290" t="s">
        <v>89</v>
      </c>
    </row>
    <row r="118" spans="1:12" x14ac:dyDescent="0.25">
      <c r="A118" s="294"/>
      <c r="B118" s="16" t="s">
        <v>14</v>
      </c>
      <c r="C118" s="17"/>
      <c r="D118" s="18">
        <v>59.64</v>
      </c>
      <c r="E118" s="17" t="s">
        <v>19</v>
      </c>
      <c r="F118" s="291"/>
      <c r="G118" s="291"/>
      <c r="H118" s="291"/>
      <c r="I118" s="291"/>
      <c r="J118" s="291"/>
      <c r="K118" s="291"/>
      <c r="L118" s="291"/>
    </row>
    <row r="119" spans="1:12" ht="15.75" thickBot="1" x14ac:dyDescent="0.3">
      <c r="A119" s="295"/>
      <c r="B119" s="19" t="s">
        <v>14</v>
      </c>
      <c r="C119" s="19"/>
      <c r="D119" s="20">
        <v>143.91</v>
      </c>
      <c r="E119" s="19" t="s">
        <v>20</v>
      </c>
      <c r="F119" s="292"/>
      <c r="G119" s="292"/>
      <c r="H119" s="292"/>
      <c r="I119" s="292"/>
      <c r="J119" s="292"/>
      <c r="K119" s="292"/>
      <c r="L119" s="292"/>
    </row>
    <row r="120" spans="1:12" ht="30.75" customHeight="1" x14ac:dyDescent="0.25">
      <c r="A120" s="293" t="s">
        <v>68</v>
      </c>
      <c r="B120" s="100" t="s">
        <v>14</v>
      </c>
      <c r="C120" s="100"/>
      <c r="D120" s="15">
        <f>10+4.48+5+8.5</f>
        <v>27.98</v>
      </c>
      <c r="E120" s="100" t="s">
        <v>15</v>
      </c>
      <c r="F120" s="290" t="s">
        <v>89</v>
      </c>
      <c r="G120" s="290" t="s">
        <v>89</v>
      </c>
      <c r="H120" s="290" t="s">
        <v>89</v>
      </c>
      <c r="I120" s="290" t="s">
        <v>89</v>
      </c>
      <c r="J120" s="290" t="s">
        <v>38</v>
      </c>
      <c r="K120" s="296">
        <v>18296585313</v>
      </c>
      <c r="L120" s="290">
        <v>100</v>
      </c>
    </row>
    <row r="121" spans="1:12" x14ac:dyDescent="0.25">
      <c r="A121" s="294"/>
      <c r="B121" s="16" t="s">
        <v>14</v>
      </c>
      <c r="C121" s="17"/>
      <c r="D121" s="18">
        <f>10+13+27.52</f>
        <v>50.519999999999996</v>
      </c>
      <c r="E121" s="17" t="s">
        <v>19</v>
      </c>
      <c r="F121" s="291"/>
      <c r="G121" s="291"/>
      <c r="H121" s="291"/>
      <c r="I121" s="291"/>
      <c r="J121" s="291"/>
      <c r="K121" s="297"/>
      <c r="L121" s="291"/>
    </row>
    <row r="122" spans="1:12" ht="15.75" thickBot="1" x14ac:dyDescent="0.3">
      <c r="A122" s="295"/>
      <c r="B122" s="19" t="s">
        <v>14</v>
      </c>
      <c r="C122" s="19"/>
      <c r="D122" s="20">
        <f>10+5.8-5-8.5</f>
        <v>2.3000000000000007</v>
      </c>
      <c r="E122" s="19" t="s">
        <v>20</v>
      </c>
      <c r="F122" s="292"/>
      <c r="G122" s="292"/>
      <c r="H122" s="292"/>
      <c r="I122" s="292"/>
      <c r="J122" s="292"/>
      <c r="K122" s="298"/>
      <c r="L122" s="292"/>
    </row>
    <row r="123" spans="1:12" ht="30.75" customHeight="1" x14ac:dyDescent="0.25">
      <c r="A123" s="293" t="s">
        <v>69</v>
      </c>
      <c r="B123" s="100" t="s">
        <v>14</v>
      </c>
      <c r="C123" s="100"/>
      <c r="D123" s="15">
        <v>5</v>
      </c>
      <c r="E123" s="100" t="s">
        <v>15</v>
      </c>
      <c r="F123" s="290" t="s">
        <v>89</v>
      </c>
      <c r="G123" s="290" t="s">
        <v>89</v>
      </c>
      <c r="H123" s="290" t="s">
        <v>89</v>
      </c>
      <c r="I123" s="290" t="s">
        <v>89</v>
      </c>
      <c r="J123" s="290" t="s">
        <v>89</v>
      </c>
      <c r="K123" s="290" t="s">
        <v>89</v>
      </c>
      <c r="L123" s="290" t="s">
        <v>89</v>
      </c>
    </row>
    <row r="124" spans="1:12" x14ac:dyDescent="0.25">
      <c r="A124" s="294"/>
      <c r="B124" s="16" t="s">
        <v>14</v>
      </c>
      <c r="C124" s="17"/>
      <c r="D124" s="18">
        <v>26.29</v>
      </c>
      <c r="E124" s="17" t="s">
        <v>19</v>
      </c>
      <c r="F124" s="291"/>
      <c r="G124" s="291"/>
      <c r="H124" s="291"/>
      <c r="I124" s="291"/>
      <c r="J124" s="291"/>
      <c r="K124" s="291"/>
      <c r="L124" s="291"/>
    </row>
    <row r="125" spans="1:12" ht="15.75" thickBot="1" x14ac:dyDescent="0.3">
      <c r="A125" s="295"/>
      <c r="B125" s="19" t="s">
        <v>14</v>
      </c>
      <c r="C125" s="19"/>
      <c r="D125" s="20">
        <f>5+6.57</f>
        <v>11.57</v>
      </c>
      <c r="E125" s="19" t="s">
        <v>20</v>
      </c>
      <c r="F125" s="292"/>
      <c r="G125" s="292"/>
      <c r="H125" s="292"/>
      <c r="I125" s="292"/>
      <c r="J125" s="292"/>
      <c r="K125" s="292"/>
      <c r="L125" s="292"/>
    </row>
    <row r="126" spans="1:12" ht="30.75" customHeight="1" x14ac:dyDescent="0.25">
      <c r="A126" s="293" t="s">
        <v>86</v>
      </c>
      <c r="B126" s="100" t="s">
        <v>14</v>
      </c>
      <c r="C126" s="100"/>
      <c r="D126" s="15">
        <f>6+25.5</f>
        <v>31.5</v>
      </c>
      <c r="E126" s="100" t="s">
        <v>15</v>
      </c>
      <c r="F126" s="290" t="s">
        <v>16</v>
      </c>
      <c r="G126" s="290" t="s">
        <v>89</v>
      </c>
      <c r="H126" s="290" t="s">
        <v>89</v>
      </c>
      <c r="I126" s="290" t="s">
        <v>89</v>
      </c>
      <c r="J126" s="290" t="s">
        <v>39</v>
      </c>
      <c r="K126" s="296">
        <v>3953756669</v>
      </c>
      <c r="L126" s="290">
        <v>80</v>
      </c>
    </row>
    <row r="127" spans="1:12" x14ac:dyDescent="0.25">
      <c r="A127" s="294"/>
      <c r="B127" s="16" t="s">
        <v>14</v>
      </c>
      <c r="C127" s="17"/>
      <c r="D127" s="18">
        <v>70.95</v>
      </c>
      <c r="E127" s="17" t="s">
        <v>19</v>
      </c>
      <c r="F127" s="291"/>
      <c r="G127" s="291"/>
      <c r="H127" s="291"/>
      <c r="I127" s="291"/>
      <c r="J127" s="291"/>
      <c r="K127" s="297"/>
      <c r="L127" s="291"/>
    </row>
    <row r="128" spans="1:12" ht="15.75" thickBot="1" x14ac:dyDescent="0.3">
      <c r="A128" s="295"/>
      <c r="B128" s="19" t="s">
        <v>14</v>
      </c>
      <c r="C128" s="19"/>
      <c r="D128" s="20">
        <f>139.34-25.5</f>
        <v>113.84</v>
      </c>
      <c r="E128" s="19" t="s">
        <v>20</v>
      </c>
      <c r="F128" s="292"/>
      <c r="G128" s="292"/>
      <c r="H128" s="292"/>
      <c r="I128" s="292"/>
      <c r="J128" s="292"/>
      <c r="K128" s="298"/>
      <c r="L128" s="292"/>
    </row>
    <row r="129" spans="1:12" ht="30.75" customHeight="1" x14ac:dyDescent="0.25">
      <c r="A129" s="293" t="s">
        <v>70</v>
      </c>
      <c r="B129" s="100" t="s">
        <v>14</v>
      </c>
      <c r="C129" s="100"/>
      <c r="D129" s="15">
        <f>10.92+0.38</f>
        <v>11.3</v>
      </c>
      <c r="E129" s="100" t="s">
        <v>15</v>
      </c>
      <c r="F129" s="290" t="s">
        <v>89</v>
      </c>
      <c r="G129" s="290" t="s">
        <v>89</v>
      </c>
      <c r="H129" s="290" t="s">
        <v>89</v>
      </c>
      <c r="I129" s="290" t="s">
        <v>101</v>
      </c>
      <c r="J129" s="290" t="s">
        <v>35</v>
      </c>
      <c r="K129" s="302">
        <v>265000000</v>
      </c>
      <c r="L129" s="290">
        <v>100</v>
      </c>
    </row>
    <row r="130" spans="1:12" x14ac:dyDescent="0.25">
      <c r="A130" s="294"/>
      <c r="B130" s="16" t="s">
        <v>14</v>
      </c>
      <c r="C130" s="17"/>
      <c r="D130" s="18">
        <f>44.05-0.11</f>
        <v>43.94</v>
      </c>
      <c r="E130" s="17" t="s">
        <v>19</v>
      </c>
      <c r="F130" s="291"/>
      <c r="G130" s="291"/>
      <c r="H130" s="291"/>
      <c r="I130" s="291"/>
      <c r="J130" s="291"/>
      <c r="K130" s="303"/>
      <c r="L130" s="291"/>
    </row>
    <row r="131" spans="1:12" ht="15.75" thickBot="1" x14ac:dyDescent="0.3">
      <c r="A131" s="295"/>
      <c r="B131" s="19" t="s">
        <v>14</v>
      </c>
      <c r="C131" s="19"/>
      <c r="D131" s="20">
        <f>77.03-0.38+0.11</f>
        <v>76.760000000000005</v>
      </c>
      <c r="E131" s="19" t="s">
        <v>20</v>
      </c>
      <c r="F131" s="292"/>
      <c r="G131" s="292"/>
      <c r="H131" s="292"/>
      <c r="I131" s="292"/>
      <c r="J131" s="292"/>
      <c r="K131" s="304"/>
      <c r="L131" s="292"/>
    </row>
    <row r="132" spans="1:12" ht="30.75" customHeight="1" x14ac:dyDescent="0.25">
      <c r="A132" s="293" t="s">
        <v>71</v>
      </c>
      <c r="B132" s="100" t="s">
        <v>14</v>
      </c>
      <c r="C132" s="100"/>
      <c r="D132" s="15">
        <v>0</v>
      </c>
      <c r="E132" s="100" t="s">
        <v>15</v>
      </c>
      <c r="F132" s="290" t="s">
        <v>89</v>
      </c>
      <c r="G132" s="290" t="s">
        <v>89</v>
      </c>
      <c r="H132" s="290" t="s">
        <v>89</v>
      </c>
      <c r="I132" s="290" t="s">
        <v>17</v>
      </c>
      <c r="J132" s="290" t="s">
        <v>89</v>
      </c>
      <c r="K132" s="290" t="s">
        <v>89</v>
      </c>
      <c r="L132" s="290" t="s">
        <v>89</v>
      </c>
    </row>
    <row r="133" spans="1:12" x14ac:dyDescent="0.25">
      <c r="A133" s="294"/>
      <c r="B133" s="16" t="s">
        <v>14</v>
      </c>
      <c r="C133" s="17"/>
      <c r="D133" s="18">
        <v>4.5199999999999996</v>
      </c>
      <c r="E133" s="17" t="s">
        <v>19</v>
      </c>
      <c r="F133" s="291"/>
      <c r="G133" s="291"/>
      <c r="H133" s="291"/>
      <c r="I133" s="291"/>
      <c r="J133" s="291"/>
      <c r="K133" s="291"/>
      <c r="L133" s="291"/>
    </row>
    <row r="134" spans="1:12" ht="15.75" thickBot="1" x14ac:dyDescent="0.3">
      <c r="A134" s="295"/>
      <c r="B134" s="19" t="s">
        <v>14</v>
      </c>
      <c r="C134" s="19"/>
      <c r="D134" s="20">
        <v>1.1299999999999999</v>
      </c>
      <c r="E134" s="19" t="s">
        <v>20</v>
      </c>
      <c r="F134" s="292"/>
      <c r="G134" s="292"/>
      <c r="H134" s="292"/>
      <c r="I134" s="291"/>
      <c r="J134" s="292"/>
      <c r="K134" s="292"/>
      <c r="L134" s="292"/>
    </row>
    <row r="135" spans="1:12" ht="30.75" customHeight="1" x14ac:dyDescent="0.25">
      <c r="A135" s="293" t="s">
        <v>72</v>
      </c>
      <c r="B135" s="100" t="s">
        <v>14</v>
      </c>
      <c r="C135" s="100"/>
      <c r="D135" s="15">
        <f>3</f>
        <v>3</v>
      </c>
      <c r="E135" s="100" t="s">
        <v>15</v>
      </c>
      <c r="F135" s="290" t="s">
        <v>89</v>
      </c>
      <c r="G135" s="290" t="s">
        <v>89</v>
      </c>
      <c r="H135" s="290" t="s">
        <v>89</v>
      </c>
      <c r="I135" s="290" t="s">
        <v>102</v>
      </c>
      <c r="J135" s="290" t="s">
        <v>33</v>
      </c>
      <c r="K135" s="296">
        <v>1052433814.64</v>
      </c>
      <c r="L135" s="290">
        <v>100</v>
      </c>
    </row>
    <row r="136" spans="1:12" ht="19.5" customHeight="1" x14ac:dyDescent="0.25">
      <c r="A136" s="294"/>
      <c r="B136" s="16"/>
      <c r="C136" s="17" t="s">
        <v>14</v>
      </c>
      <c r="D136" s="18">
        <v>0.7</v>
      </c>
      <c r="E136" s="17" t="s">
        <v>15</v>
      </c>
      <c r="F136" s="291"/>
      <c r="G136" s="291"/>
      <c r="H136" s="291"/>
      <c r="I136" s="291"/>
      <c r="J136" s="291"/>
      <c r="K136" s="297"/>
      <c r="L136" s="291"/>
    </row>
    <row r="137" spans="1:12" x14ac:dyDescent="0.25">
      <c r="A137" s="294"/>
      <c r="B137" s="16" t="s">
        <v>14</v>
      </c>
      <c r="C137" s="17"/>
      <c r="D137" s="18">
        <f>3+12.61</f>
        <v>15.61</v>
      </c>
      <c r="E137" s="17" t="s">
        <v>19</v>
      </c>
      <c r="F137" s="291"/>
      <c r="G137" s="291"/>
      <c r="H137" s="291"/>
      <c r="I137" s="291"/>
      <c r="J137" s="291"/>
      <c r="K137" s="297"/>
      <c r="L137" s="291"/>
    </row>
    <row r="138" spans="1:12" ht="15.75" thickBot="1" x14ac:dyDescent="0.3">
      <c r="A138" s="295"/>
      <c r="B138" s="19" t="s">
        <v>14</v>
      </c>
      <c r="C138" s="19"/>
      <c r="D138" s="20">
        <f>4+8.4</f>
        <v>12.4</v>
      </c>
      <c r="E138" s="19" t="s">
        <v>20</v>
      </c>
      <c r="F138" s="292"/>
      <c r="G138" s="292"/>
      <c r="H138" s="292"/>
      <c r="I138" s="292"/>
      <c r="J138" s="292"/>
      <c r="K138" s="298"/>
      <c r="L138" s="292"/>
    </row>
    <row r="139" spans="1:12" ht="30.75" customHeight="1" x14ac:dyDescent="0.25">
      <c r="A139" s="293" t="s">
        <v>73</v>
      </c>
      <c r="B139" s="100" t="s">
        <v>14</v>
      </c>
      <c r="C139" s="100"/>
      <c r="D139" s="15">
        <f>28+13</f>
        <v>41</v>
      </c>
      <c r="E139" s="100" t="s">
        <v>15</v>
      </c>
      <c r="F139" s="290" t="s">
        <v>89</v>
      </c>
      <c r="G139" s="290" t="s">
        <v>89</v>
      </c>
      <c r="H139" s="290" t="s">
        <v>89</v>
      </c>
      <c r="I139" s="290" t="s">
        <v>103</v>
      </c>
      <c r="J139" s="290" t="s">
        <v>35</v>
      </c>
      <c r="K139" s="296">
        <v>2105552579.1500001</v>
      </c>
      <c r="L139" s="290">
        <v>100</v>
      </c>
    </row>
    <row r="140" spans="1:12" x14ac:dyDescent="0.25">
      <c r="A140" s="294"/>
      <c r="B140" s="16" t="s">
        <v>14</v>
      </c>
      <c r="C140" s="17"/>
      <c r="D140" s="18">
        <v>3.5</v>
      </c>
      <c r="E140" s="17" t="s">
        <v>19</v>
      </c>
      <c r="F140" s="291"/>
      <c r="G140" s="291"/>
      <c r="H140" s="291"/>
      <c r="I140" s="291"/>
      <c r="J140" s="291"/>
      <c r="K140" s="297"/>
      <c r="L140" s="291"/>
    </row>
    <row r="141" spans="1:12" ht="15.75" thickBot="1" x14ac:dyDescent="0.3">
      <c r="A141" s="295"/>
      <c r="B141" s="19" t="s">
        <v>14</v>
      </c>
      <c r="C141" s="19"/>
      <c r="D141" s="20">
        <f>48.5-28-13</f>
        <v>7.5</v>
      </c>
      <c r="E141" s="19" t="s">
        <v>20</v>
      </c>
      <c r="F141" s="292"/>
      <c r="G141" s="292"/>
      <c r="H141" s="292"/>
      <c r="I141" s="292"/>
      <c r="J141" s="292"/>
      <c r="K141" s="298"/>
      <c r="L141" s="292"/>
    </row>
    <row r="142" spans="1:12" ht="30.75" customHeight="1" x14ac:dyDescent="0.25">
      <c r="A142" s="293" t="s">
        <v>74</v>
      </c>
      <c r="B142" s="100" t="s">
        <v>14</v>
      </c>
      <c r="C142" s="100"/>
      <c r="D142" s="15">
        <f>10+1.35+7</f>
        <v>18.350000000000001</v>
      </c>
      <c r="E142" s="100" t="s">
        <v>15</v>
      </c>
      <c r="F142" s="290" t="s">
        <v>89</v>
      </c>
      <c r="G142" s="290" t="s">
        <v>89</v>
      </c>
      <c r="H142" s="290" t="s">
        <v>89</v>
      </c>
      <c r="I142" s="290" t="s">
        <v>89</v>
      </c>
      <c r="J142" s="290" t="s">
        <v>22</v>
      </c>
      <c r="K142" s="296">
        <v>4193248591.48</v>
      </c>
      <c r="L142" s="290">
        <v>100</v>
      </c>
    </row>
    <row r="143" spans="1:12" x14ac:dyDescent="0.25">
      <c r="A143" s="294"/>
      <c r="B143" s="16" t="s">
        <v>14</v>
      </c>
      <c r="C143" s="17"/>
      <c r="D143" s="18">
        <f>8+37.4</f>
        <v>45.4</v>
      </c>
      <c r="E143" s="17" t="s">
        <v>19</v>
      </c>
      <c r="F143" s="291"/>
      <c r="G143" s="291"/>
      <c r="H143" s="291"/>
      <c r="I143" s="291"/>
      <c r="J143" s="291"/>
      <c r="K143" s="297"/>
      <c r="L143" s="291"/>
    </row>
    <row r="144" spans="1:12" ht="15.75" thickBot="1" x14ac:dyDescent="0.3">
      <c r="A144" s="295"/>
      <c r="B144" s="19" t="s">
        <v>14</v>
      </c>
      <c r="C144" s="19"/>
      <c r="D144" s="20">
        <f>11.78-7</f>
        <v>4.7799999999999994</v>
      </c>
      <c r="E144" s="19" t="s">
        <v>20</v>
      </c>
      <c r="F144" s="292"/>
      <c r="G144" s="292"/>
      <c r="H144" s="292"/>
      <c r="I144" s="292"/>
      <c r="J144" s="292"/>
      <c r="K144" s="298"/>
      <c r="L144" s="292"/>
    </row>
    <row r="145" spans="1:12" ht="29.25" customHeight="1" x14ac:dyDescent="0.25">
      <c r="A145" s="293" t="s">
        <v>75</v>
      </c>
      <c r="B145" s="100" t="s">
        <v>14</v>
      </c>
      <c r="C145" s="100"/>
      <c r="D145" s="15">
        <f>6+1.2+0.7</f>
        <v>7.9</v>
      </c>
      <c r="E145" s="100" t="s">
        <v>15</v>
      </c>
      <c r="F145" s="290" t="s">
        <v>89</v>
      </c>
      <c r="G145" s="290" t="s">
        <v>89</v>
      </c>
      <c r="H145" s="290" t="s">
        <v>89</v>
      </c>
      <c r="I145" s="290" t="s">
        <v>89</v>
      </c>
      <c r="J145" s="299" t="s">
        <v>22</v>
      </c>
      <c r="K145" s="287">
        <v>662881397.10000002</v>
      </c>
      <c r="L145" s="290">
        <v>100</v>
      </c>
    </row>
    <row r="146" spans="1:12" x14ac:dyDescent="0.25">
      <c r="A146" s="294"/>
      <c r="B146" s="16" t="s">
        <v>14</v>
      </c>
      <c r="C146" s="17"/>
      <c r="D146" s="18">
        <f>2+9.82-0.7</f>
        <v>11.120000000000001</v>
      </c>
      <c r="E146" s="17" t="s">
        <v>19</v>
      </c>
      <c r="F146" s="291"/>
      <c r="G146" s="291"/>
      <c r="H146" s="291"/>
      <c r="I146" s="291"/>
      <c r="J146" s="300"/>
      <c r="K146" s="288"/>
      <c r="L146" s="291"/>
    </row>
    <row r="147" spans="1:12" ht="15.75" thickBot="1" x14ac:dyDescent="0.3">
      <c r="A147" s="295"/>
      <c r="B147" s="19" t="s">
        <v>14</v>
      </c>
      <c r="C147" s="19"/>
      <c r="D147" s="20">
        <f>12.08</f>
        <v>12.08</v>
      </c>
      <c r="E147" s="19" t="s">
        <v>20</v>
      </c>
      <c r="F147" s="292"/>
      <c r="G147" s="292"/>
      <c r="H147" s="292"/>
      <c r="I147" s="292"/>
      <c r="J147" s="301"/>
      <c r="K147" s="289"/>
      <c r="L147" s="292"/>
    </row>
    <row r="148" spans="1:12" ht="30.75" customHeight="1" x14ac:dyDescent="0.25">
      <c r="A148" s="293" t="s">
        <v>76</v>
      </c>
      <c r="B148" s="100" t="s">
        <v>14</v>
      </c>
      <c r="C148" s="100"/>
      <c r="D148" s="15">
        <f>8+0.1</f>
        <v>8.1</v>
      </c>
      <c r="E148" s="100" t="s">
        <v>15</v>
      </c>
      <c r="F148" s="290" t="s">
        <v>89</v>
      </c>
      <c r="G148" s="290" t="s">
        <v>89</v>
      </c>
      <c r="H148" s="290" t="s">
        <v>89</v>
      </c>
      <c r="I148" s="290" t="s">
        <v>89</v>
      </c>
      <c r="J148" s="290" t="s">
        <v>722</v>
      </c>
      <c r="K148" s="287">
        <v>42355354.799999997</v>
      </c>
      <c r="L148" s="290" t="s">
        <v>89</v>
      </c>
    </row>
    <row r="149" spans="1:12" x14ac:dyDescent="0.25">
      <c r="A149" s="294"/>
      <c r="B149" s="16" t="s">
        <v>14</v>
      </c>
      <c r="C149" s="17"/>
      <c r="D149" s="18">
        <v>18</v>
      </c>
      <c r="E149" s="17" t="s">
        <v>19</v>
      </c>
      <c r="F149" s="291"/>
      <c r="G149" s="291"/>
      <c r="H149" s="291"/>
      <c r="I149" s="291"/>
      <c r="J149" s="291"/>
      <c r="K149" s="288"/>
      <c r="L149" s="291"/>
    </row>
    <row r="150" spans="1:12" ht="15.75" thickBot="1" x14ac:dyDescent="0.3">
      <c r="A150" s="295"/>
      <c r="B150" s="19" t="s">
        <v>14</v>
      </c>
      <c r="C150" s="19"/>
      <c r="D150" s="20">
        <f>4+4.5-0.1</f>
        <v>8.4</v>
      </c>
      <c r="E150" s="19" t="s">
        <v>20</v>
      </c>
      <c r="F150" s="292"/>
      <c r="G150" s="292"/>
      <c r="H150" s="292"/>
      <c r="I150" s="292"/>
      <c r="J150" s="292"/>
      <c r="K150" s="289"/>
      <c r="L150" s="292"/>
    </row>
    <row r="151" spans="1:12" ht="30.75" customHeight="1" x14ac:dyDescent="0.25">
      <c r="A151" s="293" t="s">
        <v>77</v>
      </c>
      <c r="B151" s="100" t="s">
        <v>14</v>
      </c>
      <c r="C151" s="100"/>
      <c r="D151" s="15">
        <f>19.74+2+10</f>
        <v>31.74</v>
      </c>
      <c r="E151" s="100" t="s">
        <v>15</v>
      </c>
      <c r="F151" s="290" t="s">
        <v>89</v>
      </c>
      <c r="G151" s="290" t="s">
        <v>89</v>
      </c>
      <c r="H151" s="290" t="s">
        <v>89</v>
      </c>
      <c r="I151" s="290" t="s">
        <v>23</v>
      </c>
      <c r="J151" s="290" t="s">
        <v>28</v>
      </c>
      <c r="K151" s="296">
        <v>17029728229.15</v>
      </c>
      <c r="L151" s="299">
        <v>100</v>
      </c>
    </row>
    <row r="152" spans="1:12" x14ac:dyDescent="0.25">
      <c r="A152" s="294"/>
      <c r="B152" s="16" t="s">
        <v>14</v>
      </c>
      <c r="C152" s="17"/>
      <c r="D152" s="18">
        <f>2.26+4+21.15-2</f>
        <v>25.409999999999997</v>
      </c>
      <c r="E152" s="17" t="s">
        <v>19</v>
      </c>
      <c r="F152" s="291"/>
      <c r="G152" s="291"/>
      <c r="H152" s="291"/>
      <c r="I152" s="291"/>
      <c r="J152" s="291"/>
      <c r="K152" s="297"/>
      <c r="L152" s="300"/>
    </row>
    <row r="153" spans="1:12" ht="15.75" thickBot="1" x14ac:dyDescent="0.3">
      <c r="A153" s="295"/>
      <c r="B153" s="19" t="s">
        <v>14</v>
      </c>
      <c r="C153" s="19"/>
      <c r="D153" s="20">
        <f>2+14.1-10</f>
        <v>6.1000000000000014</v>
      </c>
      <c r="E153" s="19" t="s">
        <v>20</v>
      </c>
      <c r="F153" s="292"/>
      <c r="G153" s="292"/>
      <c r="H153" s="292"/>
      <c r="I153" s="292"/>
      <c r="J153" s="292"/>
      <c r="K153" s="298"/>
      <c r="L153" s="301"/>
    </row>
    <row r="154" spans="1:12" s="24" customFormat="1" ht="23.25" customHeight="1" thickBot="1" x14ac:dyDescent="0.3">
      <c r="A154" s="293" t="s">
        <v>40</v>
      </c>
      <c r="B154" s="21" t="s">
        <v>14</v>
      </c>
      <c r="C154" s="101"/>
      <c r="D154" s="22">
        <v>158.13999999999999</v>
      </c>
      <c r="E154" s="23" t="s">
        <v>15</v>
      </c>
      <c r="F154" s="283" t="s">
        <v>89</v>
      </c>
      <c r="G154" s="283" t="s">
        <v>89</v>
      </c>
      <c r="H154" s="283" t="s">
        <v>89</v>
      </c>
      <c r="I154" s="283" t="s">
        <v>89</v>
      </c>
      <c r="J154" s="283" t="s">
        <v>89</v>
      </c>
      <c r="K154" s="285" t="s">
        <v>89</v>
      </c>
      <c r="L154" s="285" t="s">
        <v>89</v>
      </c>
    </row>
    <row r="155" spans="1:12" s="24" customFormat="1" ht="15.75" customHeight="1" thickBot="1" x14ac:dyDescent="0.3">
      <c r="A155" s="295"/>
      <c r="B155" s="19" t="s">
        <v>14</v>
      </c>
      <c r="C155" s="97"/>
      <c r="D155" s="22">
        <v>121.42</v>
      </c>
      <c r="E155" s="23" t="s">
        <v>20</v>
      </c>
      <c r="F155" s="284"/>
      <c r="G155" s="284"/>
      <c r="H155" s="284"/>
      <c r="I155" s="284"/>
      <c r="J155" s="284"/>
      <c r="K155" s="286"/>
      <c r="L155" s="286"/>
    </row>
    <row r="156" spans="1:12" s="24" customFormat="1" ht="39.75" customHeight="1" thickBot="1" x14ac:dyDescent="0.3">
      <c r="A156" s="268" t="s">
        <v>820</v>
      </c>
      <c r="B156" s="269"/>
      <c r="C156" s="270"/>
      <c r="D156" s="115">
        <f>+D11+D60+D67+D80+D93+D136</f>
        <v>10.448999999999998</v>
      </c>
      <c r="E156" s="34" t="s">
        <v>16</v>
      </c>
      <c r="F156" s="268" t="s">
        <v>824</v>
      </c>
      <c r="G156" s="269"/>
      <c r="H156" s="269"/>
      <c r="I156" s="269"/>
      <c r="J156" s="269"/>
      <c r="K156" s="114">
        <v>18109260997.369999</v>
      </c>
      <c r="L156" s="113"/>
    </row>
    <row r="157" spans="1:12" s="109" customFormat="1" ht="13.5" customHeight="1" thickBot="1" x14ac:dyDescent="0.3">
      <c r="A157" s="107"/>
      <c r="B157" s="107"/>
      <c r="C157" s="107"/>
      <c r="D157" s="108"/>
      <c r="E157" s="108"/>
      <c r="F157" s="103"/>
      <c r="G157" s="103"/>
      <c r="H157" s="103"/>
      <c r="I157" s="103"/>
      <c r="J157" s="103"/>
      <c r="K157" s="103"/>
      <c r="L157" s="103"/>
    </row>
    <row r="158" spans="1:12" ht="39" customHeight="1" thickBot="1" x14ac:dyDescent="0.3">
      <c r="A158" s="271" t="s">
        <v>819</v>
      </c>
      <c r="B158" s="272"/>
      <c r="C158" s="273"/>
      <c r="D158" s="34">
        <f>+D10+D14+D17+D23+D26+D29+D32+D35+D38+D41+D44+D47+D50+D53+D56+D59+D63+D66+D70+D73+D76+D79+D83+D86+D89+D92+D96+D99+D102+D105+D108+D111+D114+D117+D120+D123+D126+D129+D132+D135+D139+D142+D145+D151+D148+D20+D154+120</f>
        <v>1212.3200000000002</v>
      </c>
      <c r="E158" s="34" t="s">
        <v>16</v>
      </c>
      <c r="F158" s="271" t="s">
        <v>821</v>
      </c>
      <c r="G158" s="272"/>
      <c r="H158" s="272"/>
      <c r="I158" s="272"/>
      <c r="J158" s="272"/>
      <c r="K158" s="280">
        <f>(SUM(K7:K155))-K156</f>
        <v>193903255808.12</v>
      </c>
      <c r="L158" s="37"/>
    </row>
    <row r="159" spans="1:12" ht="27" customHeight="1" thickBot="1" x14ac:dyDescent="0.3">
      <c r="A159" s="274"/>
      <c r="B159" s="275"/>
      <c r="C159" s="276"/>
      <c r="D159" s="34">
        <f t="shared" ref="D159" si="0">+D12+D15+D18+D24+D27+D30+D33+D36+D39+D42+D45+D48+D51+D54+D57+D61+D64+D68+D71+D74+D77+D81+D84+D87+D90+D94+D97+D100+D103+D106+D109+D112+D115+D118+D121+D124+D127+D130+D133+D137+D140+D143+D146+D152+D149+D21</f>
        <v>913.39999999999986</v>
      </c>
      <c r="E159" s="34" t="s">
        <v>29</v>
      </c>
      <c r="F159" s="274"/>
      <c r="G159" s="275"/>
      <c r="H159" s="275"/>
      <c r="I159" s="275"/>
      <c r="J159" s="275"/>
      <c r="K159" s="281"/>
      <c r="L159" s="38"/>
    </row>
    <row r="160" spans="1:12" ht="15.75" customHeight="1" x14ac:dyDescent="0.25">
      <c r="A160" s="274"/>
      <c r="B160" s="275"/>
      <c r="C160" s="276"/>
      <c r="D160" s="35">
        <f>+D13+D16+D19+D25+D28+D31+D34+D37+D40+D43+D46+D49+D52+D55+D58+D62+D65+D69+D72+D75+D78+D82+D85+D88+D91+D95+D98+D101+D104+D107+D110+D113+D116+D119+D122+D125+D128+D131+D134+D138+D141+D144+D147+D153+D150+D22+D155-120</f>
        <v>973.28</v>
      </c>
      <c r="E160" s="35" t="s">
        <v>41</v>
      </c>
      <c r="F160" s="274"/>
      <c r="G160" s="275"/>
      <c r="H160" s="275"/>
      <c r="I160" s="275"/>
      <c r="J160" s="275"/>
      <c r="K160" s="281"/>
      <c r="L160" s="38"/>
    </row>
    <row r="161" spans="1:14" ht="15.75" customHeight="1" thickBot="1" x14ac:dyDescent="0.3">
      <c r="A161" s="274"/>
      <c r="B161" s="275"/>
      <c r="C161" s="276"/>
      <c r="D161" s="35"/>
      <c r="E161" s="35"/>
      <c r="F161" s="274"/>
      <c r="G161" s="275"/>
      <c r="H161" s="275"/>
      <c r="I161" s="275"/>
      <c r="J161" s="275"/>
      <c r="K161" s="281"/>
      <c r="L161" s="38"/>
    </row>
    <row r="162" spans="1:14" ht="36" customHeight="1" thickBot="1" x14ac:dyDescent="0.3">
      <c r="A162" s="277"/>
      <c r="B162" s="278"/>
      <c r="C162" s="279"/>
      <c r="D162" s="36">
        <f>SUM(D158:D160)</f>
        <v>3099</v>
      </c>
      <c r="E162" s="36" t="s">
        <v>42</v>
      </c>
      <c r="F162" s="277"/>
      <c r="G162" s="278"/>
      <c r="H162" s="278"/>
      <c r="I162" s="278"/>
      <c r="J162" s="278"/>
      <c r="K162" s="282"/>
      <c r="L162" s="39"/>
    </row>
    <row r="163" spans="1:14" ht="15.75" thickBot="1" x14ac:dyDescent="0.3"/>
    <row r="164" spans="1:14" s="155" customFormat="1" ht="51" customHeight="1" thickBot="1" x14ac:dyDescent="0.3">
      <c r="A164" s="268" t="s">
        <v>827</v>
      </c>
      <c r="B164" s="269"/>
      <c r="C164" s="270"/>
      <c r="D164" s="158">
        <f>+D162+D156</f>
        <v>3109.4490000000001</v>
      </c>
      <c r="E164" s="150" t="s">
        <v>42</v>
      </c>
      <c r="F164" s="160" t="s">
        <v>828</v>
      </c>
      <c r="G164" s="148"/>
      <c r="H164" s="148"/>
      <c r="I164" s="161"/>
      <c r="J164" s="150"/>
      <c r="K164" s="159">
        <f>+K158+K156</f>
        <v>212012516805.48999</v>
      </c>
      <c r="L164" s="150"/>
    </row>
    <row r="165" spans="1:14" ht="28.5" customHeight="1" x14ac:dyDescent="0.25">
      <c r="D165" s="26"/>
    </row>
    <row r="166" spans="1:14" ht="20.25" thickBot="1" x14ac:dyDescent="0.35">
      <c r="A166" s="94" t="s">
        <v>87</v>
      </c>
      <c r="C166" s="8"/>
      <c r="E166" s="9"/>
    </row>
    <row r="167" spans="1:14" ht="15.75" thickBot="1" x14ac:dyDescent="0.3">
      <c r="A167" s="93"/>
      <c r="B167" s="91" t="s">
        <v>16</v>
      </c>
      <c r="C167" s="27" t="s">
        <v>29</v>
      </c>
      <c r="D167" s="68" t="s">
        <v>41</v>
      </c>
      <c r="E167" s="70" t="s">
        <v>191</v>
      </c>
    </row>
    <row r="168" spans="1:14" x14ac:dyDescent="0.25">
      <c r="A168" s="92" t="s">
        <v>686</v>
      </c>
      <c r="B168" s="29">
        <v>442.13</v>
      </c>
      <c r="C168" s="29">
        <v>12</v>
      </c>
      <c r="D168" s="69">
        <v>3</v>
      </c>
      <c r="E168" s="71">
        <f>SUM(B168:D168)</f>
        <v>457.13</v>
      </c>
    </row>
    <row r="169" spans="1:14" ht="26.25" customHeight="1" x14ac:dyDescent="0.25">
      <c r="A169" s="28" t="s">
        <v>687</v>
      </c>
      <c r="B169" s="29">
        <v>83.15</v>
      </c>
      <c r="C169" s="29">
        <v>30.47</v>
      </c>
      <c r="D169" s="69">
        <v>16.38</v>
      </c>
      <c r="E169" s="71">
        <f>SUM(B169:D169)</f>
        <v>130</v>
      </c>
      <c r="N169" s="40"/>
    </row>
    <row r="170" spans="1:14" ht="23.25" customHeight="1" x14ac:dyDescent="0.25">
      <c r="A170" s="28" t="s">
        <v>688</v>
      </c>
      <c r="B170" s="29">
        <v>674.62</v>
      </c>
      <c r="C170" s="29">
        <v>859.99</v>
      </c>
      <c r="D170" s="69">
        <v>977.26</v>
      </c>
      <c r="E170" s="72">
        <f>SUM(B170:D170)</f>
        <v>2511.87</v>
      </c>
      <c r="I170" s="9"/>
      <c r="J170" s="9"/>
      <c r="K170" s="9"/>
      <c r="L170" s="9"/>
    </row>
    <row r="171" spans="1:14" ht="15.75" thickBot="1" x14ac:dyDescent="0.3">
      <c r="A171" s="7"/>
      <c r="C171" s="8"/>
      <c r="E171" s="9"/>
      <c r="G171" s="30"/>
      <c r="I171" s="9"/>
      <c r="J171" s="9"/>
      <c r="K171" s="9"/>
      <c r="L171" s="9"/>
    </row>
    <row r="172" spans="1:14" ht="15.75" thickBot="1" x14ac:dyDescent="0.3">
      <c r="A172" s="31">
        <f ca="1">SUM(A172:D172)</f>
        <v>3099</v>
      </c>
      <c r="B172" s="32">
        <f>+D158</f>
        <v>1212.3200000000002</v>
      </c>
      <c r="C172" s="32">
        <f>+D159</f>
        <v>913.39999999999986</v>
      </c>
      <c r="D172" s="33">
        <f>+D160</f>
        <v>973.28</v>
      </c>
      <c r="E172" s="90">
        <f>SUM(B172:D172)</f>
        <v>3099</v>
      </c>
    </row>
    <row r="173" spans="1:14" x14ac:dyDescent="0.25">
      <c r="A173" s="7"/>
      <c r="C173" s="8"/>
      <c r="E173" s="9"/>
      <c r="M173" s="40"/>
    </row>
    <row r="174" spans="1:14" x14ac:dyDescent="0.25">
      <c r="J174" s="26"/>
      <c r="K174" s="6"/>
      <c r="L174" s="26"/>
    </row>
  </sheetData>
  <mergeCells count="391">
    <mergeCell ref="A1:XFD4"/>
    <mergeCell ref="A7:A9"/>
    <mergeCell ref="B7:C8"/>
    <mergeCell ref="D7:I7"/>
    <mergeCell ref="J7:J9"/>
    <mergeCell ref="K7:K9"/>
    <mergeCell ref="L7:L9"/>
    <mergeCell ref="D8:E8"/>
    <mergeCell ref="G8:H8"/>
    <mergeCell ref="K10:K13"/>
    <mergeCell ref="L10:L13"/>
    <mergeCell ref="A14:A16"/>
    <mergeCell ref="F14:F16"/>
    <mergeCell ref="G14:G16"/>
    <mergeCell ref="H14:H16"/>
    <mergeCell ref="I14:I16"/>
    <mergeCell ref="J14:J16"/>
    <mergeCell ref="K14:K16"/>
    <mergeCell ref="L14:L16"/>
    <mergeCell ref="A10:A13"/>
    <mergeCell ref="F10:F13"/>
    <mergeCell ref="G10:G13"/>
    <mergeCell ref="H10:H13"/>
    <mergeCell ref="I10:I13"/>
    <mergeCell ref="J10:J13"/>
    <mergeCell ref="K17:K19"/>
    <mergeCell ref="L17:L19"/>
    <mergeCell ref="A20:A22"/>
    <mergeCell ref="F20:F22"/>
    <mergeCell ref="G20:G22"/>
    <mergeCell ref="H20:H22"/>
    <mergeCell ref="I20:I22"/>
    <mergeCell ref="J20:J22"/>
    <mergeCell ref="K20:K22"/>
    <mergeCell ref="L20:L22"/>
    <mergeCell ref="A17:A19"/>
    <mergeCell ref="F17:F19"/>
    <mergeCell ref="G17:G19"/>
    <mergeCell ref="H17:H19"/>
    <mergeCell ref="I17:I19"/>
    <mergeCell ref="J17:J19"/>
    <mergeCell ref="K23:K25"/>
    <mergeCell ref="L23:L25"/>
    <mergeCell ref="A26:A28"/>
    <mergeCell ref="F26:F28"/>
    <mergeCell ref="G26:G28"/>
    <mergeCell ref="H26:H28"/>
    <mergeCell ref="I26:I28"/>
    <mergeCell ref="J26:J28"/>
    <mergeCell ref="K26:K28"/>
    <mergeCell ref="L26:L28"/>
    <mergeCell ref="A23:A25"/>
    <mergeCell ref="F23:F25"/>
    <mergeCell ref="G23:G25"/>
    <mergeCell ref="H23:H25"/>
    <mergeCell ref="I23:I25"/>
    <mergeCell ref="J23:J25"/>
    <mergeCell ref="K29:K31"/>
    <mergeCell ref="L29:L31"/>
    <mergeCell ref="A32:A34"/>
    <mergeCell ref="F32:F34"/>
    <mergeCell ref="G32:G34"/>
    <mergeCell ref="H32:H34"/>
    <mergeCell ref="I32:I34"/>
    <mergeCell ref="J32:J34"/>
    <mergeCell ref="K32:K34"/>
    <mergeCell ref="L32:L34"/>
    <mergeCell ref="A29:A31"/>
    <mergeCell ref="F29:F31"/>
    <mergeCell ref="G29:G31"/>
    <mergeCell ref="H29:H31"/>
    <mergeCell ref="I29:I31"/>
    <mergeCell ref="J29:J31"/>
    <mergeCell ref="K35:K37"/>
    <mergeCell ref="L35:L37"/>
    <mergeCell ref="A38:A40"/>
    <mergeCell ref="F38:F40"/>
    <mergeCell ref="G38:G40"/>
    <mergeCell ref="H38:H40"/>
    <mergeCell ref="I38:I40"/>
    <mergeCell ref="J38:J40"/>
    <mergeCell ref="K38:K40"/>
    <mergeCell ref="L38:L40"/>
    <mergeCell ref="A35:A37"/>
    <mergeCell ref="F35:F37"/>
    <mergeCell ref="G35:G37"/>
    <mergeCell ref="H35:H37"/>
    <mergeCell ref="I35:I37"/>
    <mergeCell ref="J35:J37"/>
    <mergeCell ref="K41:K43"/>
    <mergeCell ref="L41:L43"/>
    <mergeCell ref="A44:A46"/>
    <mergeCell ref="F44:F46"/>
    <mergeCell ref="G44:G46"/>
    <mergeCell ref="H44:H46"/>
    <mergeCell ref="I44:I46"/>
    <mergeCell ref="J44:J46"/>
    <mergeCell ref="K44:K46"/>
    <mergeCell ref="L44:L46"/>
    <mergeCell ref="A41:A43"/>
    <mergeCell ref="F41:F43"/>
    <mergeCell ref="G41:G43"/>
    <mergeCell ref="H41:H43"/>
    <mergeCell ref="I41:I43"/>
    <mergeCell ref="J41:J43"/>
    <mergeCell ref="K47:K49"/>
    <mergeCell ref="L47:L49"/>
    <mergeCell ref="A50:A52"/>
    <mergeCell ref="F50:F52"/>
    <mergeCell ref="G50:G52"/>
    <mergeCell ref="H50:H52"/>
    <mergeCell ref="I50:I52"/>
    <mergeCell ref="J50:J52"/>
    <mergeCell ref="K50:K52"/>
    <mergeCell ref="L50:L52"/>
    <mergeCell ref="A47:A49"/>
    <mergeCell ref="F47:F49"/>
    <mergeCell ref="G47:G49"/>
    <mergeCell ref="H47:H49"/>
    <mergeCell ref="I47:I49"/>
    <mergeCell ref="J47:J49"/>
    <mergeCell ref="K53:K55"/>
    <mergeCell ref="L53:L55"/>
    <mergeCell ref="A56:A58"/>
    <mergeCell ref="F56:F58"/>
    <mergeCell ref="G56:G58"/>
    <mergeCell ref="H56:H58"/>
    <mergeCell ref="I56:I58"/>
    <mergeCell ref="J56:J58"/>
    <mergeCell ref="K56:K58"/>
    <mergeCell ref="L56:L58"/>
    <mergeCell ref="A53:A55"/>
    <mergeCell ref="F53:F55"/>
    <mergeCell ref="G53:G55"/>
    <mergeCell ref="H53:H55"/>
    <mergeCell ref="I53:I55"/>
    <mergeCell ref="J53:J55"/>
    <mergeCell ref="K59:K62"/>
    <mergeCell ref="L59:L62"/>
    <mergeCell ref="A63:A65"/>
    <mergeCell ref="F63:F65"/>
    <mergeCell ref="G63:G65"/>
    <mergeCell ref="H63:H65"/>
    <mergeCell ref="I63:I65"/>
    <mergeCell ref="J63:J65"/>
    <mergeCell ref="K63:K65"/>
    <mergeCell ref="L63:L65"/>
    <mergeCell ref="A59:A62"/>
    <mergeCell ref="F59:F62"/>
    <mergeCell ref="G59:G62"/>
    <mergeCell ref="H59:H62"/>
    <mergeCell ref="I59:I62"/>
    <mergeCell ref="J59:J62"/>
    <mergeCell ref="K66:K69"/>
    <mergeCell ref="L66:L69"/>
    <mergeCell ref="A70:A72"/>
    <mergeCell ref="F70:F72"/>
    <mergeCell ref="G70:G72"/>
    <mergeCell ref="H70:H72"/>
    <mergeCell ref="I70:I72"/>
    <mergeCell ref="J70:J72"/>
    <mergeCell ref="K70:K72"/>
    <mergeCell ref="L70:L72"/>
    <mergeCell ref="A66:A69"/>
    <mergeCell ref="F66:F69"/>
    <mergeCell ref="G66:G69"/>
    <mergeCell ref="H66:H69"/>
    <mergeCell ref="I66:I69"/>
    <mergeCell ref="J66:J69"/>
    <mergeCell ref="K73:K75"/>
    <mergeCell ref="L73:L75"/>
    <mergeCell ref="A76:A78"/>
    <mergeCell ref="F76:F78"/>
    <mergeCell ref="G76:G78"/>
    <mergeCell ref="H76:H78"/>
    <mergeCell ref="I76:I78"/>
    <mergeCell ref="J76:J78"/>
    <mergeCell ref="K76:K78"/>
    <mergeCell ref="L76:L78"/>
    <mergeCell ref="A73:A75"/>
    <mergeCell ref="F73:F75"/>
    <mergeCell ref="G73:G75"/>
    <mergeCell ref="H73:H75"/>
    <mergeCell ref="I73:I75"/>
    <mergeCell ref="J73:J75"/>
    <mergeCell ref="K79:K82"/>
    <mergeCell ref="L79:L82"/>
    <mergeCell ref="A83:A85"/>
    <mergeCell ref="F83:F85"/>
    <mergeCell ref="G83:G85"/>
    <mergeCell ref="H83:H85"/>
    <mergeCell ref="I83:I85"/>
    <mergeCell ref="J83:J85"/>
    <mergeCell ref="K83:K85"/>
    <mergeCell ref="L83:L85"/>
    <mergeCell ref="A79:A82"/>
    <mergeCell ref="F79:F82"/>
    <mergeCell ref="G79:G82"/>
    <mergeCell ref="H79:H82"/>
    <mergeCell ref="I79:I82"/>
    <mergeCell ref="J79:J82"/>
    <mergeCell ref="K86:K88"/>
    <mergeCell ref="L86:L88"/>
    <mergeCell ref="A89:A91"/>
    <mergeCell ref="F89:F91"/>
    <mergeCell ref="G89:G91"/>
    <mergeCell ref="H89:H91"/>
    <mergeCell ref="I89:I91"/>
    <mergeCell ref="J89:J91"/>
    <mergeCell ref="K89:K91"/>
    <mergeCell ref="L89:L91"/>
    <mergeCell ref="A86:A88"/>
    <mergeCell ref="F86:F88"/>
    <mergeCell ref="G86:G88"/>
    <mergeCell ref="H86:H88"/>
    <mergeCell ref="I86:I88"/>
    <mergeCell ref="J86:J88"/>
    <mergeCell ref="K92:K95"/>
    <mergeCell ref="L92:L95"/>
    <mergeCell ref="A96:A98"/>
    <mergeCell ref="F96:F98"/>
    <mergeCell ref="G96:G98"/>
    <mergeCell ref="H96:H98"/>
    <mergeCell ref="I96:I98"/>
    <mergeCell ref="J96:J98"/>
    <mergeCell ref="K96:K98"/>
    <mergeCell ref="L96:L98"/>
    <mergeCell ref="A92:A95"/>
    <mergeCell ref="F92:F95"/>
    <mergeCell ref="G92:G95"/>
    <mergeCell ref="H92:H95"/>
    <mergeCell ref="I92:I95"/>
    <mergeCell ref="J92:J95"/>
    <mergeCell ref="K99:K101"/>
    <mergeCell ref="L99:L101"/>
    <mergeCell ref="A102:A104"/>
    <mergeCell ref="F102:F104"/>
    <mergeCell ref="G102:G104"/>
    <mergeCell ref="H102:H104"/>
    <mergeCell ref="I102:I104"/>
    <mergeCell ref="J102:J104"/>
    <mergeCell ref="K102:K104"/>
    <mergeCell ref="L102:L104"/>
    <mergeCell ref="A99:A101"/>
    <mergeCell ref="F99:F101"/>
    <mergeCell ref="G99:G101"/>
    <mergeCell ref="H99:H101"/>
    <mergeCell ref="I99:I101"/>
    <mergeCell ref="J99:J101"/>
    <mergeCell ref="K105:K107"/>
    <mergeCell ref="L105:L107"/>
    <mergeCell ref="A108:A110"/>
    <mergeCell ref="F108:F110"/>
    <mergeCell ref="G108:G110"/>
    <mergeCell ref="H108:H110"/>
    <mergeCell ref="I108:I110"/>
    <mergeCell ref="J108:J110"/>
    <mergeCell ref="K108:K110"/>
    <mergeCell ref="L108:L110"/>
    <mergeCell ref="A105:A107"/>
    <mergeCell ref="F105:F107"/>
    <mergeCell ref="G105:G107"/>
    <mergeCell ref="H105:H107"/>
    <mergeCell ref="I105:I107"/>
    <mergeCell ref="J105:J107"/>
    <mergeCell ref="K111:K113"/>
    <mergeCell ref="L111:L113"/>
    <mergeCell ref="A114:A116"/>
    <mergeCell ref="F114:F116"/>
    <mergeCell ref="G114:G116"/>
    <mergeCell ref="H114:H116"/>
    <mergeCell ref="I114:I116"/>
    <mergeCell ref="J114:J116"/>
    <mergeCell ref="K114:K116"/>
    <mergeCell ref="L114:L116"/>
    <mergeCell ref="A111:A113"/>
    <mergeCell ref="F111:F113"/>
    <mergeCell ref="G111:G113"/>
    <mergeCell ref="H111:H113"/>
    <mergeCell ref="I111:I113"/>
    <mergeCell ref="J111:J113"/>
    <mergeCell ref="K117:K119"/>
    <mergeCell ref="L117:L119"/>
    <mergeCell ref="A120:A122"/>
    <mergeCell ref="F120:F122"/>
    <mergeCell ref="G120:G122"/>
    <mergeCell ref="H120:H122"/>
    <mergeCell ref="I120:I122"/>
    <mergeCell ref="J120:J122"/>
    <mergeCell ref="K120:K122"/>
    <mergeCell ref="L120:L122"/>
    <mergeCell ref="A117:A119"/>
    <mergeCell ref="F117:F119"/>
    <mergeCell ref="G117:G119"/>
    <mergeCell ref="H117:H119"/>
    <mergeCell ref="I117:I119"/>
    <mergeCell ref="J117:J119"/>
    <mergeCell ref="K123:K125"/>
    <mergeCell ref="L123:L125"/>
    <mergeCell ref="A126:A128"/>
    <mergeCell ref="F126:F128"/>
    <mergeCell ref="G126:G128"/>
    <mergeCell ref="H126:H128"/>
    <mergeCell ref="I126:I128"/>
    <mergeCell ref="J126:J128"/>
    <mergeCell ref="K126:K128"/>
    <mergeCell ref="L126:L128"/>
    <mergeCell ref="A123:A125"/>
    <mergeCell ref="F123:F125"/>
    <mergeCell ref="G123:G125"/>
    <mergeCell ref="H123:H125"/>
    <mergeCell ref="I123:I125"/>
    <mergeCell ref="J123:J125"/>
    <mergeCell ref="K129:K131"/>
    <mergeCell ref="L129:L131"/>
    <mergeCell ref="A132:A134"/>
    <mergeCell ref="F132:F134"/>
    <mergeCell ref="G132:G134"/>
    <mergeCell ref="H132:H134"/>
    <mergeCell ref="I132:I134"/>
    <mergeCell ref="J132:J134"/>
    <mergeCell ref="K132:K134"/>
    <mergeCell ref="L132:L134"/>
    <mergeCell ref="A129:A131"/>
    <mergeCell ref="F129:F131"/>
    <mergeCell ref="G129:G131"/>
    <mergeCell ref="H129:H131"/>
    <mergeCell ref="I129:I131"/>
    <mergeCell ref="J129:J131"/>
    <mergeCell ref="K135:K138"/>
    <mergeCell ref="L135:L138"/>
    <mergeCell ref="A139:A141"/>
    <mergeCell ref="F139:F141"/>
    <mergeCell ref="G139:G141"/>
    <mergeCell ref="H139:H141"/>
    <mergeCell ref="I139:I141"/>
    <mergeCell ref="J139:J141"/>
    <mergeCell ref="K139:K141"/>
    <mergeCell ref="L139:L141"/>
    <mergeCell ref="A135:A138"/>
    <mergeCell ref="F135:F138"/>
    <mergeCell ref="G135:G138"/>
    <mergeCell ref="H135:H138"/>
    <mergeCell ref="I135:I138"/>
    <mergeCell ref="J135:J138"/>
    <mergeCell ref="K142:K144"/>
    <mergeCell ref="L142:L144"/>
    <mergeCell ref="A145:A147"/>
    <mergeCell ref="F145:F147"/>
    <mergeCell ref="G145:G147"/>
    <mergeCell ref="H145:H147"/>
    <mergeCell ref="I145:I147"/>
    <mergeCell ref="J145:J147"/>
    <mergeCell ref="K145:K147"/>
    <mergeCell ref="L145:L147"/>
    <mergeCell ref="A142:A144"/>
    <mergeCell ref="F142:F144"/>
    <mergeCell ref="G142:G144"/>
    <mergeCell ref="H142:H144"/>
    <mergeCell ref="I142:I144"/>
    <mergeCell ref="J142:J144"/>
    <mergeCell ref="L154:L155"/>
    <mergeCell ref="K148:K150"/>
    <mergeCell ref="L148:L150"/>
    <mergeCell ref="A151:A153"/>
    <mergeCell ref="F151:F153"/>
    <mergeCell ref="G151:G153"/>
    <mergeCell ref="H151:H153"/>
    <mergeCell ref="I151:I153"/>
    <mergeCell ref="J151:J153"/>
    <mergeCell ref="K151:K153"/>
    <mergeCell ref="L151:L153"/>
    <mergeCell ref="A148:A150"/>
    <mergeCell ref="F148:F150"/>
    <mergeCell ref="G148:G150"/>
    <mergeCell ref="H148:H150"/>
    <mergeCell ref="I148:I150"/>
    <mergeCell ref="J148:J150"/>
    <mergeCell ref="A154:A155"/>
    <mergeCell ref="A164:C164"/>
    <mergeCell ref="A158:C162"/>
    <mergeCell ref="F158:J162"/>
    <mergeCell ref="K158:K162"/>
    <mergeCell ref="F154:F155"/>
    <mergeCell ref="G154:G155"/>
    <mergeCell ref="H154:H155"/>
    <mergeCell ref="I154:I155"/>
    <mergeCell ref="J154:J155"/>
    <mergeCell ref="K154:K155"/>
    <mergeCell ref="A156:C156"/>
    <mergeCell ref="F156:J156"/>
  </mergeCells>
  <pageMargins left="0.70866141732283472" right="0.70866141732283472" top="0.74803149606299213" bottom="0.74803149606299213" header="0.31496062992125984" footer="0.31496062992125984"/>
  <pageSetup scale="60"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B6"/>
  <sheetViews>
    <sheetView workbookViewId="0">
      <selection activeCell="D6" sqref="D6"/>
    </sheetView>
  </sheetViews>
  <sheetFormatPr baseColWidth="10" defaultRowHeight="15" x14ac:dyDescent="0.25"/>
  <cols>
    <col min="1" max="1" width="38" customWidth="1"/>
    <col min="2" max="2" width="33.42578125" customWidth="1"/>
  </cols>
  <sheetData>
    <row r="1" spans="1:2" s="41" customFormat="1" ht="27.75" customHeight="1" x14ac:dyDescent="0.25">
      <c r="A1" s="258" t="s">
        <v>1194</v>
      </c>
      <c r="B1" s="258" t="s">
        <v>1195</v>
      </c>
    </row>
    <row r="2" spans="1:2" s="41" customFormat="1" ht="31.5" customHeight="1" x14ac:dyDescent="0.25">
      <c r="A2" s="265" t="s">
        <v>1197</v>
      </c>
      <c r="B2" s="264" t="s">
        <v>1189</v>
      </c>
    </row>
    <row r="3" spans="1:2" s="41" customFormat="1" ht="19.5" customHeight="1" x14ac:dyDescent="0.25">
      <c r="A3" s="265" t="s">
        <v>1197</v>
      </c>
      <c r="B3" s="264" t="s">
        <v>1190</v>
      </c>
    </row>
    <row r="4" spans="1:2" s="41" customFormat="1" ht="19.5" customHeight="1" x14ac:dyDescent="0.25">
      <c r="A4" s="265" t="s">
        <v>1197</v>
      </c>
      <c r="B4" s="252" t="s">
        <v>1191</v>
      </c>
    </row>
    <row r="5" spans="1:2" s="41" customFormat="1" ht="19.5" customHeight="1" x14ac:dyDescent="0.25">
      <c r="A5" s="265" t="s">
        <v>1197</v>
      </c>
      <c r="B5" s="264" t="s">
        <v>1192</v>
      </c>
    </row>
    <row r="6" spans="1:2" s="41" customFormat="1" ht="51" customHeight="1" x14ac:dyDescent="0.25">
      <c r="A6" s="265" t="s">
        <v>1196</v>
      </c>
      <c r="B6" s="264" t="s">
        <v>1193</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82"/>
  <sheetViews>
    <sheetView topLeftCell="A58" zoomScale="70" zoomScaleNormal="70" workbookViewId="0">
      <selection activeCell="P14" sqref="P14"/>
    </sheetView>
  </sheetViews>
  <sheetFormatPr baseColWidth="10" defaultRowHeight="15" x14ac:dyDescent="0.25"/>
  <cols>
    <col min="1" max="1" width="34.28515625" style="25" customWidth="1"/>
    <col min="2" max="2" width="12.140625" style="6" customWidth="1"/>
    <col min="3" max="3" width="12" style="6" customWidth="1"/>
    <col min="4" max="4" width="11.42578125" style="117"/>
    <col min="5" max="5" width="6.85546875" style="6" hidden="1" customWidth="1"/>
    <col min="6" max="6" width="6.5703125" style="6" hidden="1" customWidth="1"/>
    <col min="7" max="7" width="5.28515625" style="6" hidden="1" customWidth="1"/>
    <col min="8" max="8" width="6.7109375" style="6" hidden="1" customWidth="1"/>
    <col min="9" max="9" width="4.85546875" style="6" hidden="1" customWidth="1"/>
    <col min="10" max="10" width="12.140625" style="6" customWidth="1"/>
    <col min="11" max="11" width="25.28515625" style="6" customWidth="1"/>
    <col min="12" max="12" width="32.140625" style="8" customWidth="1"/>
    <col min="13" max="13" width="19.85546875" style="6" customWidth="1"/>
    <col min="14" max="14" width="1.5703125" style="6" customWidth="1"/>
    <col min="15" max="15" width="9.140625" style="106" customWidth="1"/>
    <col min="16" max="16" width="21.5703125" style="9" bestFit="1" customWidth="1"/>
    <col min="17" max="16384" width="11.42578125" style="9"/>
  </cols>
  <sheetData>
    <row r="1" spans="1:16" ht="30" customHeight="1" x14ac:dyDescent="0.25">
      <c r="A1" s="322" t="s">
        <v>1</v>
      </c>
      <c r="B1" s="322"/>
      <c r="C1" s="322"/>
      <c r="D1" s="322"/>
      <c r="E1" s="322"/>
      <c r="F1" s="322"/>
      <c r="G1" s="322"/>
      <c r="H1" s="322"/>
      <c r="I1" s="322"/>
      <c r="J1" s="322"/>
      <c r="K1" s="322"/>
      <c r="L1" s="322"/>
      <c r="M1" s="322"/>
    </row>
    <row r="2" spans="1:16" ht="15.75" thickBot="1" x14ac:dyDescent="0.3">
      <c r="A2" s="10"/>
    </row>
    <row r="3" spans="1:16" ht="39" customHeight="1" thickBot="1" x14ac:dyDescent="0.3">
      <c r="A3" s="332" t="s">
        <v>698</v>
      </c>
      <c r="B3" s="335" t="s">
        <v>3</v>
      </c>
      <c r="C3" s="336"/>
      <c r="D3" s="323" t="s">
        <v>4</v>
      </c>
      <c r="E3" s="324"/>
      <c r="F3" s="324"/>
      <c r="G3" s="324"/>
      <c r="H3" s="324"/>
      <c r="I3" s="324"/>
      <c r="J3" s="325"/>
      <c r="K3" s="329" t="s">
        <v>699</v>
      </c>
      <c r="L3" s="340" t="s">
        <v>5</v>
      </c>
      <c r="M3" s="329" t="s">
        <v>6</v>
      </c>
      <c r="N3" s="105"/>
    </row>
    <row r="4" spans="1:16" ht="15.75" thickBot="1" x14ac:dyDescent="0.3">
      <c r="A4" s="333"/>
      <c r="B4" s="337"/>
      <c r="C4" s="338"/>
      <c r="D4" s="326" t="s">
        <v>7</v>
      </c>
      <c r="E4" s="327"/>
      <c r="F4" s="327"/>
      <c r="G4" s="327"/>
      <c r="H4" s="327"/>
      <c r="I4" s="327"/>
      <c r="J4" s="328"/>
      <c r="K4" s="339"/>
      <c r="L4" s="341"/>
      <c r="M4" s="330"/>
      <c r="N4" s="105"/>
    </row>
    <row r="5" spans="1:16" ht="59.25" customHeight="1" thickBot="1" x14ac:dyDescent="0.3">
      <c r="A5" s="334"/>
      <c r="B5" s="164" t="s">
        <v>11</v>
      </c>
      <c r="C5" s="163" t="s">
        <v>700</v>
      </c>
      <c r="D5" s="131" t="s">
        <v>816</v>
      </c>
      <c r="E5" s="165" t="s">
        <v>13</v>
      </c>
      <c r="F5" s="165" t="s">
        <v>13</v>
      </c>
      <c r="G5" s="166" t="s">
        <v>12</v>
      </c>
      <c r="H5" s="165" t="s">
        <v>13</v>
      </c>
      <c r="I5" s="166" t="s">
        <v>12</v>
      </c>
      <c r="J5" s="167" t="s">
        <v>815</v>
      </c>
      <c r="K5" s="331"/>
      <c r="L5" s="342"/>
      <c r="M5" s="331"/>
      <c r="N5" s="105"/>
    </row>
    <row r="6" spans="1:16" ht="22.5" customHeight="1" thickBot="1" x14ac:dyDescent="0.3">
      <c r="A6" s="118" t="s">
        <v>132</v>
      </c>
      <c r="B6" s="19"/>
      <c r="C6" s="19"/>
      <c r="D6" s="23"/>
      <c r="E6" s="19"/>
      <c r="F6" s="19"/>
      <c r="G6" s="19"/>
      <c r="H6" s="19"/>
      <c r="I6" s="19"/>
      <c r="J6" s="19"/>
      <c r="K6" s="19"/>
      <c r="L6" s="119"/>
      <c r="M6" s="19"/>
      <c r="N6" s="105"/>
    </row>
    <row r="7" spans="1:16" ht="30.75" thickBot="1" x14ac:dyDescent="0.3">
      <c r="A7" s="95" t="s">
        <v>740</v>
      </c>
      <c r="B7" s="19" t="s">
        <v>14</v>
      </c>
      <c r="C7" s="19"/>
      <c r="D7" s="23">
        <v>7.17</v>
      </c>
      <c r="E7" s="19" t="s">
        <v>16</v>
      </c>
      <c r="F7" s="19" t="s">
        <v>16</v>
      </c>
      <c r="G7" s="19" t="s">
        <v>89</v>
      </c>
      <c r="H7" s="19" t="s">
        <v>89</v>
      </c>
      <c r="I7" s="19"/>
      <c r="J7" s="19"/>
      <c r="K7" s="19" t="s">
        <v>38</v>
      </c>
      <c r="L7" s="119">
        <v>9022750093.0400009</v>
      </c>
      <c r="M7" s="19">
        <v>100</v>
      </c>
      <c r="N7" s="105"/>
    </row>
    <row r="8" spans="1:16" ht="30.75" thickBot="1" x14ac:dyDescent="0.3">
      <c r="A8" s="95" t="s">
        <v>747</v>
      </c>
      <c r="B8" s="19"/>
      <c r="C8" s="19" t="s">
        <v>14</v>
      </c>
      <c r="D8" s="23"/>
      <c r="E8" s="19" t="s">
        <v>16</v>
      </c>
      <c r="F8" s="19" t="s">
        <v>16</v>
      </c>
      <c r="G8" s="19" t="s">
        <v>89</v>
      </c>
      <c r="H8" s="19" t="s">
        <v>89</v>
      </c>
      <c r="I8" s="19"/>
      <c r="J8" s="19">
        <v>1.452</v>
      </c>
      <c r="K8" s="19" t="s">
        <v>33</v>
      </c>
      <c r="L8" s="119">
        <f>2469373874.72</f>
        <v>2469373874.7199998</v>
      </c>
      <c r="M8" s="19">
        <v>100</v>
      </c>
      <c r="N8" s="105"/>
      <c r="P8" s="120"/>
    </row>
    <row r="9" spans="1:16" ht="30.75" thickBot="1" x14ac:dyDescent="0.3">
      <c r="A9" s="95" t="s">
        <v>741</v>
      </c>
      <c r="B9" s="19"/>
      <c r="C9" s="19" t="s">
        <v>14</v>
      </c>
      <c r="D9" s="23"/>
      <c r="E9" s="19" t="s">
        <v>16</v>
      </c>
      <c r="F9" s="19" t="s">
        <v>16</v>
      </c>
      <c r="G9" s="19" t="s">
        <v>89</v>
      </c>
      <c r="H9" s="19" t="s">
        <v>89</v>
      </c>
      <c r="I9" s="19"/>
      <c r="J9" s="19">
        <v>2.8</v>
      </c>
      <c r="K9" s="19" t="s">
        <v>742</v>
      </c>
      <c r="L9" s="119">
        <v>5221217435.1800003</v>
      </c>
      <c r="M9" s="19">
        <v>75</v>
      </c>
      <c r="N9" s="105"/>
      <c r="P9" s="40"/>
    </row>
    <row r="10" spans="1:16" ht="20.25" customHeight="1" thickBot="1" x14ac:dyDescent="0.3">
      <c r="A10" s="121"/>
      <c r="B10" s="19"/>
      <c r="C10" s="19"/>
      <c r="D10" s="23"/>
      <c r="E10" s="19"/>
      <c r="F10" s="19"/>
      <c r="G10" s="19"/>
      <c r="H10" s="19"/>
      <c r="I10" s="19"/>
      <c r="J10" s="19"/>
      <c r="K10" s="19"/>
      <c r="L10" s="122">
        <f>SUM(L7:L9)</f>
        <v>16713341402.940001</v>
      </c>
      <c r="M10" s="19"/>
      <c r="N10" s="105"/>
    </row>
    <row r="11" spans="1:16" ht="21" customHeight="1" thickBot="1" x14ac:dyDescent="0.3">
      <c r="A11" s="123" t="s">
        <v>753</v>
      </c>
      <c r="B11" s="19"/>
      <c r="C11" s="19"/>
      <c r="D11" s="23"/>
      <c r="E11" s="19"/>
      <c r="F11" s="19"/>
      <c r="G11" s="19"/>
      <c r="H11" s="19"/>
      <c r="I11" s="19"/>
      <c r="J11" s="19"/>
      <c r="K11" s="19"/>
      <c r="L11" s="122"/>
      <c r="M11" s="19"/>
      <c r="N11" s="105"/>
    </row>
    <row r="12" spans="1:16" ht="29.25" customHeight="1" thickBot="1" x14ac:dyDescent="0.3">
      <c r="A12" s="95" t="s">
        <v>748</v>
      </c>
      <c r="B12" s="19" t="s">
        <v>14</v>
      </c>
      <c r="C12" s="19"/>
      <c r="D12" s="23">
        <v>3</v>
      </c>
      <c r="E12" s="19" t="s">
        <v>16</v>
      </c>
      <c r="F12" s="19"/>
      <c r="G12" s="19" t="s">
        <v>89</v>
      </c>
      <c r="H12" s="19" t="s">
        <v>89</v>
      </c>
      <c r="I12" s="19" t="s">
        <v>21</v>
      </c>
      <c r="J12" s="19"/>
      <c r="K12" s="19" t="s">
        <v>22</v>
      </c>
      <c r="L12" s="119">
        <v>656590819</v>
      </c>
      <c r="M12" s="19">
        <v>100</v>
      </c>
      <c r="N12" s="105"/>
    </row>
    <row r="13" spans="1:16" ht="29.25" customHeight="1" thickBot="1" x14ac:dyDescent="0.3">
      <c r="A13" s="95"/>
      <c r="B13" s="19"/>
      <c r="C13" s="19"/>
      <c r="D13" s="23"/>
      <c r="E13" s="19"/>
      <c r="F13" s="19"/>
      <c r="G13" s="19"/>
      <c r="H13" s="19"/>
      <c r="I13" s="19"/>
      <c r="J13" s="19"/>
      <c r="K13" s="19"/>
      <c r="L13" s="122">
        <f>SUM(L12)</f>
        <v>656590819</v>
      </c>
      <c r="M13" s="19"/>
      <c r="N13" s="105"/>
    </row>
    <row r="14" spans="1:16" ht="29.25" customHeight="1" thickBot="1" x14ac:dyDescent="0.3">
      <c r="A14" s="124" t="s">
        <v>751</v>
      </c>
      <c r="B14" s="19"/>
      <c r="C14" s="19"/>
      <c r="D14" s="23"/>
      <c r="E14" s="19"/>
      <c r="F14" s="19"/>
      <c r="G14" s="19"/>
      <c r="H14" s="19"/>
      <c r="I14" s="19"/>
      <c r="J14" s="19"/>
      <c r="K14" s="19"/>
      <c r="L14" s="122"/>
      <c r="M14" s="19"/>
      <c r="N14" s="105"/>
    </row>
    <row r="15" spans="1:16" ht="81" customHeight="1" thickBot="1" x14ac:dyDescent="0.3">
      <c r="A15" s="95" t="s">
        <v>714</v>
      </c>
      <c r="B15" s="19" t="s">
        <v>14</v>
      </c>
      <c r="C15" s="19"/>
      <c r="D15" s="23">
        <v>5</v>
      </c>
      <c r="E15" s="19"/>
      <c r="F15" s="19"/>
      <c r="G15" s="19" t="s">
        <v>89</v>
      </c>
      <c r="H15" s="19" t="s">
        <v>89</v>
      </c>
      <c r="I15" s="19" t="s">
        <v>23</v>
      </c>
      <c r="J15" s="19"/>
      <c r="K15" s="19" t="s">
        <v>24</v>
      </c>
      <c r="L15" s="96">
        <v>943000000</v>
      </c>
      <c r="M15" s="19">
        <v>100</v>
      </c>
      <c r="N15" s="105"/>
    </row>
    <row r="16" spans="1:16" ht="51" customHeight="1" thickBot="1" x14ac:dyDescent="0.3">
      <c r="A16" s="95" t="s">
        <v>715</v>
      </c>
      <c r="B16" s="19" t="s">
        <v>14</v>
      </c>
      <c r="C16" s="19"/>
      <c r="D16" s="23">
        <v>19</v>
      </c>
      <c r="E16" s="19"/>
      <c r="F16" s="19"/>
      <c r="G16" s="19" t="s">
        <v>89</v>
      </c>
      <c r="H16" s="19" t="s">
        <v>89</v>
      </c>
      <c r="I16" s="19" t="s">
        <v>23</v>
      </c>
      <c r="J16" s="19"/>
      <c r="K16" s="19" t="s">
        <v>24</v>
      </c>
      <c r="L16" s="96">
        <v>943000000</v>
      </c>
      <c r="M16" s="19">
        <v>100</v>
      </c>
      <c r="N16" s="105"/>
    </row>
    <row r="17" spans="1:15" ht="15.75" thickBot="1" x14ac:dyDescent="0.3">
      <c r="A17" s="95"/>
      <c r="B17" s="19"/>
      <c r="C17" s="19"/>
      <c r="D17" s="23"/>
      <c r="E17" s="19"/>
      <c r="F17" s="19"/>
      <c r="G17" s="19"/>
      <c r="H17" s="19"/>
      <c r="I17" s="19"/>
      <c r="J17" s="19"/>
      <c r="K17" s="19"/>
      <c r="L17" s="125">
        <f>SUM(L15:L16)</f>
        <v>1886000000</v>
      </c>
      <c r="M17" s="19"/>
      <c r="N17" s="105"/>
    </row>
    <row r="18" spans="1:15" ht="15.75" thickBot="1" x14ac:dyDescent="0.3">
      <c r="A18" s="124" t="s">
        <v>752</v>
      </c>
      <c r="B18" s="19"/>
      <c r="C18" s="19"/>
      <c r="D18" s="23"/>
      <c r="E18" s="19"/>
      <c r="F18" s="19"/>
      <c r="G18" s="19"/>
      <c r="H18" s="19"/>
      <c r="I18" s="19"/>
      <c r="J18" s="19"/>
      <c r="K18" s="19"/>
      <c r="L18" s="125"/>
      <c r="M18" s="19"/>
      <c r="N18" s="105"/>
    </row>
    <row r="19" spans="1:15" ht="40.5" customHeight="1" thickBot="1" x14ac:dyDescent="0.3">
      <c r="A19" s="95" t="s">
        <v>749</v>
      </c>
      <c r="B19" s="19" t="s">
        <v>14</v>
      </c>
      <c r="C19" s="19"/>
      <c r="D19" s="23">
        <v>50.9</v>
      </c>
      <c r="E19" s="19" t="s">
        <v>16</v>
      </c>
      <c r="F19" s="19"/>
      <c r="G19" s="19" t="s">
        <v>89</v>
      </c>
      <c r="H19" s="19" t="s">
        <v>89</v>
      </c>
      <c r="I19" s="19" t="s">
        <v>23</v>
      </c>
      <c r="J19" s="19"/>
      <c r="K19" s="19" t="s">
        <v>90</v>
      </c>
      <c r="L19" s="119">
        <f>50.9*25000000</f>
        <v>1272500000</v>
      </c>
      <c r="M19" s="19">
        <v>100</v>
      </c>
      <c r="N19" s="105"/>
    </row>
    <row r="20" spans="1:15" ht="40.5" customHeight="1" thickBot="1" x14ac:dyDescent="0.3">
      <c r="A20" s="95"/>
      <c r="B20" s="19"/>
      <c r="C20" s="19"/>
      <c r="D20" s="23"/>
      <c r="E20" s="19"/>
      <c r="F20" s="19"/>
      <c r="G20" s="19"/>
      <c r="H20" s="19"/>
      <c r="I20" s="19"/>
      <c r="J20" s="19"/>
      <c r="K20" s="19"/>
      <c r="L20" s="122">
        <f>SUM(L19)</f>
        <v>1272500000</v>
      </c>
      <c r="M20" s="19"/>
      <c r="N20" s="105"/>
    </row>
    <row r="21" spans="1:15" ht="40.5" customHeight="1" thickBot="1" x14ac:dyDescent="0.3">
      <c r="A21" s="124" t="s">
        <v>750</v>
      </c>
      <c r="B21" s="19"/>
      <c r="C21" s="19"/>
      <c r="D21" s="23"/>
      <c r="E21" s="19"/>
      <c r="F21" s="19"/>
      <c r="G21" s="19"/>
      <c r="H21" s="19"/>
      <c r="I21" s="19"/>
      <c r="J21" s="19"/>
      <c r="K21" s="19"/>
      <c r="L21" s="122"/>
      <c r="M21" s="19"/>
      <c r="N21" s="105"/>
    </row>
    <row r="22" spans="1:15" ht="44.25" customHeight="1" thickBot="1" x14ac:dyDescent="0.3">
      <c r="A22" s="95" t="s">
        <v>738</v>
      </c>
      <c r="B22" s="19" t="s">
        <v>14</v>
      </c>
      <c r="C22" s="19"/>
      <c r="D22" s="23">
        <v>3</v>
      </c>
      <c r="E22" s="19" t="s">
        <v>16</v>
      </c>
      <c r="F22" s="19"/>
      <c r="G22" s="19" t="s">
        <v>89</v>
      </c>
      <c r="H22" s="19" t="s">
        <v>89</v>
      </c>
      <c r="I22" s="19"/>
      <c r="J22" s="19"/>
      <c r="K22" s="19" t="s">
        <v>25</v>
      </c>
      <c r="L22" s="119">
        <f>487000000</f>
        <v>487000000</v>
      </c>
      <c r="M22" s="19">
        <v>100</v>
      </c>
      <c r="N22" s="105"/>
    </row>
    <row r="23" spans="1:15" ht="50.25" customHeight="1" thickBot="1" x14ac:dyDescent="0.3">
      <c r="A23" s="95" t="s">
        <v>738</v>
      </c>
      <c r="B23" s="19" t="s">
        <v>14</v>
      </c>
      <c r="C23" s="19"/>
      <c r="D23" s="23">
        <v>9.5</v>
      </c>
      <c r="E23" s="19" t="s">
        <v>16</v>
      </c>
      <c r="F23" s="19"/>
      <c r="G23" s="19" t="s">
        <v>89</v>
      </c>
      <c r="H23" s="19" t="s">
        <v>89</v>
      </c>
      <c r="I23" s="19"/>
      <c r="J23" s="19"/>
      <c r="K23" s="19" t="s">
        <v>739</v>
      </c>
      <c r="L23" s="119">
        <v>9976307531.0200005</v>
      </c>
      <c r="M23" s="19">
        <v>100</v>
      </c>
      <c r="N23" s="105"/>
    </row>
    <row r="24" spans="1:15" ht="15.75" thickBot="1" x14ac:dyDescent="0.3">
      <c r="A24" s="95"/>
      <c r="B24" s="19"/>
      <c r="C24" s="19"/>
      <c r="D24" s="23"/>
      <c r="E24" s="19"/>
      <c r="F24" s="19"/>
      <c r="G24" s="19"/>
      <c r="H24" s="19"/>
      <c r="I24" s="19"/>
      <c r="J24" s="19"/>
      <c r="K24" s="19"/>
      <c r="L24" s="122">
        <f>SUM(L22:L23)</f>
        <v>10463307531.02</v>
      </c>
      <c r="M24" s="19"/>
      <c r="N24" s="105"/>
    </row>
    <row r="25" spans="1:15" s="24" customFormat="1" ht="15.75" thickBot="1" x14ac:dyDescent="0.3">
      <c r="A25" s="124" t="s">
        <v>754</v>
      </c>
      <c r="B25" s="23"/>
      <c r="C25" s="23"/>
      <c r="D25" s="23"/>
      <c r="E25" s="23"/>
      <c r="F25" s="23"/>
      <c r="G25" s="23"/>
      <c r="H25" s="23"/>
      <c r="I25" s="23"/>
      <c r="J25" s="23"/>
      <c r="K25" s="23"/>
      <c r="L25" s="96"/>
      <c r="M25" s="23"/>
      <c r="N25" s="103"/>
      <c r="O25" s="102"/>
    </row>
    <row r="26" spans="1:15" ht="42.75" customHeight="1" thickBot="1" x14ac:dyDescent="0.3">
      <c r="A26" s="95" t="s">
        <v>736</v>
      </c>
      <c r="B26" s="19"/>
      <c r="C26" s="19"/>
      <c r="D26" s="23">
        <v>7.5</v>
      </c>
      <c r="E26" s="19"/>
      <c r="F26" s="19"/>
      <c r="G26" s="19"/>
      <c r="H26" s="19"/>
      <c r="I26" s="19"/>
      <c r="J26" s="19"/>
      <c r="K26" s="19" t="s">
        <v>36</v>
      </c>
      <c r="L26" s="119">
        <v>766429857</v>
      </c>
      <c r="M26" s="19">
        <v>100</v>
      </c>
      <c r="N26" s="105"/>
    </row>
    <row r="27" spans="1:15" ht="38.25" customHeight="1" thickBot="1" x14ac:dyDescent="0.3">
      <c r="A27" s="95" t="s">
        <v>808</v>
      </c>
      <c r="B27" s="19" t="s">
        <v>14</v>
      </c>
      <c r="C27" s="19"/>
      <c r="D27" s="23">
        <v>11</v>
      </c>
      <c r="E27" s="19" t="s">
        <v>29</v>
      </c>
      <c r="F27" s="19"/>
      <c r="G27" s="19" t="s">
        <v>89</v>
      </c>
      <c r="H27" s="19" t="s">
        <v>89</v>
      </c>
      <c r="I27" s="19"/>
      <c r="J27" s="19"/>
      <c r="K27" s="19" t="s">
        <v>22</v>
      </c>
      <c r="L27" s="104">
        <v>1785892110</v>
      </c>
      <c r="M27" s="19">
        <v>100</v>
      </c>
      <c r="N27" s="105"/>
    </row>
    <row r="28" spans="1:15" ht="43.5" customHeight="1" thickBot="1" x14ac:dyDescent="0.3">
      <c r="A28" s="95" t="s">
        <v>737</v>
      </c>
      <c r="B28" s="19" t="s">
        <v>14</v>
      </c>
      <c r="C28" s="19"/>
      <c r="D28" s="23">
        <v>1.6</v>
      </c>
      <c r="E28" s="19" t="s">
        <v>16</v>
      </c>
      <c r="F28" s="19"/>
      <c r="G28" s="19" t="s">
        <v>89</v>
      </c>
      <c r="H28" s="19" t="s">
        <v>89</v>
      </c>
      <c r="I28" s="19"/>
      <c r="J28" s="19"/>
      <c r="K28" s="19" t="s">
        <v>36</v>
      </c>
      <c r="L28" s="104">
        <v>3244064134</v>
      </c>
      <c r="M28" s="19">
        <v>100</v>
      </c>
      <c r="N28" s="105"/>
    </row>
    <row r="29" spans="1:15" ht="43.5" customHeight="1" thickBot="1" x14ac:dyDescent="0.3">
      <c r="A29" s="95" t="s">
        <v>801</v>
      </c>
      <c r="B29" s="19" t="s">
        <v>14</v>
      </c>
      <c r="C29" s="19"/>
      <c r="D29" s="23">
        <v>15</v>
      </c>
      <c r="E29" s="19"/>
      <c r="F29" s="19"/>
      <c r="G29" s="19"/>
      <c r="H29" s="19"/>
      <c r="I29" s="19"/>
      <c r="J29" s="19"/>
      <c r="K29" s="19" t="s">
        <v>36</v>
      </c>
      <c r="L29" s="104">
        <v>1528930047.6500001</v>
      </c>
      <c r="M29" s="19">
        <v>100</v>
      </c>
      <c r="N29" s="105"/>
    </row>
    <row r="30" spans="1:15" ht="20.25" customHeight="1" thickBot="1" x14ac:dyDescent="0.3">
      <c r="A30" s="95"/>
      <c r="B30" s="19"/>
      <c r="C30" s="19"/>
      <c r="D30" s="23"/>
      <c r="E30" s="19"/>
      <c r="F30" s="19"/>
      <c r="G30" s="19"/>
      <c r="H30" s="19"/>
      <c r="I30" s="19"/>
      <c r="J30" s="19"/>
      <c r="K30" s="19"/>
      <c r="L30" s="126">
        <f>SUM(L26:L29)</f>
        <v>7325316148.6499996</v>
      </c>
      <c r="M30" s="19"/>
      <c r="N30" s="105"/>
    </row>
    <row r="31" spans="1:15" ht="20.25" customHeight="1" thickBot="1" x14ac:dyDescent="0.3">
      <c r="A31" s="124" t="s">
        <v>755</v>
      </c>
      <c r="B31" s="19"/>
      <c r="C31" s="19"/>
      <c r="D31" s="23"/>
      <c r="E31" s="19"/>
      <c r="F31" s="19"/>
      <c r="G31" s="19"/>
      <c r="H31" s="19"/>
      <c r="I31" s="19"/>
      <c r="J31" s="19"/>
      <c r="K31" s="19"/>
      <c r="L31" s="126"/>
      <c r="M31" s="19"/>
      <c r="N31" s="105"/>
    </row>
    <row r="32" spans="1:15" ht="51" customHeight="1" thickBot="1" x14ac:dyDescent="0.3">
      <c r="A32" s="95" t="s">
        <v>716</v>
      </c>
      <c r="B32" s="19" t="s">
        <v>14</v>
      </c>
      <c r="C32" s="19"/>
      <c r="D32" s="23">
        <v>9</v>
      </c>
      <c r="E32" s="19" t="s">
        <v>16</v>
      </c>
      <c r="F32" s="19"/>
      <c r="G32" s="19" t="s">
        <v>89</v>
      </c>
      <c r="H32" s="19" t="s">
        <v>89</v>
      </c>
      <c r="I32" s="19" t="s">
        <v>23</v>
      </c>
      <c r="J32" s="19"/>
      <c r="K32" s="19" t="s">
        <v>24</v>
      </c>
      <c r="L32" s="96">
        <v>339500000</v>
      </c>
      <c r="M32" s="19">
        <v>100</v>
      </c>
      <c r="N32" s="105"/>
    </row>
    <row r="33" spans="1:15" ht="51" customHeight="1" thickBot="1" x14ac:dyDescent="0.3">
      <c r="A33" s="95" t="s">
        <v>805</v>
      </c>
      <c r="B33" s="19" t="s">
        <v>14</v>
      </c>
      <c r="C33" s="19"/>
      <c r="D33" s="23">
        <v>10</v>
      </c>
      <c r="E33" s="19"/>
      <c r="F33" s="19"/>
      <c r="G33" s="19"/>
      <c r="H33" s="19"/>
      <c r="I33" s="19"/>
      <c r="J33" s="19"/>
      <c r="K33" s="19" t="s">
        <v>35</v>
      </c>
      <c r="L33" s="96">
        <v>214000000</v>
      </c>
      <c r="M33" s="19">
        <v>100</v>
      </c>
      <c r="N33" s="105"/>
    </row>
    <row r="34" spans="1:15" ht="27.75" customHeight="1" thickBot="1" x14ac:dyDescent="0.3">
      <c r="A34" s="95"/>
      <c r="B34" s="19"/>
      <c r="C34" s="19"/>
      <c r="D34" s="23"/>
      <c r="E34" s="19"/>
      <c r="F34" s="19"/>
      <c r="G34" s="19"/>
      <c r="H34" s="19"/>
      <c r="I34" s="19"/>
      <c r="J34" s="19"/>
      <c r="K34" s="19"/>
      <c r="L34" s="125">
        <f>SUM(L32:L33)</f>
        <v>553500000</v>
      </c>
      <c r="M34" s="19"/>
      <c r="N34" s="105"/>
    </row>
    <row r="35" spans="1:15" ht="15.75" thickBot="1" x14ac:dyDescent="0.3">
      <c r="A35" s="124" t="s">
        <v>756</v>
      </c>
      <c r="B35" s="19"/>
      <c r="C35" s="19"/>
      <c r="D35" s="23"/>
      <c r="E35" s="19"/>
      <c r="F35" s="19"/>
      <c r="G35" s="19"/>
      <c r="H35" s="19"/>
      <c r="I35" s="19"/>
      <c r="J35" s="19"/>
      <c r="K35" s="19"/>
      <c r="L35" s="127"/>
      <c r="M35" s="19"/>
      <c r="N35" s="105"/>
    </row>
    <row r="36" spans="1:15" ht="25.5" customHeight="1" thickBot="1" x14ac:dyDescent="0.3">
      <c r="A36" s="95" t="s">
        <v>689</v>
      </c>
      <c r="B36" s="19" t="s">
        <v>14</v>
      </c>
      <c r="C36" s="19"/>
      <c r="D36" s="23"/>
      <c r="E36" s="19"/>
      <c r="F36" s="19"/>
      <c r="G36" s="19" t="s">
        <v>89</v>
      </c>
      <c r="H36" s="19" t="s">
        <v>89</v>
      </c>
      <c r="I36" s="19" t="s">
        <v>23</v>
      </c>
      <c r="J36" s="19"/>
      <c r="K36" s="19"/>
      <c r="L36" s="119">
        <v>0</v>
      </c>
      <c r="M36" s="19"/>
      <c r="N36" s="105"/>
    </row>
    <row r="37" spans="1:15" ht="25.5" customHeight="1" thickBot="1" x14ac:dyDescent="0.3">
      <c r="A37" s="95"/>
      <c r="B37" s="19"/>
      <c r="C37" s="19"/>
      <c r="D37" s="23"/>
      <c r="E37" s="19"/>
      <c r="F37" s="19"/>
      <c r="G37" s="19"/>
      <c r="H37" s="19"/>
      <c r="I37" s="19"/>
      <c r="J37" s="19"/>
      <c r="K37" s="19"/>
      <c r="L37" s="122">
        <v>0</v>
      </c>
      <c r="M37" s="19"/>
      <c r="N37" s="105"/>
    </row>
    <row r="38" spans="1:15" s="24" customFormat="1" ht="15.75" thickBot="1" x14ac:dyDescent="0.3">
      <c r="A38" s="124" t="s">
        <v>757</v>
      </c>
      <c r="B38" s="23"/>
      <c r="C38" s="23"/>
      <c r="D38" s="23"/>
      <c r="E38" s="23"/>
      <c r="F38" s="23"/>
      <c r="G38" s="23"/>
      <c r="H38" s="23"/>
      <c r="I38" s="23"/>
      <c r="J38" s="23"/>
      <c r="K38" s="23"/>
      <c r="L38" s="96"/>
      <c r="M38" s="23"/>
      <c r="N38" s="103"/>
      <c r="O38" s="102"/>
    </row>
    <row r="39" spans="1:15" s="6" customFormat="1" ht="32.25" customHeight="1" thickBot="1" x14ac:dyDescent="0.3">
      <c r="A39" s="128" t="s">
        <v>701</v>
      </c>
      <c r="B39" s="19"/>
      <c r="C39" s="19"/>
      <c r="D39" s="22"/>
      <c r="E39" s="19" t="s">
        <v>702</v>
      </c>
      <c r="F39" s="19"/>
      <c r="G39" s="19" t="s">
        <v>89</v>
      </c>
      <c r="H39" s="19" t="s">
        <v>89</v>
      </c>
      <c r="I39" s="19" t="s">
        <v>23</v>
      </c>
      <c r="J39" s="19"/>
      <c r="K39" s="19"/>
      <c r="L39" s="119">
        <v>0</v>
      </c>
      <c r="M39" s="19">
        <v>0</v>
      </c>
      <c r="N39" s="105"/>
      <c r="O39" s="129"/>
    </row>
    <row r="40" spans="1:15" s="6" customFormat="1" ht="21" customHeight="1" thickBot="1" x14ac:dyDescent="0.3">
      <c r="A40" s="97"/>
      <c r="B40" s="19"/>
      <c r="C40" s="19"/>
      <c r="D40" s="22"/>
      <c r="E40" s="19"/>
      <c r="F40" s="19"/>
      <c r="G40" s="19"/>
      <c r="H40" s="19"/>
      <c r="I40" s="19"/>
      <c r="J40" s="19"/>
      <c r="K40" s="19"/>
      <c r="L40" s="122">
        <f>SUM(L39)</f>
        <v>0</v>
      </c>
      <c r="M40" s="19"/>
      <c r="N40" s="105"/>
      <c r="O40" s="129"/>
    </row>
    <row r="41" spans="1:15" s="6" customFormat="1" ht="15.75" thickBot="1" x14ac:dyDescent="0.3">
      <c r="A41" s="130" t="s">
        <v>758</v>
      </c>
      <c r="B41" s="19"/>
      <c r="C41" s="19"/>
      <c r="D41" s="22"/>
      <c r="E41" s="19"/>
      <c r="F41" s="19"/>
      <c r="G41" s="19"/>
      <c r="H41" s="19"/>
      <c r="I41" s="19"/>
      <c r="J41" s="19"/>
      <c r="K41" s="19"/>
      <c r="L41" s="119"/>
      <c r="M41" s="19"/>
      <c r="N41" s="105"/>
      <c r="O41" s="129"/>
    </row>
    <row r="42" spans="1:15" s="6" customFormat="1" ht="15.75" thickBot="1" x14ac:dyDescent="0.3">
      <c r="A42" s="128" t="s">
        <v>52</v>
      </c>
      <c r="B42" s="19" t="s">
        <v>14</v>
      </c>
      <c r="C42" s="19"/>
      <c r="D42" s="22"/>
      <c r="E42" s="19"/>
      <c r="F42" s="19"/>
      <c r="G42" s="19"/>
      <c r="H42" s="19"/>
      <c r="I42" s="19"/>
      <c r="J42" s="19"/>
      <c r="K42" s="19"/>
      <c r="L42" s="119">
        <v>0</v>
      </c>
      <c r="M42" s="19"/>
      <c r="N42" s="105"/>
      <c r="O42" s="129"/>
    </row>
    <row r="43" spans="1:15" s="6" customFormat="1" ht="15.75" thickBot="1" x14ac:dyDescent="0.3">
      <c r="A43" s="97"/>
      <c r="B43" s="19"/>
      <c r="C43" s="19"/>
      <c r="D43" s="22"/>
      <c r="E43" s="19"/>
      <c r="F43" s="19"/>
      <c r="G43" s="19"/>
      <c r="H43" s="19"/>
      <c r="I43" s="19"/>
      <c r="J43" s="19"/>
      <c r="K43" s="19"/>
      <c r="L43" s="119">
        <v>0</v>
      </c>
      <c r="M43" s="19"/>
      <c r="N43" s="105"/>
      <c r="O43" s="129"/>
    </row>
    <row r="44" spans="1:15" s="6" customFormat="1" ht="15.75" thickBot="1" x14ac:dyDescent="0.3">
      <c r="A44" s="131" t="s">
        <v>759</v>
      </c>
      <c r="B44" s="19"/>
      <c r="C44" s="19"/>
      <c r="D44" s="22"/>
      <c r="E44" s="19"/>
      <c r="F44" s="19"/>
      <c r="G44" s="19"/>
      <c r="H44" s="19"/>
      <c r="I44" s="19"/>
      <c r="J44" s="19"/>
      <c r="K44" s="19"/>
      <c r="L44" s="119"/>
      <c r="M44" s="19"/>
      <c r="N44" s="105"/>
      <c r="O44" s="129"/>
    </row>
    <row r="45" spans="1:15" s="24" customFormat="1" ht="30.75" thickBot="1" x14ac:dyDescent="0.3">
      <c r="A45" s="95" t="s">
        <v>760</v>
      </c>
      <c r="B45" s="23" t="s">
        <v>14</v>
      </c>
      <c r="C45" s="23"/>
      <c r="D45" s="23"/>
      <c r="E45" s="23" t="s">
        <v>16</v>
      </c>
      <c r="F45" s="23"/>
      <c r="G45" s="23" t="s">
        <v>89</v>
      </c>
      <c r="H45" s="23" t="s">
        <v>89</v>
      </c>
      <c r="I45" s="23"/>
      <c r="J45" s="23"/>
      <c r="K45" s="23" t="s">
        <v>24</v>
      </c>
      <c r="L45" s="96">
        <v>225960335.90000001</v>
      </c>
      <c r="M45" s="23">
        <v>100</v>
      </c>
      <c r="N45" s="103"/>
      <c r="O45" s="102"/>
    </row>
    <row r="46" spans="1:15" s="24" customFormat="1" ht="15.75" thickBot="1" x14ac:dyDescent="0.3">
      <c r="A46" s="95"/>
      <c r="B46" s="23"/>
      <c r="C46" s="23"/>
      <c r="D46" s="23"/>
      <c r="E46" s="23"/>
      <c r="F46" s="23"/>
      <c r="G46" s="23"/>
      <c r="H46" s="23"/>
      <c r="I46" s="23"/>
      <c r="J46" s="23"/>
      <c r="K46" s="23"/>
      <c r="L46" s="125">
        <f>SUM(L45)</f>
        <v>225960335.90000001</v>
      </c>
      <c r="M46" s="23"/>
      <c r="N46" s="103"/>
      <c r="O46" s="102"/>
    </row>
    <row r="47" spans="1:15" s="24" customFormat="1" ht="15.75" thickBot="1" x14ac:dyDescent="0.3">
      <c r="A47" s="124" t="s">
        <v>761</v>
      </c>
      <c r="B47" s="23"/>
      <c r="C47" s="23"/>
      <c r="D47" s="23"/>
      <c r="E47" s="23"/>
      <c r="F47" s="23"/>
      <c r="G47" s="23"/>
      <c r="H47" s="23"/>
      <c r="I47" s="23"/>
      <c r="J47" s="23"/>
      <c r="K47" s="23"/>
      <c r="L47" s="96"/>
      <c r="M47" s="23"/>
      <c r="N47" s="103"/>
      <c r="O47" s="102"/>
    </row>
    <row r="48" spans="1:15" ht="30.75" thickBot="1" x14ac:dyDescent="0.3">
      <c r="A48" s="95" t="s">
        <v>727</v>
      </c>
      <c r="B48" s="19" t="s">
        <v>14</v>
      </c>
      <c r="C48" s="19"/>
      <c r="D48" s="23">
        <v>2.2000000000000002</v>
      </c>
      <c r="E48" s="19" t="s">
        <v>16</v>
      </c>
      <c r="F48" s="19" t="s">
        <v>728</v>
      </c>
      <c r="G48" s="19" t="s">
        <v>89</v>
      </c>
      <c r="H48" s="19" t="s">
        <v>89</v>
      </c>
      <c r="I48" s="19" t="s">
        <v>89</v>
      </c>
      <c r="J48" s="19"/>
      <c r="K48" s="19" t="s">
        <v>31</v>
      </c>
      <c r="L48" s="119">
        <v>1546380485</v>
      </c>
      <c r="M48" s="19">
        <v>100</v>
      </c>
      <c r="N48" s="105"/>
    </row>
    <row r="49" spans="1:14" ht="38.25" customHeight="1" thickBot="1" x14ac:dyDescent="0.3">
      <c r="A49" s="95" t="s">
        <v>727</v>
      </c>
      <c r="B49" s="19" t="s">
        <v>14</v>
      </c>
      <c r="C49" s="19"/>
      <c r="D49" s="23">
        <v>11</v>
      </c>
      <c r="E49" s="19" t="s">
        <v>16</v>
      </c>
      <c r="F49" s="19"/>
      <c r="G49" s="19" t="s">
        <v>89</v>
      </c>
      <c r="H49" s="19" t="s">
        <v>89</v>
      </c>
      <c r="I49" s="19"/>
      <c r="J49" s="19"/>
      <c r="K49" s="19" t="s">
        <v>38</v>
      </c>
      <c r="L49" s="119">
        <f>33471430639/2</f>
        <v>16735715319.5</v>
      </c>
      <c r="M49" s="19">
        <v>100</v>
      </c>
      <c r="N49" s="105"/>
    </row>
    <row r="50" spans="1:14" ht="15.75" thickBot="1" x14ac:dyDescent="0.3">
      <c r="A50" s="95"/>
      <c r="B50" s="19"/>
      <c r="C50" s="19"/>
      <c r="D50" s="23"/>
      <c r="E50" s="19"/>
      <c r="F50" s="19"/>
      <c r="G50" s="19"/>
      <c r="H50" s="19"/>
      <c r="I50" s="19"/>
      <c r="J50" s="19"/>
      <c r="K50" s="19"/>
      <c r="L50" s="122">
        <f>SUM(L48:L49)</f>
        <v>18282095804.5</v>
      </c>
      <c r="M50" s="19"/>
      <c r="N50" s="105"/>
    </row>
    <row r="51" spans="1:14" ht="15.75" thickBot="1" x14ac:dyDescent="0.3">
      <c r="A51" s="124" t="s">
        <v>762</v>
      </c>
      <c r="B51" s="19"/>
      <c r="C51" s="19"/>
      <c r="D51" s="23"/>
      <c r="E51" s="19"/>
      <c r="F51" s="19"/>
      <c r="G51" s="19"/>
      <c r="H51" s="19"/>
      <c r="I51" s="19"/>
      <c r="J51" s="19"/>
      <c r="K51" s="19"/>
      <c r="L51" s="122"/>
      <c r="M51" s="19"/>
      <c r="N51" s="105"/>
    </row>
    <row r="52" spans="1:14" ht="44.25" customHeight="1" thickBot="1" x14ac:dyDescent="0.3">
      <c r="A52" s="95" t="s">
        <v>802</v>
      </c>
      <c r="B52" s="19" t="s">
        <v>14</v>
      </c>
      <c r="C52" s="19"/>
      <c r="D52" s="23">
        <v>2</v>
      </c>
      <c r="E52" s="19" t="s">
        <v>16</v>
      </c>
      <c r="F52" s="19" t="s">
        <v>29</v>
      </c>
      <c r="G52" s="19" t="s">
        <v>89</v>
      </c>
      <c r="H52" s="19" t="s">
        <v>89</v>
      </c>
      <c r="I52" s="19"/>
      <c r="J52" s="19"/>
      <c r="K52" s="19" t="s">
        <v>22</v>
      </c>
      <c r="L52" s="119">
        <v>2258497595</v>
      </c>
      <c r="M52" s="19">
        <v>100</v>
      </c>
      <c r="N52" s="105"/>
    </row>
    <row r="53" spans="1:14" ht="30.75" thickBot="1" x14ac:dyDescent="0.3">
      <c r="A53" s="95" t="s">
        <v>814</v>
      </c>
      <c r="B53" s="19" t="s">
        <v>14</v>
      </c>
      <c r="C53" s="19"/>
      <c r="D53" s="23">
        <f>11.5+1.5</f>
        <v>13</v>
      </c>
      <c r="E53" s="19" t="s">
        <v>16</v>
      </c>
      <c r="F53" s="19" t="s">
        <v>29</v>
      </c>
      <c r="G53" s="19" t="s">
        <v>89</v>
      </c>
      <c r="H53" s="19" t="s">
        <v>89</v>
      </c>
      <c r="I53" s="19"/>
      <c r="J53" s="19"/>
      <c r="K53" s="19" t="s">
        <v>22</v>
      </c>
      <c r="L53" s="96">
        <v>1979358617.5</v>
      </c>
      <c r="M53" s="19">
        <v>100</v>
      </c>
      <c r="N53" s="105"/>
    </row>
    <row r="54" spans="1:14" ht="48" customHeight="1" thickBot="1" x14ac:dyDescent="0.3">
      <c r="A54" s="95" t="s">
        <v>724</v>
      </c>
      <c r="B54" s="19" t="s">
        <v>14</v>
      </c>
      <c r="C54" s="19"/>
      <c r="D54" s="23">
        <v>7.7</v>
      </c>
      <c r="E54" s="19" t="s">
        <v>16</v>
      </c>
      <c r="F54" s="19" t="s">
        <v>29</v>
      </c>
      <c r="G54" s="19" t="s">
        <v>89</v>
      </c>
      <c r="H54" s="19" t="s">
        <v>89</v>
      </c>
      <c r="I54" s="19"/>
      <c r="J54" s="19"/>
      <c r="K54" s="19" t="s">
        <v>22</v>
      </c>
      <c r="L54" s="119">
        <v>9197069285</v>
      </c>
      <c r="M54" s="19">
        <v>100</v>
      </c>
      <c r="N54" s="105"/>
    </row>
    <row r="55" spans="1:14" ht="45.75" customHeight="1" thickBot="1" x14ac:dyDescent="0.3">
      <c r="A55" s="95" t="s">
        <v>725</v>
      </c>
      <c r="B55" s="19" t="s">
        <v>14</v>
      </c>
      <c r="C55" s="19"/>
      <c r="D55" s="23">
        <v>20</v>
      </c>
      <c r="E55" s="19" t="s">
        <v>16</v>
      </c>
      <c r="F55" s="19" t="s">
        <v>29</v>
      </c>
      <c r="G55" s="19" t="s">
        <v>89</v>
      </c>
      <c r="H55" s="19" t="s">
        <v>89</v>
      </c>
      <c r="I55" s="19"/>
      <c r="J55" s="19"/>
      <c r="K55" s="19" t="s">
        <v>22</v>
      </c>
      <c r="L55" s="119">
        <v>37360660017</v>
      </c>
      <c r="M55" s="19">
        <v>70</v>
      </c>
      <c r="N55" s="105"/>
    </row>
    <row r="56" spans="1:14" ht="40.5" customHeight="1" thickBot="1" x14ac:dyDescent="0.3">
      <c r="A56" s="95" t="s">
        <v>809</v>
      </c>
      <c r="B56" s="19" t="s">
        <v>14</v>
      </c>
      <c r="C56" s="19"/>
      <c r="D56" s="23">
        <v>6.3</v>
      </c>
      <c r="E56" s="19" t="s">
        <v>29</v>
      </c>
      <c r="F56" s="19"/>
      <c r="G56" s="19" t="s">
        <v>89</v>
      </c>
      <c r="H56" s="19" t="s">
        <v>89</v>
      </c>
      <c r="I56" s="19"/>
      <c r="J56" s="19"/>
      <c r="K56" s="19" t="s">
        <v>22</v>
      </c>
      <c r="L56" s="119">
        <v>1790103015</v>
      </c>
      <c r="M56" s="19">
        <v>100</v>
      </c>
      <c r="N56" s="105"/>
    </row>
    <row r="57" spans="1:14" ht="40.5" customHeight="1" thickBot="1" x14ac:dyDescent="0.3">
      <c r="A57" s="95" t="s">
        <v>810</v>
      </c>
      <c r="B57" s="19" t="s">
        <v>14</v>
      </c>
      <c r="C57" s="19"/>
      <c r="D57" s="23">
        <v>7</v>
      </c>
      <c r="E57" s="19"/>
      <c r="F57" s="19"/>
      <c r="G57" s="19"/>
      <c r="H57" s="19"/>
      <c r="I57" s="19"/>
      <c r="J57" s="19"/>
      <c r="K57" s="19" t="s">
        <v>22</v>
      </c>
      <c r="L57" s="119">
        <v>2230160306</v>
      </c>
      <c r="M57" s="19">
        <v>100</v>
      </c>
      <c r="N57" s="105"/>
    </row>
    <row r="58" spans="1:14" ht="15.75" thickBot="1" x14ac:dyDescent="0.3">
      <c r="A58" s="95"/>
      <c r="B58" s="19"/>
      <c r="C58" s="19"/>
      <c r="D58" s="132"/>
      <c r="E58" s="19"/>
      <c r="F58" s="19"/>
      <c r="G58" s="19"/>
      <c r="H58" s="19"/>
      <c r="I58" s="19"/>
      <c r="J58" s="19"/>
      <c r="K58" s="19"/>
      <c r="L58" s="122">
        <f>SUM(L52:L57)</f>
        <v>54815848835.5</v>
      </c>
      <c r="M58" s="19"/>
      <c r="N58" s="105"/>
    </row>
    <row r="59" spans="1:14" ht="15.75" thickBot="1" x14ac:dyDescent="0.3">
      <c r="A59" s="124" t="s">
        <v>763</v>
      </c>
      <c r="B59" s="19"/>
      <c r="C59" s="19"/>
      <c r="D59" s="23"/>
      <c r="E59" s="19"/>
      <c r="F59" s="19"/>
      <c r="G59" s="19"/>
      <c r="H59" s="19"/>
      <c r="I59" s="19"/>
      <c r="J59" s="19"/>
      <c r="K59" s="19"/>
      <c r="L59" s="122"/>
      <c r="M59" s="19"/>
      <c r="N59" s="105"/>
    </row>
    <row r="60" spans="1:14" ht="30.75" thickBot="1" x14ac:dyDescent="0.3">
      <c r="A60" s="95" t="s">
        <v>803</v>
      </c>
      <c r="B60" s="19" t="s">
        <v>14</v>
      </c>
      <c r="C60" s="19"/>
      <c r="D60" s="23">
        <f>4.3+1</f>
        <v>5.3</v>
      </c>
      <c r="E60" s="19" t="s">
        <v>29</v>
      </c>
      <c r="F60" s="19"/>
      <c r="G60" s="19" t="s">
        <v>89</v>
      </c>
      <c r="H60" s="19" t="s">
        <v>89</v>
      </c>
      <c r="I60" s="19"/>
      <c r="J60" s="19"/>
      <c r="K60" s="19" t="s">
        <v>22</v>
      </c>
      <c r="L60" s="119">
        <v>4017448406</v>
      </c>
      <c r="M60" s="19">
        <v>100</v>
      </c>
      <c r="N60" s="105"/>
    </row>
    <row r="61" spans="1:14" ht="30.75" thickBot="1" x14ac:dyDescent="0.3">
      <c r="A61" s="95" t="s">
        <v>731</v>
      </c>
      <c r="B61" s="19" t="s">
        <v>14</v>
      </c>
      <c r="C61" s="19"/>
      <c r="D61" s="23">
        <v>2.25</v>
      </c>
      <c r="E61" s="19" t="s">
        <v>16</v>
      </c>
      <c r="F61" s="19"/>
      <c r="G61" s="19" t="s">
        <v>89</v>
      </c>
      <c r="H61" s="19" t="s">
        <v>89</v>
      </c>
      <c r="I61" s="19"/>
      <c r="J61" s="19"/>
      <c r="K61" s="19" t="s">
        <v>22</v>
      </c>
      <c r="L61" s="119">
        <v>486691697</v>
      </c>
      <c r="M61" s="19">
        <v>100</v>
      </c>
      <c r="N61" s="105"/>
    </row>
    <row r="62" spans="1:14" ht="30.75" thickBot="1" x14ac:dyDescent="0.3">
      <c r="A62" s="95" t="s">
        <v>732</v>
      </c>
      <c r="B62" s="19" t="s">
        <v>14</v>
      </c>
      <c r="C62" s="19"/>
      <c r="D62" s="23">
        <v>10</v>
      </c>
      <c r="E62" s="19" t="s">
        <v>16</v>
      </c>
      <c r="F62" s="19"/>
      <c r="G62" s="19" t="s">
        <v>89</v>
      </c>
      <c r="H62" s="19" t="s">
        <v>89</v>
      </c>
      <c r="I62" s="19"/>
      <c r="J62" s="19"/>
      <c r="K62" s="19" t="s">
        <v>38</v>
      </c>
      <c r="L62" s="119">
        <v>15133344609</v>
      </c>
      <c r="M62" s="19">
        <v>100</v>
      </c>
      <c r="N62" s="105"/>
    </row>
    <row r="63" spans="1:14" ht="30.75" thickBot="1" x14ac:dyDescent="0.3">
      <c r="A63" s="95" t="s">
        <v>733</v>
      </c>
      <c r="B63" s="19" t="s">
        <v>14</v>
      </c>
      <c r="C63" s="19"/>
      <c r="D63" s="23">
        <v>5</v>
      </c>
      <c r="E63" s="19" t="s">
        <v>16</v>
      </c>
      <c r="F63" s="19"/>
      <c r="G63" s="19" t="s">
        <v>89</v>
      </c>
      <c r="H63" s="19" t="s">
        <v>89</v>
      </c>
      <c r="I63" s="19"/>
      <c r="J63" s="19"/>
      <c r="K63" s="19" t="s">
        <v>22</v>
      </c>
      <c r="L63" s="119">
        <v>696000000</v>
      </c>
      <c r="M63" s="19"/>
      <c r="N63" s="105"/>
    </row>
    <row r="64" spans="1:14" ht="15.75" thickBot="1" x14ac:dyDescent="0.3">
      <c r="A64" s="95"/>
      <c r="B64" s="19"/>
      <c r="C64" s="19"/>
      <c r="D64" s="23"/>
      <c r="E64" s="19"/>
      <c r="F64" s="19"/>
      <c r="G64" s="19"/>
      <c r="H64" s="19"/>
      <c r="I64" s="19"/>
      <c r="J64" s="19"/>
      <c r="K64" s="19"/>
      <c r="L64" s="122">
        <f>SUM(L60:L63)</f>
        <v>20333484712</v>
      </c>
      <c r="M64" s="19"/>
      <c r="N64" s="105"/>
    </row>
    <row r="65" spans="1:16" ht="15.75" thickBot="1" x14ac:dyDescent="0.3">
      <c r="A65" s="124" t="s">
        <v>764</v>
      </c>
      <c r="B65" s="19"/>
      <c r="C65" s="19"/>
      <c r="D65" s="23"/>
      <c r="E65" s="19"/>
      <c r="F65" s="19"/>
      <c r="G65" s="19"/>
      <c r="H65" s="19"/>
      <c r="I65" s="19"/>
      <c r="J65" s="19"/>
      <c r="K65" s="19"/>
      <c r="L65" s="122"/>
      <c r="M65" s="19"/>
      <c r="N65" s="105"/>
    </row>
    <row r="66" spans="1:16" ht="24.75" customHeight="1" thickBot="1" x14ac:dyDescent="0.3">
      <c r="A66" s="95" t="s">
        <v>690</v>
      </c>
      <c r="B66" s="19" t="s">
        <v>14</v>
      </c>
      <c r="C66" s="19"/>
      <c r="D66" s="23"/>
      <c r="E66" s="19"/>
      <c r="F66" s="19"/>
      <c r="G66" s="19" t="s">
        <v>89</v>
      </c>
      <c r="H66" s="19" t="s">
        <v>89</v>
      </c>
      <c r="I66" s="19" t="s">
        <v>23</v>
      </c>
      <c r="J66" s="19"/>
      <c r="K66" s="19"/>
      <c r="L66" s="119">
        <v>0</v>
      </c>
      <c r="M66" s="19"/>
      <c r="N66" s="105"/>
    </row>
    <row r="67" spans="1:16" ht="24.75" customHeight="1" thickBot="1" x14ac:dyDescent="0.3">
      <c r="A67" s="95"/>
      <c r="B67" s="19"/>
      <c r="C67" s="19"/>
      <c r="D67" s="23"/>
      <c r="E67" s="19"/>
      <c r="F67" s="19"/>
      <c r="G67" s="19"/>
      <c r="H67" s="19"/>
      <c r="I67" s="19"/>
      <c r="J67" s="19"/>
      <c r="K67" s="19"/>
      <c r="L67" s="122">
        <v>0</v>
      </c>
      <c r="M67" s="19"/>
      <c r="N67" s="105"/>
    </row>
    <row r="68" spans="1:16" ht="15.75" thickBot="1" x14ac:dyDescent="0.3">
      <c r="A68" s="124" t="s">
        <v>765</v>
      </c>
      <c r="B68" s="19"/>
      <c r="C68" s="19"/>
      <c r="D68" s="23"/>
      <c r="E68" s="19"/>
      <c r="F68" s="19"/>
      <c r="G68" s="19"/>
      <c r="H68" s="19"/>
      <c r="I68" s="19"/>
      <c r="J68" s="19"/>
      <c r="K68" s="19"/>
      <c r="L68" s="119"/>
      <c r="M68" s="19"/>
      <c r="N68" s="105"/>
    </row>
    <row r="69" spans="1:16" s="24" customFormat="1" ht="39.75" customHeight="1" thickBot="1" x14ac:dyDescent="0.3">
      <c r="A69" s="95" t="s">
        <v>720</v>
      </c>
      <c r="B69" s="23" t="s">
        <v>14</v>
      </c>
      <c r="C69" s="23"/>
      <c r="D69" s="23">
        <v>4</v>
      </c>
      <c r="E69" s="23" t="s">
        <v>16</v>
      </c>
      <c r="F69" s="23"/>
      <c r="G69" s="23" t="s">
        <v>89</v>
      </c>
      <c r="H69" s="23" t="s">
        <v>89</v>
      </c>
      <c r="I69" s="23" t="s">
        <v>23</v>
      </c>
      <c r="J69" s="23"/>
      <c r="K69" s="23" t="s">
        <v>31</v>
      </c>
      <c r="L69" s="96">
        <v>4119000000</v>
      </c>
      <c r="M69" s="23">
        <v>100</v>
      </c>
      <c r="N69" s="103"/>
      <c r="O69" s="102"/>
    </row>
    <row r="70" spans="1:16" ht="15.75" thickBot="1" x14ac:dyDescent="0.3">
      <c r="A70" s="95"/>
      <c r="B70" s="19"/>
      <c r="C70" s="19"/>
      <c r="D70" s="23"/>
      <c r="E70" s="19"/>
      <c r="F70" s="19"/>
      <c r="G70" s="19"/>
      <c r="H70" s="19"/>
      <c r="I70" s="19"/>
      <c r="J70" s="19"/>
      <c r="K70" s="19"/>
      <c r="L70" s="122">
        <f>SUM(L69)</f>
        <v>4119000000</v>
      </c>
      <c r="M70" s="19"/>
      <c r="N70" s="105"/>
    </row>
    <row r="71" spans="1:16" ht="15.75" thickBot="1" x14ac:dyDescent="0.3">
      <c r="A71" s="124" t="s">
        <v>120</v>
      </c>
      <c r="B71" s="19"/>
      <c r="C71" s="19"/>
      <c r="D71" s="23"/>
      <c r="E71" s="19"/>
      <c r="F71" s="19"/>
      <c r="G71" s="19"/>
      <c r="H71" s="19"/>
      <c r="I71" s="19"/>
      <c r="J71" s="19"/>
      <c r="K71" s="19"/>
      <c r="L71" s="122"/>
      <c r="M71" s="19"/>
      <c r="N71" s="105"/>
    </row>
    <row r="72" spans="1:16" ht="36" customHeight="1" thickBot="1" x14ac:dyDescent="0.3">
      <c r="A72" s="95" t="s">
        <v>718</v>
      </c>
      <c r="B72" s="19"/>
      <c r="C72" s="19" t="s">
        <v>14</v>
      </c>
      <c r="D72" s="23"/>
      <c r="E72" s="19" t="s">
        <v>16</v>
      </c>
      <c r="F72" s="19" t="s">
        <v>29</v>
      </c>
      <c r="G72" s="19" t="s">
        <v>89</v>
      </c>
      <c r="H72" s="19" t="s">
        <v>89</v>
      </c>
      <c r="I72" s="19" t="s">
        <v>23</v>
      </c>
      <c r="J72" s="19">
        <v>0.20399999999999999</v>
      </c>
      <c r="K72" s="19" t="s">
        <v>24</v>
      </c>
      <c r="L72" s="119">
        <v>251739409</v>
      </c>
      <c r="M72" s="19">
        <v>100</v>
      </c>
      <c r="N72" s="105"/>
      <c r="P72" s="120"/>
    </row>
    <row r="73" spans="1:16" ht="15.75" thickBot="1" x14ac:dyDescent="0.3">
      <c r="A73" s="95"/>
      <c r="B73" s="19"/>
      <c r="C73" s="19"/>
      <c r="D73" s="23"/>
      <c r="E73" s="19"/>
      <c r="F73" s="19"/>
      <c r="G73" s="19"/>
      <c r="H73" s="19"/>
      <c r="I73" s="19"/>
      <c r="J73" s="19"/>
      <c r="K73" s="19"/>
      <c r="L73" s="122">
        <f>SUM(L72)</f>
        <v>251739409</v>
      </c>
      <c r="M73" s="19"/>
      <c r="N73" s="105"/>
    </row>
    <row r="74" spans="1:16" ht="15.75" thickBot="1" x14ac:dyDescent="0.3">
      <c r="A74" s="124" t="s">
        <v>766</v>
      </c>
      <c r="B74" s="19"/>
      <c r="C74" s="19"/>
      <c r="D74" s="23"/>
      <c r="E74" s="19"/>
      <c r="F74" s="19"/>
      <c r="G74" s="19"/>
      <c r="H74" s="19"/>
      <c r="I74" s="19"/>
      <c r="J74" s="19"/>
      <c r="K74" s="19"/>
      <c r="L74" s="122"/>
      <c r="M74" s="19"/>
      <c r="N74" s="105"/>
    </row>
    <row r="75" spans="1:16" ht="44.25" customHeight="1" thickBot="1" x14ac:dyDescent="0.3">
      <c r="A75" s="95" t="s">
        <v>734</v>
      </c>
      <c r="B75" s="19" t="s">
        <v>14</v>
      </c>
      <c r="C75" s="19"/>
      <c r="D75" s="23">
        <f>1.021+0.579</f>
        <v>1.5999999999999999</v>
      </c>
      <c r="E75" s="19" t="s">
        <v>16</v>
      </c>
      <c r="F75" s="19"/>
      <c r="G75" s="19" t="s">
        <v>89</v>
      </c>
      <c r="H75" s="19" t="s">
        <v>89</v>
      </c>
      <c r="I75" s="19"/>
      <c r="J75" s="19"/>
      <c r="K75" s="19" t="s">
        <v>735</v>
      </c>
      <c r="L75" s="119">
        <f>2008390880.32+808685909.89</f>
        <v>2817076790.21</v>
      </c>
      <c r="M75" s="19">
        <v>70</v>
      </c>
      <c r="N75" s="105"/>
    </row>
    <row r="76" spans="1:16" ht="45" customHeight="1" thickBot="1" x14ac:dyDescent="0.3">
      <c r="A76" s="95" t="s">
        <v>736</v>
      </c>
      <c r="B76" s="19" t="s">
        <v>14</v>
      </c>
      <c r="C76" s="19"/>
      <c r="D76" s="23">
        <v>7.5</v>
      </c>
      <c r="E76" s="19" t="s">
        <v>16</v>
      </c>
      <c r="F76" s="19"/>
      <c r="G76" s="19" t="s">
        <v>89</v>
      </c>
      <c r="H76" s="19" t="s">
        <v>89</v>
      </c>
      <c r="I76" s="19"/>
      <c r="J76" s="19"/>
      <c r="K76" s="19" t="s">
        <v>36</v>
      </c>
      <c r="L76" s="119">
        <v>766429857</v>
      </c>
      <c r="M76" s="19">
        <v>100</v>
      </c>
      <c r="N76" s="105"/>
    </row>
    <row r="77" spans="1:16" ht="38.25" customHeight="1" thickBot="1" x14ac:dyDescent="0.3">
      <c r="A77" s="95" t="s">
        <v>767</v>
      </c>
      <c r="B77" s="19" t="s">
        <v>14</v>
      </c>
      <c r="C77" s="19"/>
      <c r="D77" s="23">
        <v>20</v>
      </c>
      <c r="E77" s="19" t="s">
        <v>16</v>
      </c>
      <c r="F77" s="19"/>
      <c r="G77" s="19" t="s">
        <v>89</v>
      </c>
      <c r="H77" s="19" t="s">
        <v>89</v>
      </c>
      <c r="I77" s="19" t="s">
        <v>17</v>
      </c>
      <c r="J77" s="19"/>
      <c r="K77" s="19" t="s">
        <v>38</v>
      </c>
      <c r="L77" s="119">
        <v>3643716676</v>
      </c>
      <c r="M77" s="19">
        <v>100</v>
      </c>
      <c r="N77" s="105"/>
    </row>
    <row r="78" spans="1:16" ht="15.75" thickBot="1" x14ac:dyDescent="0.3">
      <c r="A78" s="95"/>
      <c r="B78" s="19"/>
      <c r="C78" s="19"/>
      <c r="D78" s="23"/>
      <c r="E78" s="19"/>
      <c r="F78" s="19"/>
      <c r="G78" s="19"/>
      <c r="H78" s="19"/>
      <c r="I78" s="19"/>
      <c r="J78" s="19"/>
      <c r="K78" s="19"/>
      <c r="L78" s="122">
        <f>SUM(L75:L77)</f>
        <v>7227223323.21</v>
      </c>
      <c r="M78" s="19"/>
      <c r="N78" s="105"/>
    </row>
    <row r="79" spans="1:16" ht="15.75" thickBot="1" x14ac:dyDescent="0.3">
      <c r="A79" s="124" t="s">
        <v>768</v>
      </c>
      <c r="B79" s="19"/>
      <c r="C79" s="19"/>
      <c r="D79" s="23"/>
      <c r="E79" s="19"/>
      <c r="F79" s="19"/>
      <c r="G79" s="19"/>
      <c r="H79" s="19"/>
      <c r="I79" s="19"/>
      <c r="J79" s="19"/>
      <c r="K79" s="19"/>
      <c r="L79" s="122"/>
      <c r="M79" s="19"/>
      <c r="N79" s="105"/>
    </row>
    <row r="80" spans="1:16" ht="44.25" customHeight="1" thickBot="1" x14ac:dyDescent="0.3">
      <c r="A80" s="95" t="s">
        <v>719</v>
      </c>
      <c r="B80" s="19"/>
      <c r="C80" s="19" t="s">
        <v>14</v>
      </c>
      <c r="D80" s="23"/>
      <c r="E80" s="19" t="s">
        <v>16</v>
      </c>
      <c r="F80" s="19"/>
      <c r="G80" s="19" t="s">
        <v>89</v>
      </c>
      <c r="H80" s="19" t="s">
        <v>89</v>
      </c>
      <c r="I80" s="19" t="s">
        <v>23</v>
      </c>
      <c r="J80" s="19">
        <v>0.373</v>
      </c>
      <c r="K80" s="19" t="s">
        <v>33</v>
      </c>
      <c r="L80" s="119">
        <v>631911654.39999998</v>
      </c>
      <c r="M80" s="19">
        <v>100</v>
      </c>
      <c r="N80" s="105"/>
      <c r="P80" s="120"/>
    </row>
    <row r="81" spans="1:16" ht="15.75" thickBot="1" x14ac:dyDescent="0.3">
      <c r="A81" s="95"/>
      <c r="B81" s="19"/>
      <c r="C81" s="19"/>
      <c r="D81" s="23"/>
      <c r="E81" s="19"/>
      <c r="F81" s="19"/>
      <c r="G81" s="19"/>
      <c r="H81" s="19"/>
      <c r="I81" s="19"/>
      <c r="J81" s="19"/>
      <c r="K81" s="19"/>
      <c r="L81" s="122">
        <f>SUM(L80)</f>
        <v>631911654.39999998</v>
      </c>
      <c r="M81" s="19"/>
      <c r="N81" s="105"/>
    </row>
    <row r="82" spans="1:16" ht="15.75" thickBot="1" x14ac:dyDescent="0.3">
      <c r="A82" s="124" t="s">
        <v>143</v>
      </c>
      <c r="B82" s="19"/>
      <c r="C82" s="19"/>
      <c r="D82" s="23"/>
      <c r="E82" s="19"/>
      <c r="F82" s="19"/>
      <c r="G82" s="19"/>
      <c r="H82" s="19"/>
      <c r="I82" s="19"/>
      <c r="J82" s="19"/>
      <c r="K82" s="19"/>
      <c r="L82" s="122"/>
      <c r="M82" s="19"/>
      <c r="N82" s="105"/>
    </row>
    <row r="83" spans="1:16" ht="30.75" thickBot="1" x14ac:dyDescent="0.3">
      <c r="A83" s="95" t="s">
        <v>729</v>
      </c>
      <c r="B83" s="19" t="s">
        <v>14</v>
      </c>
      <c r="C83" s="19"/>
      <c r="D83" s="23">
        <v>4.5</v>
      </c>
      <c r="E83" s="19" t="s">
        <v>16</v>
      </c>
      <c r="F83" s="19" t="s">
        <v>41</v>
      </c>
      <c r="G83" s="19" t="s">
        <v>89</v>
      </c>
      <c r="H83" s="19" t="s">
        <v>89</v>
      </c>
      <c r="I83" s="19"/>
      <c r="J83" s="19"/>
      <c r="K83" s="19" t="s">
        <v>722</v>
      </c>
      <c r="L83" s="119">
        <v>557254795</v>
      </c>
      <c r="M83" s="19">
        <v>100</v>
      </c>
      <c r="N83" s="105"/>
    </row>
    <row r="84" spans="1:16" ht="30.75" thickBot="1" x14ac:dyDescent="0.3">
      <c r="A84" s="95" t="s">
        <v>813</v>
      </c>
      <c r="B84" s="19" t="s">
        <v>14</v>
      </c>
      <c r="C84" s="19"/>
      <c r="D84" s="23" t="s">
        <v>89</v>
      </c>
      <c r="E84" s="19" t="s">
        <v>16</v>
      </c>
      <c r="F84" s="19"/>
      <c r="G84" s="19"/>
      <c r="H84" s="19"/>
      <c r="I84" s="19"/>
      <c r="J84" s="19"/>
      <c r="K84" s="19" t="s">
        <v>722</v>
      </c>
      <c r="L84" s="119">
        <v>694234432</v>
      </c>
      <c r="M84" s="19">
        <v>100</v>
      </c>
      <c r="N84" s="105"/>
    </row>
    <row r="85" spans="1:16" ht="30.75" thickBot="1" x14ac:dyDescent="0.3">
      <c r="A85" s="95" t="s">
        <v>812</v>
      </c>
      <c r="B85" s="19" t="s">
        <v>14</v>
      </c>
      <c r="C85" s="19"/>
      <c r="D85" s="23">
        <v>2.5</v>
      </c>
      <c r="E85" s="19"/>
      <c r="F85" s="19"/>
      <c r="G85" s="19"/>
      <c r="H85" s="19"/>
      <c r="I85" s="19"/>
      <c r="J85" s="19"/>
      <c r="K85" s="19" t="s">
        <v>22</v>
      </c>
      <c r="L85" s="119">
        <v>899825850</v>
      </c>
      <c r="M85" s="19"/>
      <c r="N85" s="105"/>
    </row>
    <row r="86" spans="1:16" ht="30.75" thickBot="1" x14ac:dyDescent="0.3">
      <c r="A86" s="95" t="s">
        <v>811</v>
      </c>
      <c r="B86" s="19" t="s">
        <v>14</v>
      </c>
      <c r="C86" s="19"/>
      <c r="D86" s="23">
        <v>5</v>
      </c>
      <c r="E86" s="19" t="s">
        <v>16</v>
      </c>
      <c r="F86" s="19"/>
      <c r="G86" s="19" t="s">
        <v>89</v>
      </c>
      <c r="H86" s="19" t="s">
        <v>89</v>
      </c>
      <c r="I86" s="19"/>
      <c r="J86" s="19"/>
      <c r="K86" s="19" t="s">
        <v>22</v>
      </c>
      <c r="L86" s="119">
        <v>899312245</v>
      </c>
      <c r="M86" s="19">
        <v>100</v>
      </c>
      <c r="N86" s="105"/>
    </row>
    <row r="87" spans="1:16" ht="15.75" thickBot="1" x14ac:dyDescent="0.3">
      <c r="A87" s="95"/>
      <c r="B87" s="19"/>
      <c r="C87" s="19"/>
      <c r="D87" s="23"/>
      <c r="E87" s="19"/>
      <c r="F87" s="19"/>
      <c r="G87" s="19"/>
      <c r="H87" s="19"/>
      <c r="I87" s="19"/>
      <c r="J87" s="19"/>
      <c r="K87" s="19"/>
      <c r="L87" s="122">
        <f>SUM(L83:L86)</f>
        <v>3050627322</v>
      </c>
      <c r="M87" s="19"/>
      <c r="N87" s="105"/>
    </row>
    <row r="88" spans="1:16" ht="15.75" thickBot="1" x14ac:dyDescent="0.3">
      <c r="A88" s="124" t="s">
        <v>769</v>
      </c>
      <c r="B88" s="19"/>
      <c r="C88" s="19"/>
      <c r="D88" s="23"/>
      <c r="E88" s="19"/>
      <c r="F88" s="19"/>
      <c r="G88" s="19"/>
      <c r="H88" s="19"/>
      <c r="I88" s="19"/>
      <c r="J88" s="19"/>
      <c r="K88" s="19"/>
      <c r="L88" s="122"/>
      <c r="M88" s="19"/>
      <c r="N88" s="105"/>
    </row>
    <row r="89" spans="1:16" ht="39.75" customHeight="1" thickBot="1" x14ac:dyDescent="0.3">
      <c r="A89" s="95" t="s">
        <v>721</v>
      </c>
      <c r="B89" s="19" t="s">
        <v>14</v>
      </c>
      <c r="C89" s="19"/>
      <c r="D89" s="23">
        <v>5</v>
      </c>
      <c r="E89" s="19" t="s">
        <v>29</v>
      </c>
      <c r="F89" s="19" t="s">
        <v>16</v>
      </c>
      <c r="G89" s="19" t="s">
        <v>89</v>
      </c>
      <c r="H89" s="19" t="s">
        <v>89</v>
      </c>
      <c r="I89" s="19" t="s">
        <v>23</v>
      </c>
      <c r="J89" s="19"/>
      <c r="K89" s="19" t="s">
        <v>22</v>
      </c>
      <c r="L89" s="119">
        <v>2227764757</v>
      </c>
      <c r="M89" s="19">
        <v>100</v>
      </c>
      <c r="N89" s="105"/>
    </row>
    <row r="90" spans="1:16" ht="15.75" thickBot="1" x14ac:dyDescent="0.3">
      <c r="A90" s="95"/>
      <c r="B90" s="19"/>
      <c r="C90" s="19"/>
      <c r="D90" s="23"/>
      <c r="E90" s="19"/>
      <c r="F90" s="19"/>
      <c r="G90" s="19"/>
      <c r="H90" s="19"/>
      <c r="I90" s="19"/>
      <c r="J90" s="19"/>
      <c r="K90" s="19"/>
      <c r="L90" s="122">
        <f>SUM(L89:L89)</f>
        <v>2227764757</v>
      </c>
      <c r="M90" s="19"/>
      <c r="N90" s="105"/>
    </row>
    <row r="91" spans="1:16" ht="15.75" thickBot="1" x14ac:dyDescent="0.3">
      <c r="A91" s="124" t="s">
        <v>770</v>
      </c>
      <c r="B91" s="19"/>
      <c r="C91" s="19"/>
      <c r="D91" s="23"/>
      <c r="E91" s="19"/>
      <c r="F91" s="19"/>
      <c r="G91" s="19"/>
      <c r="H91" s="19"/>
      <c r="I91" s="19"/>
      <c r="J91" s="19"/>
      <c r="K91" s="19"/>
      <c r="L91" s="122"/>
      <c r="M91" s="19"/>
      <c r="N91" s="105"/>
    </row>
    <row r="92" spans="1:16" ht="38.25" customHeight="1" thickBot="1" x14ac:dyDescent="0.3">
      <c r="A92" s="95" t="s">
        <v>706</v>
      </c>
      <c r="B92" s="19" t="s">
        <v>14</v>
      </c>
      <c r="C92" s="19"/>
      <c r="D92" s="22">
        <v>15</v>
      </c>
      <c r="E92" s="19" t="s">
        <v>16</v>
      </c>
      <c r="F92" s="19"/>
      <c r="G92" s="19" t="s">
        <v>89</v>
      </c>
      <c r="H92" s="19" t="s">
        <v>89</v>
      </c>
      <c r="I92" s="19" t="s">
        <v>21</v>
      </c>
      <c r="J92" s="19"/>
      <c r="K92" s="19" t="s">
        <v>35</v>
      </c>
      <c r="L92" s="119">
        <v>223000000</v>
      </c>
      <c r="M92" s="19">
        <v>100</v>
      </c>
      <c r="N92" s="105"/>
    </row>
    <row r="93" spans="1:16" ht="15.75" thickBot="1" x14ac:dyDescent="0.3">
      <c r="A93" s="124"/>
      <c r="B93" s="19"/>
      <c r="C93" s="19"/>
      <c r="D93" s="23"/>
      <c r="E93" s="19"/>
      <c r="F93" s="19"/>
      <c r="G93" s="19"/>
      <c r="H93" s="19"/>
      <c r="I93" s="19"/>
      <c r="J93" s="19"/>
      <c r="K93" s="19"/>
      <c r="L93" s="122">
        <f>SUM(L92)</f>
        <v>223000000</v>
      </c>
      <c r="M93" s="19"/>
      <c r="N93" s="105"/>
    </row>
    <row r="94" spans="1:16" ht="15.75" thickBot="1" x14ac:dyDescent="0.3">
      <c r="A94" s="124" t="s">
        <v>771</v>
      </c>
      <c r="B94" s="19"/>
      <c r="C94" s="19"/>
      <c r="D94" s="23"/>
      <c r="E94" s="19"/>
      <c r="F94" s="19"/>
      <c r="G94" s="19"/>
      <c r="H94" s="19"/>
      <c r="I94" s="19"/>
      <c r="J94" s="19"/>
      <c r="K94" s="19"/>
      <c r="L94" s="122"/>
      <c r="M94" s="19"/>
      <c r="N94" s="105"/>
    </row>
    <row r="95" spans="1:16" s="24" customFormat="1" ht="34.5" customHeight="1" thickBot="1" x14ac:dyDescent="0.3">
      <c r="A95" s="95" t="s">
        <v>709</v>
      </c>
      <c r="B95" s="23" t="s">
        <v>14</v>
      </c>
      <c r="C95" s="23"/>
      <c r="D95" s="23">
        <v>43.2</v>
      </c>
      <c r="E95" s="23" t="s">
        <v>16</v>
      </c>
      <c r="F95" s="23"/>
      <c r="G95" s="23" t="s">
        <v>89</v>
      </c>
      <c r="H95" s="23" t="s">
        <v>89</v>
      </c>
      <c r="I95" s="23" t="s">
        <v>23</v>
      </c>
      <c r="J95" s="23"/>
      <c r="K95" s="23" t="s">
        <v>90</v>
      </c>
      <c r="L95" s="96">
        <f>43.2*25000000</f>
        <v>1080000000</v>
      </c>
      <c r="M95" s="23">
        <v>100</v>
      </c>
      <c r="N95" s="103"/>
      <c r="O95" s="102"/>
    </row>
    <row r="96" spans="1:16" s="24" customFormat="1" ht="45.75" customHeight="1" thickBot="1" x14ac:dyDescent="0.3">
      <c r="A96" s="95" t="s">
        <v>710</v>
      </c>
      <c r="B96" s="23"/>
      <c r="C96" s="23"/>
      <c r="D96" s="23">
        <f>3.62-1.7</f>
        <v>1.9200000000000002</v>
      </c>
      <c r="E96" s="23" t="s">
        <v>16</v>
      </c>
      <c r="F96" s="23"/>
      <c r="G96" s="23" t="s">
        <v>89</v>
      </c>
      <c r="H96" s="23" t="s">
        <v>89</v>
      </c>
      <c r="I96" s="23"/>
      <c r="J96" s="23">
        <v>1.92</v>
      </c>
      <c r="K96" s="23" t="s">
        <v>38</v>
      </c>
      <c r="L96" s="96">
        <f>7625250586-3630748580</f>
        <v>3994502006</v>
      </c>
      <c r="M96" s="23">
        <v>60</v>
      </c>
      <c r="N96" s="103"/>
      <c r="O96" s="102"/>
      <c r="P96" s="110"/>
    </row>
    <row r="97" spans="1:16" ht="15.75" thickBot="1" x14ac:dyDescent="0.3">
      <c r="A97" s="124"/>
      <c r="B97" s="19"/>
      <c r="C97" s="19"/>
      <c r="D97" s="23"/>
      <c r="E97" s="19"/>
      <c r="F97" s="19"/>
      <c r="G97" s="19"/>
      <c r="H97" s="19"/>
      <c r="I97" s="19"/>
      <c r="J97" s="19"/>
      <c r="K97" s="19"/>
      <c r="L97" s="122">
        <f>SUM(L95:L96)</f>
        <v>5074502006</v>
      </c>
      <c r="M97" s="19"/>
      <c r="N97" s="105"/>
    </row>
    <row r="98" spans="1:16" ht="15.75" thickBot="1" x14ac:dyDescent="0.3">
      <c r="A98" s="124" t="s">
        <v>772</v>
      </c>
      <c r="B98" s="19"/>
      <c r="C98" s="19"/>
      <c r="D98" s="23"/>
      <c r="E98" s="19"/>
      <c r="F98" s="19"/>
      <c r="G98" s="19"/>
      <c r="H98" s="19"/>
      <c r="I98" s="19"/>
      <c r="J98" s="19"/>
      <c r="K98" s="19"/>
      <c r="L98" s="122"/>
      <c r="M98" s="19"/>
      <c r="N98" s="105"/>
    </row>
    <row r="99" spans="1:16" s="24" customFormat="1" ht="30.75" thickBot="1" x14ac:dyDescent="0.3">
      <c r="A99" s="95" t="s">
        <v>711</v>
      </c>
      <c r="B99" s="23" t="s">
        <v>14</v>
      </c>
      <c r="C99" s="23"/>
      <c r="D99" s="23">
        <v>18</v>
      </c>
      <c r="E99" s="23" t="s">
        <v>16</v>
      </c>
      <c r="F99" s="23"/>
      <c r="G99" s="23" t="s">
        <v>89</v>
      </c>
      <c r="H99" s="23" t="s">
        <v>89</v>
      </c>
      <c r="I99" s="23"/>
      <c r="J99" s="23"/>
      <c r="K99" s="23" t="s">
        <v>712</v>
      </c>
      <c r="L99" s="96">
        <v>2048000000</v>
      </c>
      <c r="M99" s="23">
        <v>100</v>
      </c>
      <c r="N99" s="103"/>
      <c r="O99" s="102"/>
    </row>
    <row r="100" spans="1:16" ht="15.75" thickBot="1" x14ac:dyDescent="0.3">
      <c r="A100" s="124"/>
      <c r="B100" s="19"/>
      <c r="C100" s="19"/>
      <c r="D100" s="23"/>
      <c r="E100" s="19"/>
      <c r="F100" s="19"/>
      <c r="G100" s="19"/>
      <c r="H100" s="19"/>
      <c r="I100" s="19"/>
      <c r="J100" s="19"/>
      <c r="K100" s="19"/>
      <c r="L100" s="122">
        <f>SUM(L99)</f>
        <v>2048000000</v>
      </c>
      <c r="M100" s="19"/>
      <c r="N100" s="105"/>
    </row>
    <row r="101" spans="1:16" ht="15.75" thickBot="1" x14ac:dyDescent="0.3">
      <c r="A101" s="124" t="s">
        <v>773</v>
      </c>
      <c r="B101" s="19"/>
      <c r="C101" s="19"/>
      <c r="D101" s="23"/>
      <c r="E101" s="19"/>
      <c r="F101" s="19"/>
      <c r="G101" s="19"/>
      <c r="H101" s="19"/>
      <c r="I101" s="19"/>
      <c r="J101" s="19"/>
      <c r="K101" s="19"/>
      <c r="L101" s="122"/>
      <c r="M101" s="19"/>
      <c r="N101" s="105"/>
    </row>
    <row r="102" spans="1:16" ht="34.5" customHeight="1" thickBot="1" x14ac:dyDescent="0.3">
      <c r="A102" s="95" t="s">
        <v>774</v>
      </c>
      <c r="B102" s="19" t="s">
        <v>14</v>
      </c>
      <c r="C102" s="19"/>
      <c r="D102" s="23"/>
      <c r="E102" s="19" t="s">
        <v>16</v>
      </c>
      <c r="F102" s="19"/>
      <c r="G102" s="19" t="s">
        <v>89</v>
      </c>
      <c r="H102" s="19" t="s">
        <v>89</v>
      </c>
      <c r="I102" s="19" t="s">
        <v>23</v>
      </c>
      <c r="J102" s="19"/>
      <c r="K102" s="19"/>
      <c r="L102" s="119">
        <v>0</v>
      </c>
      <c r="M102" s="19"/>
      <c r="N102" s="105"/>
    </row>
    <row r="103" spans="1:16" ht="15.75" thickBot="1" x14ac:dyDescent="0.3">
      <c r="A103" s="124"/>
      <c r="B103" s="19"/>
      <c r="C103" s="19"/>
      <c r="D103" s="23"/>
      <c r="E103" s="19"/>
      <c r="F103" s="19"/>
      <c r="G103" s="19"/>
      <c r="H103" s="19"/>
      <c r="I103" s="19"/>
      <c r="J103" s="19"/>
      <c r="K103" s="19"/>
      <c r="L103" s="122">
        <f>SUM(L102)</f>
        <v>0</v>
      </c>
      <c r="M103" s="19"/>
      <c r="N103" s="105"/>
    </row>
    <row r="104" spans="1:16" ht="15.75" thickBot="1" x14ac:dyDescent="0.3">
      <c r="A104" s="124" t="s">
        <v>775</v>
      </c>
      <c r="B104" s="19"/>
      <c r="C104" s="19"/>
      <c r="D104" s="23"/>
      <c r="E104" s="19"/>
      <c r="F104" s="19"/>
      <c r="G104" s="19"/>
      <c r="H104" s="19"/>
      <c r="I104" s="19"/>
      <c r="J104" s="19"/>
      <c r="K104" s="19"/>
      <c r="L104" s="122"/>
      <c r="M104" s="19"/>
      <c r="N104" s="105"/>
    </row>
    <row r="105" spans="1:16" s="24" customFormat="1" ht="34.5" customHeight="1" thickBot="1" x14ac:dyDescent="0.3">
      <c r="A105" s="95" t="s">
        <v>713</v>
      </c>
      <c r="B105" s="23" t="s">
        <v>14</v>
      </c>
      <c r="C105" s="23"/>
      <c r="D105" s="23">
        <v>5.25</v>
      </c>
      <c r="E105" s="23"/>
      <c r="F105" s="23"/>
      <c r="G105" s="23" t="s">
        <v>89</v>
      </c>
      <c r="H105" s="23" t="s">
        <v>89</v>
      </c>
      <c r="I105" s="23" t="s">
        <v>23</v>
      </c>
      <c r="J105" s="23"/>
      <c r="K105" s="23" t="s">
        <v>776</v>
      </c>
      <c r="L105" s="96">
        <f>5.25*25000000</f>
        <v>131250000</v>
      </c>
      <c r="M105" s="23">
        <v>100</v>
      </c>
      <c r="N105" s="103"/>
      <c r="O105" s="102"/>
    </row>
    <row r="106" spans="1:16" ht="15.75" thickBot="1" x14ac:dyDescent="0.3">
      <c r="A106" s="124"/>
      <c r="B106" s="19"/>
      <c r="C106" s="19"/>
      <c r="D106" s="23"/>
      <c r="E106" s="19"/>
      <c r="F106" s="19"/>
      <c r="G106" s="19"/>
      <c r="H106" s="19"/>
      <c r="I106" s="19"/>
      <c r="J106" s="19"/>
      <c r="K106" s="19"/>
      <c r="L106" s="122">
        <f>SUM(L105)</f>
        <v>131250000</v>
      </c>
      <c r="M106" s="19"/>
      <c r="N106" s="105"/>
    </row>
    <row r="107" spans="1:16" ht="15.75" thickBot="1" x14ac:dyDescent="0.3">
      <c r="A107" s="124" t="s">
        <v>777</v>
      </c>
      <c r="B107" s="19"/>
      <c r="C107" s="19"/>
      <c r="D107" s="23"/>
      <c r="E107" s="19"/>
      <c r="F107" s="19"/>
      <c r="G107" s="19"/>
      <c r="H107" s="19"/>
      <c r="I107" s="19"/>
      <c r="J107" s="19"/>
      <c r="K107" s="19"/>
      <c r="L107" s="122"/>
      <c r="M107" s="19"/>
      <c r="N107" s="105"/>
    </row>
    <row r="108" spans="1:16" s="24" customFormat="1" ht="38.25" customHeight="1" thickBot="1" x14ac:dyDescent="0.3">
      <c r="A108" s="95" t="s">
        <v>708</v>
      </c>
      <c r="B108" s="23" t="s">
        <v>14</v>
      </c>
      <c r="C108" s="23"/>
      <c r="D108" s="23">
        <v>3</v>
      </c>
      <c r="E108" s="23" t="s">
        <v>16</v>
      </c>
      <c r="F108" s="23"/>
      <c r="G108" s="23" t="s">
        <v>89</v>
      </c>
      <c r="H108" s="23" t="s">
        <v>89</v>
      </c>
      <c r="I108" s="23" t="s">
        <v>23</v>
      </c>
      <c r="J108" s="23"/>
      <c r="K108" s="23" t="s">
        <v>22</v>
      </c>
      <c r="L108" s="96">
        <v>521000000</v>
      </c>
      <c r="M108" s="23">
        <v>100</v>
      </c>
      <c r="N108" s="103"/>
      <c r="O108" s="102"/>
    </row>
    <row r="109" spans="1:16" s="24" customFormat="1" ht="39" customHeight="1" thickBot="1" x14ac:dyDescent="0.3">
      <c r="A109" s="95" t="s">
        <v>778</v>
      </c>
      <c r="B109" s="23"/>
      <c r="C109" s="23" t="s">
        <v>14</v>
      </c>
      <c r="D109" s="23"/>
      <c r="E109" s="23" t="s">
        <v>16</v>
      </c>
      <c r="F109" s="23"/>
      <c r="G109" s="23" t="s">
        <v>89</v>
      </c>
      <c r="H109" s="23" t="s">
        <v>89</v>
      </c>
      <c r="I109" s="23" t="s">
        <v>23</v>
      </c>
      <c r="J109" s="23">
        <v>3</v>
      </c>
      <c r="K109" s="23" t="s">
        <v>35</v>
      </c>
      <c r="L109" s="96">
        <f>4194137615.59+293945187.84</f>
        <v>4488082803.4300003</v>
      </c>
      <c r="M109" s="23">
        <v>100</v>
      </c>
      <c r="N109" s="103"/>
      <c r="O109" s="102"/>
      <c r="P109" s="110"/>
    </row>
    <row r="110" spans="1:16" s="24" customFormat="1" ht="34.5" customHeight="1" thickBot="1" x14ac:dyDescent="0.3">
      <c r="A110" s="95" t="s">
        <v>779</v>
      </c>
      <c r="B110" s="23" t="s">
        <v>14</v>
      </c>
      <c r="C110" s="23"/>
      <c r="D110" s="23">
        <v>20.350000000000001</v>
      </c>
      <c r="E110" s="23"/>
      <c r="F110" s="23"/>
      <c r="G110" s="23" t="s">
        <v>89</v>
      </c>
      <c r="H110" s="23" t="s">
        <v>89</v>
      </c>
      <c r="I110" s="23" t="s">
        <v>23</v>
      </c>
      <c r="J110" s="23"/>
      <c r="K110" s="23" t="s">
        <v>776</v>
      </c>
      <c r="L110" s="96">
        <f>20.35*25000000</f>
        <v>508750000.00000006</v>
      </c>
      <c r="M110" s="23">
        <v>100</v>
      </c>
      <c r="N110" s="103"/>
      <c r="O110" s="102"/>
    </row>
    <row r="111" spans="1:16" ht="15.75" thickBot="1" x14ac:dyDescent="0.3">
      <c r="A111" s="124"/>
      <c r="B111" s="19"/>
      <c r="C111" s="19"/>
      <c r="D111" s="23"/>
      <c r="E111" s="19"/>
      <c r="F111" s="19"/>
      <c r="G111" s="19"/>
      <c r="H111" s="19"/>
      <c r="I111" s="19"/>
      <c r="J111" s="19"/>
      <c r="K111" s="19"/>
      <c r="L111" s="122">
        <f>SUM(L108:L110)</f>
        <v>5517832803.4300003</v>
      </c>
      <c r="M111" s="19"/>
      <c r="N111" s="105"/>
    </row>
    <row r="112" spans="1:16" ht="15.75" thickBot="1" x14ac:dyDescent="0.3">
      <c r="A112" s="124" t="s">
        <v>780</v>
      </c>
      <c r="B112" s="19"/>
      <c r="C112" s="19"/>
      <c r="D112" s="23"/>
      <c r="E112" s="19"/>
      <c r="F112" s="19"/>
      <c r="G112" s="19"/>
      <c r="H112" s="19"/>
      <c r="I112" s="19"/>
      <c r="J112" s="19"/>
      <c r="K112" s="19"/>
      <c r="L112" s="122"/>
      <c r="M112" s="19"/>
      <c r="N112" s="105"/>
    </row>
    <row r="113" spans="1:14" ht="48" customHeight="1" thickBot="1" x14ac:dyDescent="0.3">
      <c r="A113" s="95" t="s">
        <v>691</v>
      </c>
      <c r="B113" s="19" t="s">
        <v>14</v>
      </c>
      <c r="C113" s="19"/>
      <c r="D113" s="23"/>
      <c r="E113" s="19"/>
      <c r="F113" s="19"/>
      <c r="G113" s="19" t="s">
        <v>89</v>
      </c>
      <c r="H113" s="19" t="s">
        <v>89</v>
      </c>
      <c r="I113" s="19" t="s">
        <v>17</v>
      </c>
      <c r="J113" s="19"/>
      <c r="K113" s="19"/>
      <c r="L113" s="119">
        <v>0</v>
      </c>
      <c r="M113" s="19"/>
      <c r="N113" s="105"/>
    </row>
    <row r="114" spans="1:14" ht="15.75" thickBot="1" x14ac:dyDescent="0.3">
      <c r="A114" s="124"/>
      <c r="B114" s="19"/>
      <c r="C114" s="19"/>
      <c r="D114" s="23"/>
      <c r="E114" s="19"/>
      <c r="F114" s="19"/>
      <c r="G114" s="19"/>
      <c r="H114" s="19"/>
      <c r="I114" s="19"/>
      <c r="J114" s="19"/>
      <c r="K114" s="19"/>
      <c r="L114" s="122">
        <v>0</v>
      </c>
      <c r="M114" s="19"/>
      <c r="N114" s="105"/>
    </row>
    <row r="115" spans="1:14" ht="15.75" thickBot="1" x14ac:dyDescent="0.3">
      <c r="A115" s="124" t="s">
        <v>781</v>
      </c>
      <c r="B115" s="19"/>
      <c r="C115" s="19"/>
      <c r="D115" s="23"/>
      <c r="E115" s="19"/>
      <c r="F115" s="19"/>
      <c r="G115" s="19"/>
      <c r="H115" s="19"/>
      <c r="I115" s="19"/>
      <c r="J115" s="19"/>
      <c r="K115" s="19"/>
      <c r="L115" s="122"/>
      <c r="M115" s="19"/>
      <c r="N115" s="105"/>
    </row>
    <row r="116" spans="1:14" ht="32.25" customHeight="1" thickBot="1" x14ac:dyDescent="0.3">
      <c r="A116" s="95" t="s">
        <v>692</v>
      </c>
      <c r="B116" s="19" t="s">
        <v>14</v>
      </c>
      <c r="C116" s="19"/>
      <c r="D116" s="23"/>
      <c r="E116" s="19"/>
      <c r="F116" s="19"/>
      <c r="G116" s="19" t="s">
        <v>89</v>
      </c>
      <c r="H116" s="19" t="s">
        <v>89</v>
      </c>
      <c r="I116" s="19" t="s">
        <v>17</v>
      </c>
      <c r="J116" s="19"/>
      <c r="K116" s="19"/>
      <c r="L116" s="119">
        <v>0</v>
      </c>
      <c r="M116" s="19"/>
      <c r="N116" s="105"/>
    </row>
    <row r="117" spans="1:14" ht="15.75" thickBot="1" x14ac:dyDescent="0.3">
      <c r="A117" s="124"/>
      <c r="B117" s="19"/>
      <c r="C117" s="19"/>
      <c r="D117" s="23"/>
      <c r="E117" s="19"/>
      <c r="F117" s="19"/>
      <c r="G117" s="19"/>
      <c r="H117" s="19"/>
      <c r="I117" s="19"/>
      <c r="J117" s="19"/>
      <c r="K117" s="19"/>
      <c r="L117" s="122">
        <v>0</v>
      </c>
      <c r="M117" s="19"/>
      <c r="N117" s="105"/>
    </row>
    <row r="118" spans="1:14" ht="15.75" thickBot="1" x14ac:dyDescent="0.3">
      <c r="A118" s="124" t="s">
        <v>782</v>
      </c>
      <c r="B118" s="19"/>
      <c r="C118" s="19"/>
      <c r="D118" s="23"/>
      <c r="E118" s="19"/>
      <c r="F118" s="19"/>
      <c r="G118" s="19"/>
      <c r="H118" s="19"/>
      <c r="I118" s="19"/>
      <c r="J118" s="19"/>
      <c r="K118" s="19"/>
      <c r="L118" s="122"/>
      <c r="M118" s="19"/>
      <c r="N118" s="105"/>
    </row>
    <row r="119" spans="1:14" ht="36.75" customHeight="1" thickBot="1" x14ac:dyDescent="0.3">
      <c r="A119" s="95" t="s">
        <v>693</v>
      </c>
      <c r="B119" s="19" t="s">
        <v>14</v>
      </c>
      <c r="C119" s="19"/>
      <c r="D119" s="23"/>
      <c r="E119" s="19"/>
      <c r="F119" s="19"/>
      <c r="G119" s="19" t="s">
        <v>89</v>
      </c>
      <c r="H119" s="19" t="s">
        <v>89</v>
      </c>
      <c r="I119" s="19" t="s">
        <v>23</v>
      </c>
      <c r="J119" s="19"/>
      <c r="K119" s="19"/>
      <c r="L119" s="119">
        <v>0</v>
      </c>
      <c r="M119" s="19"/>
      <c r="N119" s="105"/>
    </row>
    <row r="120" spans="1:14" ht="15.75" thickBot="1" x14ac:dyDescent="0.3">
      <c r="A120" s="124"/>
      <c r="B120" s="19"/>
      <c r="C120" s="19"/>
      <c r="D120" s="23"/>
      <c r="E120" s="19"/>
      <c r="F120" s="19"/>
      <c r="G120" s="19"/>
      <c r="H120" s="19"/>
      <c r="I120" s="19"/>
      <c r="J120" s="19"/>
      <c r="K120" s="19"/>
      <c r="L120" s="122">
        <v>0</v>
      </c>
      <c r="M120" s="19"/>
      <c r="N120" s="105"/>
    </row>
    <row r="121" spans="1:14" ht="15.75" thickBot="1" x14ac:dyDescent="0.3">
      <c r="A121" s="124"/>
      <c r="B121" s="19"/>
      <c r="C121" s="19"/>
      <c r="D121" s="23"/>
      <c r="E121" s="19"/>
      <c r="F121" s="19"/>
      <c r="G121" s="19"/>
      <c r="H121" s="19"/>
      <c r="I121" s="19"/>
      <c r="J121" s="19"/>
      <c r="K121" s="19"/>
      <c r="L121" s="122"/>
      <c r="M121" s="19"/>
      <c r="N121" s="105"/>
    </row>
    <row r="122" spans="1:14" ht="15.75" thickBot="1" x14ac:dyDescent="0.3">
      <c r="A122" s="124" t="s">
        <v>112</v>
      </c>
      <c r="B122" s="19"/>
      <c r="C122" s="19"/>
      <c r="D122" s="23"/>
      <c r="E122" s="19"/>
      <c r="F122" s="19"/>
      <c r="G122" s="19"/>
      <c r="H122" s="19"/>
      <c r="I122" s="19"/>
      <c r="J122" s="19"/>
      <c r="K122" s="19"/>
      <c r="L122" s="122"/>
      <c r="M122" s="19"/>
      <c r="N122" s="105"/>
    </row>
    <row r="123" spans="1:14" ht="30.75" thickBot="1" x14ac:dyDescent="0.3">
      <c r="A123" s="95" t="s">
        <v>783</v>
      </c>
      <c r="B123" s="19" t="s">
        <v>14</v>
      </c>
      <c r="C123" s="19"/>
      <c r="D123" s="23">
        <v>5</v>
      </c>
      <c r="E123" s="19" t="s">
        <v>16</v>
      </c>
      <c r="F123" s="19"/>
      <c r="G123" s="19" t="s">
        <v>89</v>
      </c>
      <c r="H123" s="19" t="s">
        <v>89</v>
      </c>
      <c r="I123" s="19"/>
      <c r="J123" s="19"/>
      <c r="K123" s="19" t="s">
        <v>22</v>
      </c>
      <c r="L123" s="119">
        <v>491100000</v>
      </c>
      <c r="M123" s="19">
        <v>100</v>
      </c>
      <c r="N123" s="105"/>
    </row>
    <row r="124" spans="1:14" ht="17.25" customHeight="1" thickBot="1" x14ac:dyDescent="0.3">
      <c r="A124" s="95"/>
      <c r="B124" s="19"/>
      <c r="C124" s="19"/>
      <c r="D124" s="23"/>
      <c r="E124" s="19"/>
      <c r="F124" s="19"/>
      <c r="G124" s="19"/>
      <c r="H124" s="19"/>
      <c r="I124" s="19"/>
      <c r="J124" s="19"/>
      <c r="K124" s="19"/>
      <c r="L124" s="122">
        <f>SUM(L123)</f>
        <v>491100000</v>
      </c>
      <c r="M124" s="19"/>
      <c r="N124" s="105"/>
    </row>
    <row r="125" spans="1:14" ht="34.5" customHeight="1" thickBot="1" x14ac:dyDescent="0.3">
      <c r="A125" s="124" t="s">
        <v>784</v>
      </c>
      <c r="B125" s="19"/>
      <c r="C125" s="19"/>
      <c r="D125" s="23"/>
      <c r="E125" s="19"/>
      <c r="F125" s="19"/>
      <c r="G125" s="19"/>
      <c r="H125" s="19"/>
      <c r="I125" s="19"/>
      <c r="J125" s="19"/>
      <c r="K125" s="19"/>
      <c r="L125" s="122"/>
      <c r="M125" s="19"/>
      <c r="N125" s="105"/>
    </row>
    <row r="126" spans="1:14" ht="40.5" customHeight="1" thickBot="1" x14ac:dyDescent="0.3">
      <c r="A126" s="95" t="s">
        <v>694</v>
      </c>
      <c r="B126" s="19" t="s">
        <v>14</v>
      </c>
      <c r="C126" s="19"/>
      <c r="D126" s="23"/>
      <c r="E126" s="19"/>
      <c r="F126" s="19"/>
      <c r="G126" s="19" t="s">
        <v>89</v>
      </c>
      <c r="H126" s="19" t="s">
        <v>89</v>
      </c>
      <c r="I126" s="19" t="s">
        <v>21</v>
      </c>
      <c r="J126" s="19"/>
      <c r="K126" s="19"/>
      <c r="L126" s="119">
        <v>0</v>
      </c>
      <c r="M126" s="19"/>
      <c r="N126" s="105"/>
    </row>
    <row r="127" spans="1:14" ht="17.25" customHeight="1" thickBot="1" x14ac:dyDescent="0.3">
      <c r="A127" s="95"/>
      <c r="B127" s="19"/>
      <c r="C127" s="19"/>
      <c r="D127" s="23"/>
      <c r="E127" s="19"/>
      <c r="F127" s="19"/>
      <c r="G127" s="19"/>
      <c r="H127" s="19"/>
      <c r="I127" s="19"/>
      <c r="J127" s="19"/>
      <c r="K127" s="19"/>
      <c r="L127" s="122">
        <v>0</v>
      </c>
      <c r="M127" s="19"/>
      <c r="N127" s="105"/>
    </row>
    <row r="128" spans="1:14" ht="17.25" customHeight="1" thickBot="1" x14ac:dyDescent="0.3">
      <c r="A128" s="124" t="s">
        <v>785</v>
      </c>
      <c r="B128" s="19"/>
      <c r="C128" s="19"/>
      <c r="D128" s="23"/>
      <c r="E128" s="19"/>
      <c r="F128" s="19"/>
      <c r="G128" s="19"/>
      <c r="H128" s="19"/>
      <c r="I128" s="19"/>
      <c r="J128" s="19"/>
      <c r="K128" s="19"/>
      <c r="L128" s="122"/>
      <c r="M128" s="19"/>
      <c r="N128" s="105"/>
    </row>
    <row r="129" spans="1:15" ht="30.75" thickBot="1" x14ac:dyDescent="0.3">
      <c r="A129" s="95" t="s">
        <v>730</v>
      </c>
      <c r="B129" s="19" t="s">
        <v>14</v>
      </c>
      <c r="C129" s="19"/>
      <c r="D129" s="23">
        <v>11</v>
      </c>
      <c r="E129" s="19" t="s">
        <v>16</v>
      </c>
      <c r="F129" s="19"/>
      <c r="G129" s="19" t="s">
        <v>89</v>
      </c>
      <c r="H129" s="19" t="s">
        <v>89</v>
      </c>
      <c r="I129" s="19"/>
      <c r="J129" s="19"/>
      <c r="K129" s="19" t="s">
        <v>22</v>
      </c>
      <c r="L129" s="119">
        <v>889077992.62</v>
      </c>
      <c r="M129" s="19">
        <v>100</v>
      </c>
      <c r="N129" s="105"/>
    </row>
    <row r="130" spans="1:15" s="24" customFormat="1" ht="15.75" thickBot="1" x14ac:dyDescent="0.3">
      <c r="A130" s="95"/>
      <c r="B130" s="23"/>
      <c r="C130" s="23"/>
      <c r="D130" s="23"/>
      <c r="E130" s="23"/>
      <c r="F130" s="23"/>
      <c r="G130" s="23"/>
      <c r="H130" s="23"/>
      <c r="I130" s="23"/>
      <c r="J130" s="23"/>
      <c r="K130" s="23"/>
      <c r="L130" s="125">
        <f>SUM(L129)</f>
        <v>889077992.62</v>
      </c>
      <c r="M130" s="23"/>
      <c r="N130" s="103"/>
      <c r="O130" s="102"/>
    </row>
    <row r="131" spans="1:15" s="24" customFormat="1" ht="15.75" thickBot="1" x14ac:dyDescent="0.3">
      <c r="A131" s="124" t="s">
        <v>786</v>
      </c>
      <c r="B131" s="23"/>
      <c r="C131" s="23"/>
      <c r="D131" s="23"/>
      <c r="E131" s="23"/>
      <c r="F131" s="23"/>
      <c r="G131" s="23"/>
      <c r="H131" s="23"/>
      <c r="I131" s="23"/>
      <c r="J131" s="23"/>
      <c r="K131" s="23"/>
      <c r="L131" s="96"/>
      <c r="M131" s="23"/>
      <c r="N131" s="103"/>
      <c r="O131" s="102"/>
    </row>
    <row r="132" spans="1:15" s="24" customFormat="1" ht="44.25" customHeight="1" thickBot="1" x14ac:dyDescent="0.3">
      <c r="A132" s="95" t="s">
        <v>818</v>
      </c>
      <c r="B132" s="23" t="s">
        <v>14</v>
      </c>
      <c r="C132" s="23"/>
      <c r="D132" s="23"/>
      <c r="E132" s="23" t="s">
        <v>16</v>
      </c>
      <c r="F132" s="23"/>
      <c r="G132" s="23" t="s">
        <v>89</v>
      </c>
      <c r="H132" s="23" t="s">
        <v>89</v>
      </c>
      <c r="I132" s="23" t="s">
        <v>23</v>
      </c>
      <c r="J132" s="23"/>
      <c r="K132" s="23"/>
      <c r="L132" s="96"/>
      <c r="M132" s="23"/>
      <c r="N132" s="103"/>
    </row>
    <row r="133" spans="1:15" s="24" customFormat="1" ht="15.75" thickBot="1" x14ac:dyDescent="0.3">
      <c r="A133" s="95"/>
      <c r="B133" s="23"/>
      <c r="C133" s="23"/>
      <c r="D133" s="23"/>
      <c r="E133" s="23"/>
      <c r="F133" s="23"/>
      <c r="G133" s="23"/>
      <c r="H133" s="23"/>
      <c r="I133" s="23"/>
      <c r="J133" s="23"/>
      <c r="K133" s="23"/>
      <c r="L133" s="125">
        <f>SUM(L132)</f>
        <v>0</v>
      </c>
      <c r="M133" s="23"/>
      <c r="N133" s="103"/>
      <c r="O133" s="102"/>
    </row>
    <row r="134" spans="1:15" s="24" customFormat="1" ht="15.75" thickBot="1" x14ac:dyDescent="0.3">
      <c r="A134" s="124" t="s">
        <v>787</v>
      </c>
      <c r="B134" s="23"/>
      <c r="C134" s="23"/>
      <c r="D134" s="23"/>
      <c r="E134" s="23"/>
      <c r="F134" s="23"/>
      <c r="G134" s="23"/>
      <c r="H134" s="23"/>
      <c r="I134" s="23"/>
      <c r="J134" s="23"/>
      <c r="K134" s="23"/>
      <c r="L134" s="125"/>
      <c r="M134" s="23"/>
      <c r="N134" s="103"/>
      <c r="O134" s="102"/>
    </row>
    <row r="135" spans="1:15" s="24" customFormat="1" ht="36.75" customHeight="1" thickBot="1" x14ac:dyDescent="0.3">
      <c r="A135" s="128" t="s">
        <v>695</v>
      </c>
      <c r="B135" s="23" t="s">
        <v>14</v>
      </c>
      <c r="C135" s="23"/>
      <c r="D135" s="22"/>
      <c r="E135" s="23"/>
      <c r="F135" s="23"/>
      <c r="G135" s="23" t="s">
        <v>89</v>
      </c>
      <c r="H135" s="23" t="s">
        <v>89</v>
      </c>
      <c r="I135" s="23" t="s">
        <v>23</v>
      </c>
      <c r="J135" s="23"/>
      <c r="K135" s="23"/>
      <c r="L135" s="96">
        <v>0</v>
      </c>
      <c r="M135" s="23"/>
      <c r="N135" s="103"/>
      <c r="O135" s="102"/>
    </row>
    <row r="136" spans="1:15" s="24" customFormat="1" ht="15.75" thickBot="1" x14ac:dyDescent="0.3">
      <c r="A136" s="95"/>
      <c r="B136" s="23"/>
      <c r="C136" s="23"/>
      <c r="D136" s="23"/>
      <c r="E136" s="23"/>
      <c r="F136" s="23"/>
      <c r="G136" s="23"/>
      <c r="H136" s="23"/>
      <c r="I136" s="23"/>
      <c r="J136" s="23"/>
      <c r="K136" s="23"/>
      <c r="L136" s="125">
        <v>0</v>
      </c>
      <c r="M136" s="23"/>
      <c r="N136" s="103"/>
      <c r="O136" s="102"/>
    </row>
    <row r="137" spans="1:15" s="24" customFormat="1" ht="15.75" thickBot="1" x14ac:dyDescent="0.3">
      <c r="A137" s="124" t="s">
        <v>788</v>
      </c>
      <c r="B137" s="23"/>
      <c r="C137" s="23"/>
      <c r="D137" s="23"/>
      <c r="E137" s="23"/>
      <c r="F137" s="23"/>
      <c r="G137" s="23"/>
      <c r="H137" s="23"/>
      <c r="I137" s="23"/>
      <c r="J137" s="23"/>
      <c r="K137" s="23"/>
      <c r="L137" s="125"/>
      <c r="M137" s="23"/>
      <c r="N137" s="103"/>
      <c r="O137" s="102"/>
    </row>
    <row r="138" spans="1:15" ht="30.75" thickBot="1" x14ac:dyDescent="0.3">
      <c r="A138" s="95" t="s">
        <v>743</v>
      </c>
      <c r="B138" s="19" t="s">
        <v>14</v>
      </c>
      <c r="C138" s="19"/>
      <c r="D138" s="23">
        <v>5</v>
      </c>
      <c r="E138" s="19" t="s">
        <v>16</v>
      </c>
      <c r="F138" s="19"/>
      <c r="G138" s="19" t="s">
        <v>89</v>
      </c>
      <c r="H138" s="19" t="s">
        <v>89</v>
      </c>
      <c r="I138" s="19"/>
      <c r="J138" s="19"/>
      <c r="K138" s="19" t="s">
        <v>38</v>
      </c>
      <c r="L138" s="119">
        <v>7536979277</v>
      </c>
      <c r="M138" s="19">
        <v>100</v>
      </c>
      <c r="N138" s="105"/>
    </row>
    <row r="139" spans="1:15" ht="30.75" thickBot="1" x14ac:dyDescent="0.3">
      <c r="A139" s="95" t="s">
        <v>744</v>
      </c>
      <c r="B139" s="19" t="s">
        <v>14</v>
      </c>
      <c r="C139" s="19"/>
      <c r="D139" s="23">
        <v>8.5</v>
      </c>
      <c r="E139" s="19" t="s">
        <v>16</v>
      </c>
      <c r="F139" s="19"/>
      <c r="G139" s="19" t="s">
        <v>89</v>
      </c>
      <c r="H139" s="19" t="s">
        <v>89</v>
      </c>
      <c r="I139" s="19"/>
      <c r="J139" s="19"/>
      <c r="K139" s="19" t="s">
        <v>38</v>
      </c>
      <c r="L139" s="119">
        <v>10759606036</v>
      </c>
      <c r="M139" s="19">
        <v>100</v>
      </c>
      <c r="N139" s="105"/>
    </row>
    <row r="140" spans="1:15" ht="15.75" thickBot="1" x14ac:dyDescent="0.3">
      <c r="A140" s="95"/>
      <c r="B140" s="19"/>
      <c r="C140" s="19"/>
      <c r="D140" s="23"/>
      <c r="E140" s="19"/>
      <c r="F140" s="19"/>
      <c r="G140" s="19"/>
      <c r="H140" s="19"/>
      <c r="I140" s="19"/>
      <c r="J140" s="19"/>
      <c r="K140" s="19"/>
      <c r="L140" s="122">
        <f>SUM(L138:L139)</f>
        <v>18296585313</v>
      </c>
      <c r="M140" s="19"/>
      <c r="N140" s="105"/>
    </row>
    <row r="141" spans="1:15" ht="15.75" thickBot="1" x14ac:dyDescent="0.3">
      <c r="A141" s="124" t="s">
        <v>789</v>
      </c>
      <c r="B141" s="19"/>
      <c r="C141" s="19"/>
      <c r="D141" s="23"/>
      <c r="E141" s="19"/>
      <c r="F141" s="19"/>
      <c r="G141" s="19"/>
      <c r="H141" s="19"/>
      <c r="I141" s="19"/>
      <c r="J141" s="19"/>
      <c r="K141" s="19"/>
      <c r="L141" s="122"/>
      <c r="M141" s="19"/>
      <c r="N141" s="105"/>
    </row>
    <row r="142" spans="1:15" s="24" customFormat="1" ht="15.75" thickBot="1" x14ac:dyDescent="0.3">
      <c r="A142" s="95" t="s">
        <v>696</v>
      </c>
      <c r="B142" s="23" t="s">
        <v>14</v>
      </c>
      <c r="C142" s="23"/>
      <c r="D142" s="23"/>
      <c r="E142" s="23"/>
      <c r="F142" s="23"/>
      <c r="G142" s="23" t="s">
        <v>89</v>
      </c>
      <c r="H142" s="23" t="s">
        <v>89</v>
      </c>
      <c r="I142" s="23"/>
      <c r="J142" s="23"/>
      <c r="K142" s="23"/>
      <c r="L142" s="96">
        <v>0</v>
      </c>
      <c r="M142" s="23"/>
      <c r="N142" s="103"/>
      <c r="O142" s="102"/>
    </row>
    <row r="143" spans="1:15" ht="15.75" thickBot="1" x14ac:dyDescent="0.3">
      <c r="A143" s="95"/>
      <c r="B143" s="19"/>
      <c r="C143" s="19"/>
      <c r="D143" s="23"/>
      <c r="E143" s="19"/>
      <c r="F143" s="19"/>
      <c r="G143" s="19"/>
      <c r="H143" s="19"/>
      <c r="I143" s="19"/>
      <c r="J143" s="19"/>
      <c r="K143" s="19"/>
      <c r="L143" s="122">
        <v>0</v>
      </c>
      <c r="M143" s="19"/>
      <c r="N143" s="105"/>
    </row>
    <row r="144" spans="1:15" ht="15.75" thickBot="1" x14ac:dyDescent="0.3">
      <c r="A144" s="124" t="s">
        <v>790</v>
      </c>
      <c r="B144" s="19"/>
      <c r="C144" s="19"/>
      <c r="D144" s="23"/>
      <c r="E144" s="19"/>
      <c r="F144" s="19"/>
      <c r="G144" s="19"/>
      <c r="H144" s="19"/>
      <c r="I144" s="19"/>
      <c r="J144" s="19"/>
      <c r="K144" s="19"/>
      <c r="L144" s="122"/>
      <c r="M144" s="19"/>
      <c r="N144" s="105"/>
    </row>
    <row r="145" spans="1:16" ht="30.75" thickBot="1" x14ac:dyDescent="0.3">
      <c r="A145" s="95" t="s">
        <v>703</v>
      </c>
      <c r="B145" s="19" t="s">
        <v>14</v>
      </c>
      <c r="C145" s="19"/>
      <c r="D145" s="22">
        <v>56</v>
      </c>
      <c r="E145" s="19" t="s">
        <v>16</v>
      </c>
      <c r="F145" s="19" t="s">
        <v>29</v>
      </c>
      <c r="G145" s="19" t="s">
        <v>89</v>
      </c>
      <c r="H145" s="19" t="s">
        <v>89</v>
      </c>
      <c r="I145" s="19"/>
      <c r="J145" s="19"/>
      <c r="K145" s="19" t="s">
        <v>35</v>
      </c>
      <c r="L145" s="119">
        <v>921094198</v>
      </c>
      <c r="M145" s="19">
        <v>100</v>
      </c>
      <c r="N145" s="105"/>
    </row>
    <row r="146" spans="1:16" ht="30.75" thickBot="1" x14ac:dyDescent="0.3">
      <c r="A146" s="95" t="s">
        <v>704</v>
      </c>
      <c r="B146" s="19" t="s">
        <v>14</v>
      </c>
      <c r="C146" s="19"/>
      <c r="D146" s="22">
        <v>44</v>
      </c>
      <c r="E146" s="19" t="s">
        <v>16</v>
      </c>
      <c r="F146" s="19" t="s">
        <v>29</v>
      </c>
      <c r="G146" s="19" t="s">
        <v>89</v>
      </c>
      <c r="H146" s="19" t="s">
        <v>89</v>
      </c>
      <c r="I146" s="19"/>
      <c r="J146" s="19"/>
      <c r="K146" s="19" t="s">
        <v>35</v>
      </c>
      <c r="L146" s="119">
        <v>670888496</v>
      </c>
      <c r="M146" s="19">
        <v>100</v>
      </c>
      <c r="N146" s="105"/>
    </row>
    <row r="147" spans="1:16" ht="30.75" thickBot="1" x14ac:dyDescent="0.3">
      <c r="A147" s="95" t="s">
        <v>705</v>
      </c>
      <c r="B147" s="19" t="s">
        <v>14</v>
      </c>
      <c r="C147" s="19"/>
      <c r="D147" s="22">
        <v>25</v>
      </c>
      <c r="E147" s="19" t="s">
        <v>16</v>
      </c>
      <c r="F147" s="19"/>
      <c r="G147" s="19" t="s">
        <v>89</v>
      </c>
      <c r="H147" s="19" t="s">
        <v>89</v>
      </c>
      <c r="I147" s="19"/>
      <c r="J147" s="19"/>
      <c r="K147" s="19" t="s">
        <v>35</v>
      </c>
      <c r="L147" s="119">
        <v>1093414127</v>
      </c>
      <c r="M147" s="19">
        <v>100</v>
      </c>
      <c r="N147" s="105"/>
    </row>
    <row r="148" spans="1:16" ht="38.25" customHeight="1" thickBot="1" x14ac:dyDescent="0.3">
      <c r="A148" s="95" t="s">
        <v>791</v>
      </c>
      <c r="B148" s="19" t="s">
        <v>14</v>
      </c>
      <c r="C148" s="19"/>
      <c r="D148" s="22"/>
      <c r="E148" s="19"/>
      <c r="F148" s="19"/>
      <c r="G148" s="19"/>
      <c r="H148" s="19"/>
      <c r="I148" s="19"/>
      <c r="J148" s="19"/>
      <c r="K148" s="19" t="s">
        <v>792</v>
      </c>
      <c r="L148" s="119">
        <v>1268359848</v>
      </c>
      <c r="M148" s="19">
        <v>100</v>
      </c>
      <c r="N148" s="105"/>
    </row>
    <row r="149" spans="1:16" ht="15.75" thickBot="1" x14ac:dyDescent="0.3">
      <c r="A149" s="95"/>
      <c r="B149" s="19"/>
      <c r="C149" s="19"/>
      <c r="D149" s="22"/>
      <c r="E149" s="19"/>
      <c r="F149" s="19"/>
      <c r="G149" s="19"/>
      <c r="H149" s="19"/>
      <c r="I149" s="19"/>
      <c r="J149" s="19"/>
      <c r="K149" s="19"/>
      <c r="L149" s="122">
        <f>SUM(L145:L148)</f>
        <v>3953756669</v>
      </c>
      <c r="M149" s="19"/>
      <c r="N149" s="105"/>
    </row>
    <row r="150" spans="1:16" ht="15.75" thickBot="1" x14ac:dyDescent="0.3">
      <c r="A150" s="124" t="s">
        <v>793</v>
      </c>
      <c r="B150" s="19"/>
      <c r="C150" s="19"/>
      <c r="D150" s="22"/>
      <c r="E150" s="19"/>
      <c r="F150" s="19"/>
      <c r="G150" s="19"/>
      <c r="H150" s="19"/>
      <c r="I150" s="19"/>
      <c r="J150" s="19"/>
      <c r="K150" s="19"/>
      <c r="L150" s="122"/>
      <c r="M150" s="19"/>
      <c r="N150" s="105"/>
    </row>
    <row r="151" spans="1:16" ht="49.5" customHeight="1" thickBot="1" x14ac:dyDescent="0.3">
      <c r="A151" s="95" t="s">
        <v>707</v>
      </c>
      <c r="B151" s="19" t="s">
        <v>14</v>
      </c>
      <c r="C151" s="19"/>
      <c r="D151" s="22">
        <v>0.38</v>
      </c>
      <c r="E151" s="19"/>
      <c r="F151" s="19"/>
      <c r="G151" s="19" t="s">
        <v>89</v>
      </c>
      <c r="H151" s="19" t="s">
        <v>89</v>
      </c>
      <c r="I151" s="19" t="s">
        <v>23</v>
      </c>
      <c r="J151" s="19"/>
      <c r="K151" s="19" t="s">
        <v>35</v>
      </c>
      <c r="L151" s="96">
        <v>265000000</v>
      </c>
      <c r="M151" s="19">
        <v>100</v>
      </c>
      <c r="N151" s="105"/>
    </row>
    <row r="152" spans="1:16" ht="15.75" thickBot="1" x14ac:dyDescent="0.3">
      <c r="A152" s="95"/>
      <c r="B152" s="19"/>
      <c r="C152" s="19"/>
      <c r="D152" s="22"/>
      <c r="E152" s="19"/>
      <c r="F152" s="19"/>
      <c r="G152" s="19"/>
      <c r="H152" s="19"/>
      <c r="I152" s="19"/>
      <c r="J152" s="19"/>
      <c r="K152" s="19"/>
      <c r="L152" s="122">
        <f>SUM(L151)</f>
        <v>265000000</v>
      </c>
      <c r="M152" s="19"/>
      <c r="N152" s="105"/>
    </row>
    <row r="153" spans="1:16" ht="15.75" thickBot="1" x14ac:dyDescent="0.3">
      <c r="A153" s="124" t="s">
        <v>794</v>
      </c>
      <c r="B153" s="19"/>
      <c r="C153" s="19"/>
      <c r="D153" s="22"/>
      <c r="E153" s="19"/>
      <c r="F153" s="19"/>
      <c r="G153" s="19"/>
      <c r="H153" s="19"/>
      <c r="I153" s="19"/>
      <c r="J153" s="19"/>
      <c r="K153" s="19"/>
      <c r="L153" s="122">
        <v>0</v>
      </c>
      <c r="M153" s="19"/>
      <c r="N153" s="105"/>
    </row>
    <row r="154" spans="1:16" ht="15.75" thickBot="1" x14ac:dyDescent="0.3">
      <c r="A154" s="95"/>
      <c r="B154" s="19"/>
      <c r="C154" s="19"/>
      <c r="D154" s="22"/>
      <c r="E154" s="19"/>
      <c r="F154" s="19"/>
      <c r="G154" s="19"/>
      <c r="H154" s="19"/>
      <c r="I154" s="19"/>
      <c r="J154" s="19"/>
      <c r="K154" s="19"/>
      <c r="L154" s="122">
        <v>0</v>
      </c>
      <c r="M154" s="19"/>
      <c r="N154" s="105"/>
    </row>
    <row r="155" spans="1:16" ht="15.75" thickBot="1" x14ac:dyDescent="0.3">
      <c r="A155" s="124" t="s">
        <v>795</v>
      </c>
      <c r="B155" s="19"/>
      <c r="C155" s="19"/>
      <c r="D155" s="22"/>
      <c r="E155" s="19"/>
      <c r="F155" s="19"/>
      <c r="G155" s="19"/>
      <c r="H155" s="19"/>
      <c r="I155" s="19"/>
      <c r="J155" s="19"/>
      <c r="K155" s="19"/>
      <c r="L155" s="122"/>
      <c r="M155" s="19"/>
      <c r="N155" s="105"/>
    </row>
    <row r="156" spans="1:16" ht="49.5" customHeight="1" thickBot="1" x14ac:dyDescent="0.3">
      <c r="A156" s="95" t="s">
        <v>723</v>
      </c>
      <c r="B156" s="19"/>
      <c r="C156" s="19" t="s">
        <v>14</v>
      </c>
      <c r="D156" s="23"/>
      <c r="E156" s="19" t="s">
        <v>29</v>
      </c>
      <c r="F156" s="19"/>
      <c r="G156" s="19" t="s">
        <v>89</v>
      </c>
      <c r="H156" s="19" t="s">
        <v>89</v>
      </c>
      <c r="I156" s="19" t="s">
        <v>23</v>
      </c>
      <c r="J156" s="19">
        <v>0.7</v>
      </c>
      <c r="K156" s="19" t="s">
        <v>33</v>
      </c>
      <c r="L156" s="119">
        <v>1052433814.64</v>
      </c>
      <c r="M156" s="19">
        <v>100</v>
      </c>
      <c r="N156" s="105"/>
      <c r="P156" s="120"/>
    </row>
    <row r="157" spans="1:16" ht="15.75" thickBot="1" x14ac:dyDescent="0.3">
      <c r="A157" s="95"/>
      <c r="B157" s="19"/>
      <c r="C157" s="19"/>
      <c r="D157" s="22"/>
      <c r="E157" s="19"/>
      <c r="F157" s="19"/>
      <c r="G157" s="19"/>
      <c r="H157" s="19"/>
      <c r="I157" s="19"/>
      <c r="J157" s="19"/>
      <c r="K157" s="19"/>
      <c r="L157" s="122">
        <f>SUM(L156)</f>
        <v>1052433814.64</v>
      </c>
      <c r="M157" s="19"/>
      <c r="N157" s="105"/>
    </row>
    <row r="158" spans="1:16" ht="15.75" thickBot="1" x14ac:dyDescent="0.3">
      <c r="A158" s="124" t="s">
        <v>796</v>
      </c>
      <c r="B158" s="19"/>
      <c r="C158" s="19"/>
      <c r="D158" s="22"/>
      <c r="E158" s="19"/>
      <c r="F158" s="19"/>
      <c r="G158" s="19"/>
      <c r="H158" s="19"/>
      <c r="I158" s="19"/>
      <c r="J158" s="19"/>
      <c r="K158" s="19"/>
      <c r="L158" s="122"/>
      <c r="M158" s="19"/>
      <c r="N158" s="105"/>
    </row>
    <row r="159" spans="1:16" ht="34.5" customHeight="1" thickBot="1" x14ac:dyDescent="0.3">
      <c r="A159" s="95" t="s">
        <v>806</v>
      </c>
      <c r="B159" s="19" t="s">
        <v>14</v>
      </c>
      <c r="C159" s="19"/>
      <c r="D159" s="23">
        <v>18</v>
      </c>
      <c r="E159" s="19"/>
      <c r="F159" s="19"/>
      <c r="G159" s="19"/>
      <c r="H159" s="19"/>
      <c r="I159" s="19"/>
      <c r="J159" s="19"/>
      <c r="K159" s="19" t="s">
        <v>35</v>
      </c>
      <c r="L159" s="119">
        <v>175000000</v>
      </c>
      <c r="M159" s="19">
        <v>100</v>
      </c>
      <c r="N159" s="105"/>
    </row>
    <row r="160" spans="1:16" ht="34.5" customHeight="1" thickBot="1" x14ac:dyDescent="0.3">
      <c r="A160" s="95" t="s">
        <v>807</v>
      </c>
      <c r="B160" s="19" t="s">
        <v>14</v>
      </c>
      <c r="C160" s="19"/>
      <c r="D160" s="23">
        <v>13</v>
      </c>
      <c r="E160" s="19"/>
      <c r="F160" s="19"/>
      <c r="G160" s="19"/>
      <c r="H160" s="19"/>
      <c r="I160" s="19"/>
      <c r="J160" s="19"/>
      <c r="K160" s="19" t="s">
        <v>35</v>
      </c>
      <c r="L160" s="119">
        <v>837138452.14999998</v>
      </c>
      <c r="M160" s="19">
        <v>100</v>
      </c>
      <c r="N160" s="105"/>
    </row>
    <row r="161" spans="1:16" ht="51" customHeight="1" thickBot="1" x14ac:dyDescent="0.3">
      <c r="A161" s="95" t="s">
        <v>797</v>
      </c>
      <c r="B161" s="19" t="s">
        <v>14</v>
      </c>
      <c r="C161" s="19"/>
      <c r="D161" s="23">
        <v>10</v>
      </c>
      <c r="E161" s="19"/>
      <c r="F161" s="19"/>
      <c r="G161" s="19" t="s">
        <v>89</v>
      </c>
      <c r="H161" s="19" t="s">
        <v>89</v>
      </c>
      <c r="I161" s="19" t="s">
        <v>717</v>
      </c>
      <c r="J161" s="19"/>
      <c r="K161" s="19" t="s">
        <v>35</v>
      </c>
      <c r="L161" s="119">
        <v>1093414127</v>
      </c>
      <c r="M161" s="19">
        <v>100</v>
      </c>
      <c r="N161" s="105"/>
    </row>
    <row r="162" spans="1:16" ht="15.75" thickBot="1" x14ac:dyDescent="0.3">
      <c r="A162" s="95"/>
      <c r="B162" s="19"/>
      <c r="C162" s="19"/>
      <c r="D162" s="22"/>
      <c r="E162" s="19"/>
      <c r="F162" s="19"/>
      <c r="G162" s="19"/>
      <c r="H162" s="19"/>
      <c r="I162" s="19"/>
      <c r="J162" s="19"/>
      <c r="K162" s="19"/>
      <c r="L162" s="122">
        <f>SUM(L159:L161)</f>
        <v>2105552579.1500001</v>
      </c>
      <c r="M162" s="19"/>
      <c r="N162" s="105"/>
    </row>
    <row r="163" spans="1:16" ht="15.75" thickBot="1" x14ac:dyDescent="0.3">
      <c r="A163" s="124" t="s">
        <v>798</v>
      </c>
      <c r="B163" s="19"/>
      <c r="C163" s="19"/>
      <c r="D163" s="22"/>
      <c r="E163" s="19"/>
      <c r="F163" s="19"/>
      <c r="G163" s="19"/>
      <c r="H163" s="19"/>
      <c r="I163" s="19"/>
      <c r="J163" s="19"/>
      <c r="K163" s="19"/>
      <c r="L163" s="122"/>
      <c r="M163" s="19"/>
      <c r="N163" s="105"/>
    </row>
    <row r="164" spans="1:16" ht="36" customHeight="1" thickBot="1" x14ac:dyDescent="0.3">
      <c r="A164" s="95" t="s">
        <v>804</v>
      </c>
      <c r="B164" s="19" t="s">
        <v>14</v>
      </c>
      <c r="C164" s="19"/>
      <c r="D164" s="23">
        <v>2</v>
      </c>
      <c r="E164" s="19"/>
      <c r="F164" s="19"/>
      <c r="G164" s="19"/>
      <c r="H164" s="19"/>
      <c r="I164" s="19"/>
      <c r="J164" s="19"/>
      <c r="K164" s="19" t="s">
        <v>22</v>
      </c>
      <c r="L164" s="119">
        <v>1944689243.48</v>
      </c>
      <c r="M164" s="19">
        <v>100</v>
      </c>
      <c r="N164" s="105"/>
      <c r="P164" s="133"/>
    </row>
    <row r="165" spans="1:16" ht="27" customHeight="1" thickBot="1" x14ac:dyDescent="0.3">
      <c r="A165" s="95" t="s">
        <v>746</v>
      </c>
      <c r="B165" s="19" t="s">
        <v>14</v>
      </c>
      <c r="C165" s="19"/>
      <c r="D165" s="23">
        <v>7</v>
      </c>
      <c r="E165" s="19"/>
      <c r="F165" s="19"/>
      <c r="G165" s="19"/>
      <c r="H165" s="19"/>
      <c r="I165" s="19"/>
      <c r="J165" s="19"/>
      <c r="K165" s="19" t="s">
        <v>22</v>
      </c>
      <c r="L165" s="119">
        <v>2248559348</v>
      </c>
      <c r="M165" s="19">
        <v>100</v>
      </c>
      <c r="N165" s="105"/>
    </row>
    <row r="166" spans="1:16" ht="15.75" thickBot="1" x14ac:dyDescent="0.3">
      <c r="A166" s="95"/>
      <c r="B166" s="19"/>
      <c r="C166" s="19"/>
      <c r="D166" s="22"/>
      <c r="E166" s="19"/>
      <c r="F166" s="19"/>
      <c r="G166" s="19"/>
      <c r="H166" s="19"/>
      <c r="I166" s="19"/>
      <c r="J166" s="19"/>
      <c r="K166" s="19"/>
      <c r="L166" s="122">
        <f>SUM(L164:L165)</f>
        <v>4193248591.48</v>
      </c>
      <c r="M166" s="19"/>
      <c r="N166" s="105"/>
    </row>
    <row r="167" spans="1:16" ht="15.75" thickBot="1" x14ac:dyDescent="0.3">
      <c r="A167" s="124" t="s">
        <v>799</v>
      </c>
      <c r="B167" s="97"/>
      <c r="C167" s="97"/>
      <c r="D167" s="95"/>
      <c r="E167" s="95"/>
      <c r="F167" s="95"/>
      <c r="G167" s="95"/>
      <c r="H167" s="95"/>
      <c r="I167" s="95"/>
      <c r="J167" s="95"/>
      <c r="K167" s="95"/>
      <c r="L167" s="95"/>
      <c r="M167" s="95"/>
      <c r="N167" s="134"/>
    </row>
    <row r="168" spans="1:16" ht="30.75" thickBot="1" x14ac:dyDescent="0.3">
      <c r="A168" s="95" t="s">
        <v>745</v>
      </c>
      <c r="B168" s="19" t="s">
        <v>14</v>
      </c>
      <c r="C168" s="19"/>
      <c r="D168" s="23">
        <v>0.7</v>
      </c>
      <c r="E168" s="19" t="s">
        <v>16</v>
      </c>
      <c r="F168" s="19"/>
      <c r="G168" s="19" t="s">
        <v>89</v>
      </c>
      <c r="H168" s="19" t="s">
        <v>89</v>
      </c>
      <c r="I168" s="19"/>
      <c r="J168" s="19"/>
      <c r="K168" s="19" t="s">
        <v>22</v>
      </c>
      <c r="L168" s="119">
        <v>662881397.10000002</v>
      </c>
      <c r="M168" s="19">
        <v>100</v>
      </c>
      <c r="N168" s="105"/>
    </row>
    <row r="169" spans="1:16" ht="15.75" thickBot="1" x14ac:dyDescent="0.3">
      <c r="A169" s="135"/>
      <c r="B169" s="136"/>
      <c r="C169" s="136"/>
      <c r="D169" s="135"/>
      <c r="E169" s="135"/>
      <c r="F169" s="135"/>
      <c r="G169" s="135"/>
      <c r="H169" s="135"/>
      <c r="I169" s="135"/>
      <c r="J169" s="135"/>
      <c r="K169" s="135"/>
      <c r="L169" s="137">
        <f>SUM(L168)</f>
        <v>662881397.10000002</v>
      </c>
      <c r="M169" s="135"/>
      <c r="N169" s="134"/>
    </row>
    <row r="170" spans="1:16" ht="15.75" thickBot="1" x14ac:dyDescent="0.3">
      <c r="A170" s="118" t="s">
        <v>800</v>
      </c>
      <c r="B170" s="111"/>
      <c r="C170" s="136"/>
      <c r="D170" s="138"/>
      <c r="E170" s="138"/>
      <c r="F170" s="138"/>
      <c r="G170" s="138"/>
      <c r="H170" s="138"/>
      <c r="I170" s="138"/>
      <c r="J170" s="138"/>
      <c r="K170" s="135"/>
      <c r="L170" s="138"/>
      <c r="M170" s="135"/>
      <c r="N170" s="134"/>
    </row>
    <row r="171" spans="1:16" ht="30.75" thickBot="1" x14ac:dyDescent="0.3">
      <c r="A171" s="95" t="s">
        <v>697</v>
      </c>
      <c r="B171" s="19" t="s">
        <v>14</v>
      </c>
      <c r="C171" s="19"/>
      <c r="D171" s="23">
        <v>0.1</v>
      </c>
      <c r="E171" s="19" t="s">
        <v>16</v>
      </c>
      <c r="F171" s="19"/>
      <c r="G171" s="19" t="s">
        <v>89</v>
      </c>
      <c r="H171" s="19" t="s">
        <v>89</v>
      </c>
      <c r="I171" s="19"/>
      <c r="J171" s="19"/>
      <c r="K171" s="19" t="s">
        <v>722</v>
      </c>
      <c r="L171" s="119">
        <v>42355354.799999997</v>
      </c>
      <c r="M171" s="19">
        <v>100</v>
      </c>
      <c r="N171" s="105"/>
    </row>
    <row r="172" spans="1:16" ht="15.75" thickBot="1" x14ac:dyDescent="0.3">
      <c r="A172" s="135"/>
      <c r="B172" s="11"/>
      <c r="C172" s="11"/>
      <c r="D172" s="136"/>
      <c r="E172" s="11"/>
      <c r="F172" s="11"/>
      <c r="G172" s="11"/>
      <c r="H172" s="11"/>
      <c r="I172" s="11"/>
      <c r="J172" s="11"/>
      <c r="K172" s="11"/>
      <c r="L172" s="139">
        <f>SUM(L171)</f>
        <v>42355354.799999997</v>
      </c>
      <c r="M172" s="11"/>
      <c r="N172" s="105"/>
    </row>
    <row r="173" spans="1:16" ht="15.75" thickBot="1" x14ac:dyDescent="0.3">
      <c r="A173" s="118" t="s">
        <v>124</v>
      </c>
      <c r="B173" s="11"/>
      <c r="C173" s="11"/>
      <c r="D173" s="136"/>
      <c r="E173" s="11"/>
      <c r="F173" s="11"/>
      <c r="G173" s="11"/>
      <c r="H173" s="11"/>
      <c r="I173" s="11"/>
      <c r="J173" s="11"/>
      <c r="K173" s="11"/>
      <c r="L173" s="140"/>
      <c r="M173" s="11"/>
      <c r="N173" s="105"/>
    </row>
    <row r="174" spans="1:16" ht="38.25" customHeight="1" thickBot="1" x14ac:dyDescent="0.3">
      <c r="A174" s="95" t="s">
        <v>726</v>
      </c>
      <c r="B174" s="19" t="s">
        <v>14</v>
      </c>
      <c r="C174" s="19"/>
      <c r="D174" s="23">
        <v>2</v>
      </c>
      <c r="E174" s="19" t="s">
        <v>16</v>
      </c>
      <c r="F174" s="19" t="s">
        <v>41</v>
      </c>
      <c r="G174" s="19" t="s">
        <v>89</v>
      </c>
      <c r="H174" s="19" t="s">
        <v>89</v>
      </c>
      <c r="I174" s="19" t="s">
        <v>23</v>
      </c>
      <c r="J174" s="19"/>
      <c r="K174" s="19" t="s">
        <v>31</v>
      </c>
      <c r="L174" s="119">
        <v>294012909.64999998</v>
      </c>
      <c r="M174" s="19">
        <v>100</v>
      </c>
      <c r="N174" s="105"/>
    </row>
    <row r="175" spans="1:16" ht="36" customHeight="1" thickBot="1" x14ac:dyDescent="0.3">
      <c r="A175" s="95" t="s">
        <v>727</v>
      </c>
      <c r="B175" s="19" t="s">
        <v>14</v>
      </c>
      <c r="C175" s="19"/>
      <c r="D175" s="23">
        <v>10</v>
      </c>
      <c r="E175" s="19" t="s">
        <v>16</v>
      </c>
      <c r="F175" s="19"/>
      <c r="G175" s="19" t="s">
        <v>89</v>
      </c>
      <c r="H175" s="19" t="s">
        <v>89</v>
      </c>
      <c r="I175" s="19"/>
      <c r="J175" s="19"/>
      <c r="K175" s="19" t="s">
        <v>38</v>
      </c>
      <c r="L175" s="119">
        <f>33471430639/2</f>
        <v>16735715319.5</v>
      </c>
      <c r="M175" s="19">
        <v>100</v>
      </c>
      <c r="N175" s="105"/>
      <c r="P175" s="120"/>
    </row>
    <row r="176" spans="1:16" ht="36" customHeight="1" thickBot="1" x14ac:dyDescent="0.3">
      <c r="A176" s="95"/>
      <c r="B176" s="19"/>
      <c r="C176" s="19"/>
      <c r="D176" s="23"/>
      <c r="E176" s="19"/>
      <c r="F176" s="19"/>
      <c r="G176" s="19"/>
      <c r="H176" s="19"/>
      <c r="I176" s="19"/>
      <c r="J176" s="19"/>
      <c r="K176" s="19"/>
      <c r="L176" s="122">
        <f>SUM(L174:L175)</f>
        <v>17029728229.15</v>
      </c>
      <c r="M176" s="19"/>
      <c r="N176" s="105"/>
      <c r="P176" s="120"/>
    </row>
    <row r="177" spans="1:16" ht="56.25" customHeight="1" thickBot="1" x14ac:dyDescent="0.3">
      <c r="A177" s="116" t="s">
        <v>823</v>
      </c>
      <c r="B177" s="112"/>
      <c r="C177" s="112"/>
      <c r="D177" s="113"/>
      <c r="E177" s="112"/>
      <c r="F177" s="112"/>
      <c r="G177" s="112"/>
      <c r="H177" s="112"/>
      <c r="I177" s="112"/>
      <c r="J177" s="141">
        <f>SUM(J1:J176)</f>
        <v>10.448999999999998</v>
      </c>
      <c r="K177" s="157" t="s">
        <v>824</v>
      </c>
      <c r="L177" s="142">
        <f>+L8+L9+L72+L80+L96+L109+L156</f>
        <v>18109260997.369999</v>
      </c>
      <c r="M177" s="113"/>
      <c r="N177" s="105"/>
      <c r="P177" s="120"/>
    </row>
    <row r="178" spans="1:16" ht="60" customHeight="1" thickBot="1" x14ac:dyDescent="0.3">
      <c r="A178" s="116" t="s">
        <v>822</v>
      </c>
      <c r="B178" s="112"/>
      <c r="C178" s="113"/>
      <c r="D178" s="143">
        <f>SUM(D3:D176)</f>
        <v>617.92000000000007</v>
      </c>
      <c r="E178" s="144">
        <f t="shared" ref="E178:I178" si="0">SUM(E3:E176)</f>
        <v>0</v>
      </c>
      <c r="F178" s="144">
        <f t="shared" si="0"/>
        <v>0</v>
      </c>
      <c r="G178" s="144">
        <f t="shared" si="0"/>
        <v>0</v>
      </c>
      <c r="H178" s="144">
        <f t="shared" si="0"/>
        <v>0</v>
      </c>
      <c r="I178" s="144">
        <f t="shared" si="0"/>
        <v>0</v>
      </c>
      <c r="J178" s="145"/>
      <c r="K178" s="157" t="s">
        <v>821</v>
      </c>
      <c r="L178" s="142">
        <f>(SUM(L3:L176)/2)-L177</f>
        <v>193903255808.12003</v>
      </c>
      <c r="M178" s="113"/>
      <c r="N178" s="146"/>
      <c r="P178" s="106"/>
    </row>
    <row r="179" spans="1:16" ht="15.75" thickBot="1" x14ac:dyDescent="0.3"/>
    <row r="180" spans="1:16" s="155" customFormat="1" ht="42" customHeight="1" thickBot="1" x14ac:dyDescent="0.3">
      <c r="A180" s="147" t="s">
        <v>825</v>
      </c>
      <c r="B180" s="148"/>
      <c r="C180" s="148"/>
      <c r="D180" s="149">
        <f>+D178+J177</f>
        <v>628.36900000000003</v>
      </c>
      <c r="E180" s="148"/>
      <c r="F180" s="148"/>
      <c r="G180" s="148"/>
      <c r="H180" s="148"/>
      <c r="I180" s="148"/>
      <c r="J180" s="150"/>
      <c r="K180" s="151" t="s">
        <v>826</v>
      </c>
      <c r="L180" s="152">
        <f>+L178+L177</f>
        <v>212012516805.49002</v>
      </c>
      <c r="M180" s="150"/>
      <c r="N180" s="153"/>
      <c r="O180" s="154"/>
    </row>
    <row r="182" spans="1:16" x14ac:dyDescent="0.25">
      <c r="D182" s="156"/>
    </row>
  </sheetData>
  <mergeCells count="8">
    <mergeCell ref="A1:M1"/>
    <mergeCell ref="D3:J3"/>
    <mergeCell ref="D4:J4"/>
    <mergeCell ref="M3:M5"/>
    <mergeCell ref="A3:A5"/>
    <mergeCell ref="B3:C4"/>
    <mergeCell ref="K3:K5"/>
    <mergeCell ref="L3:L5"/>
  </mergeCells>
  <pageMargins left="0.70866141732283472" right="0.70866141732283472" top="0.74803149606299213" bottom="0.74803149606299213" header="0.31496062992125984" footer="0.31496062992125984"/>
  <pageSetup scale="75"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S231"/>
  <sheetViews>
    <sheetView workbookViewId="0">
      <selection activeCell="I12" sqref="I12"/>
    </sheetView>
  </sheetViews>
  <sheetFormatPr baseColWidth="10" defaultRowHeight="15" x14ac:dyDescent="0.25"/>
  <cols>
    <col min="1" max="1" width="11" style="1" customWidth="1"/>
    <col min="2" max="2" width="15" style="2" customWidth="1"/>
    <col min="3" max="3" width="11.42578125" style="1"/>
    <col min="4" max="4" width="11.42578125" style="3"/>
    <col min="5" max="5" width="11.42578125" style="1"/>
    <col min="6" max="6" width="2.42578125" style="1" customWidth="1"/>
    <col min="7" max="7" width="11.42578125" style="5"/>
    <col min="8" max="8" width="16" style="1" customWidth="1"/>
    <col min="9" max="9" width="22.85546875" style="1" customWidth="1"/>
    <col min="10" max="10" width="19.7109375" style="1" customWidth="1"/>
    <col min="11" max="11" width="15.5703125" style="1" customWidth="1"/>
    <col min="12" max="12" width="16.28515625" style="1" customWidth="1"/>
    <col min="13" max="13" width="2.28515625" style="1" customWidth="1"/>
    <col min="14" max="14" width="3.7109375" style="4" customWidth="1"/>
    <col min="18" max="18" width="12.5703125" customWidth="1"/>
  </cols>
  <sheetData>
    <row r="1" spans="1:19" x14ac:dyDescent="0.25">
      <c r="A1" s="52" t="s">
        <v>829</v>
      </c>
      <c r="H1" s="52"/>
      <c r="I1" s="52"/>
      <c r="J1" s="52"/>
      <c r="K1" s="52"/>
      <c r="L1" s="41"/>
    </row>
    <row r="2" spans="1:19" s="41" customFormat="1" x14ac:dyDescent="0.25">
      <c r="A2" s="52"/>
      <c r="B2" s="2"/>
      <c r="C2" s="1"/>
      <c r="D2" s="3"/>
      <c r="E2" s="1"/>
      <c r="F2" s="1"/>
      <c r="G2" s="5"/>
      <c r="H2" s="52"/>
      <c r="I2" s="52"/>
      <c r="J2" s="52"/>
      <c r="K2" s="52"/>
      <c r="M2" s="1"/>
      <c r="N2" s="4"/>
    </row>
    <row r="3" spans="1:19" x14ac:dyDescent="0.25">
      <c r="A3" s="67" t="s">
        <v>190</v>
      </c>
      <c r="G3" s="52" t="s">
        <v>189</v>
      </c>
      <c r="H3" s="52"/>
      <c r="I3" s="52"/>
      <c r="J3" s="52"/>
      <c r="K3" s="52"/>
      <c r="L3" s="41"/>
      <c r="O3" s="87" t="s">
        <v>684</v>
      </c>
    </row>
    <row r="4" spans="1:19" ht="15.75" thickBot="1" x14ac:dyDescent="0.3">
      <c r="G4" s="42"/>
      <c r="H4" s="42"/>
      <c r="I4" s="42"/>
      <c r="J4" s="41"/>
      <c r="K4" s="41"/>
      <c r="L4" s="41"/>
    </row>
    <row r="5" spans="1:19" ht="15.75" thickBot="1" x14ac:dyDescent="0.3">
      <c r="A5" s="357" t="s">
        <v>146</v>
      </c>
      <c r="B5" s="357" t="s">
        <v>105</v>
      </c>
      <c r="C5" s="357" t="s">
        <v>147</v>
      </c>
      <c r="D5" s="357"/>
      <c r="E5" s="357" t="s">
        <v>148</v>
      </c>
      <c r="G5" s="359" t="s">
        <v>104</v>
      </c>
      <c r="H5" s="349" t="s">
        <v>105</v>
      </c>
      <c r="I5" s="361" t="s">
        <v>106</v>
      </c>
      <c r="J5" s="362"/>
      <c r="K5" s="359" t="s">
        <v>107</v>
      </c>
      <c r="L5" s="359" t="s">
        <v>108</v>
      </c>
      <c r="O5" s="346" t="s">
        <v>192</v>
      </c>
      <c r="P5" s="347"/>
      <c r="Q5" s="347"/>
      <c r="R5" s="347"/>
      <c r="S5" s="348"/>
    </row>
    <row r="6" spans="1:19" ht="15.75" thickBot="1" x14ac:dyDescent="0.3">
      <c r="A6" s="357"/>
      <c r="B6" s="357"/>
      <c r="C6" s="357"/>
      <c r="D6" s="357"/>
      <c r="E6" s="357"/>
      <c r="G6" s="360"/>
      <c r="H6" s="363"/>
      <c r="I6" s="46" t="s">
        <v>109</v>
      </c>
      <c r="J6" s="47" t="s">
        <v>110</v>
      </c>
      <c r="K6" s="360"/>
      <c r="L6" s="360"/>
      <c r="O6" s="349" t="s">
        <v>193</v>
      </c>
      <c r="P6" s="351" t="s">
        <v>105</v>
      </c>
      <c r="Q6" s="353" t="s">
        <v>106</v>
      </c>
      <c r="R6" s="354"/>
      <c r="S6" s="63" t="s">
        <v>194</v>
      </c>
    </row>
    <row r="7" spans="1:19" ht="48.75" thickBot="1" x14ac:dyDescent="0.3">
      <c r="A7" s="357"/>
      <c r="B7" s="357"/>
      <c r="C7" s="64" t="s">
        <v>109</v>
      </c>
      <c r="D7" s="64" t="s">
        <v>110</v>
      </c>
      <c r="E7" s="357"/>
      <c r="G7" s="58" t="s">
        <v>111</v>
      </c>
      <c r="H7" s="55" t="s">
        <v>112</v>
      </c>
      <c r="I7" s="53" t="s">
        <v>113</v>
      </c>
      <c r="J7" s="54" t="s">
        <v>114</v>
      </c>
      <c r="K7" s="55">
        <v>5.5</v>
      </c>
      <c r="L7" s="55">
        <v>15</v>
      </c>
      <c r="O7" s="350"/>
      <c r="P7" s="352"/>
      <c r="Q7" s="73" t="s">
        <v>109</v>
      </c>
      <c r="R7" s="74" t="s">
        <v>110</v>
      </c>
      <c r="S7" s="73" t="s">
        <v>195</v>
      </c>
    </row>
    <row r="8" spans="1:19" ht="48" x14ac:dyDescent="0.25">
      <c r="A8" s="65" t="s">
        <v>149</v>
      </c>
      <c r="B8" s="65" t="s">
        <v>150</v>
      </c>
      <c r="C8" s="65" t="s">
        <v>151</v>
      </c>
      <c r="D8" s="65" t="s">
        <v>152</v>
      </c>
      <c r="E8" s="65">
        <v>82</v>
      </c>
      <c r="G8" s="59" t="s">
        <v>115</v>
      </c>
      <c r="H8" s="57" t="s">
        <v>116</v>
      </c>
      <c r="I8" s="48" t="s">
        <v>117</v>
      </c>
      <c r="J8" s="49" t="s">
        <v>118</v>
      </c>
      <c r="K8" s="56">
        <v>6</v>
      </c>
      <c r="L8" s="56">
        <v>40</v>
      </c>
      <c r="O8" s="75">
        <v>72653</v>
      </c>
      <c r="P8" s="76" t="s">
        <v>174</v>
      </c>
      <c r="Q8" s="77" t="s">
        <v>196</v>
      </c>
      <c r="R8" s="78" t="s">
        <v>197</v>
      </c>
      <c r="S8" s="75">
        <v>3</v>
      </c>
    </row>
    <row r="9" spans="1:19" ht="48" x14ac:dyDescent="0.25">
      <c r="A9" s="65" t="s">
        <v>153</v>
      </c>
      <c r="B9" s="65" t="s">
        <v>154</v>
      </c>
      <c r="C9" s="65" t="s">
        <v>155</v>
      </c>
      <c r="D9" s="65" t="s">
        <v>156</v>
      </c>
      <c r="E9" s="65">
        <v>25.23</v>
      </c>
      <c r="G9" s="57" t="s">
        <v>119</v>
      </c>
      <c r="H9" s="57" t="s">
        <v>120</v>
      </c>
      <c r="I9" s="48" t="s">
        <v>121</v>
      </c>
      <c r="J9" s="49" t="s">
        <v>122</v>
      </c>
      <c r="K9" s="56">
        <v>6</v>
      </c>
      <c r="L9" s="56">
        <v>2</v>
      </c>
      <c r="O9" s="57" t="s">
        <v>198</v>
      </c>
      <c r="P9" s="79" t="s">
        <v>174</v>
      </c>
      <c r="Q9" s="80" t="s">
        <v>199</v>
      </c>
      <c r="R9" s="81" t="s">
        <v>200</v>
      </c>
      <c r="S9" s="57">
        <v>18</v>
      </c>
    </row>
    <row r="10" spans="1:19" ht="48" x14ac:dyDescent="0.25">
      <c r="A10" s="65" t="s">
        <v>157</v>
      </c>
      <c r="B10" s="65" t="s">
        <v>158</v>
      </c>
      <c r="C10" s="65" t="s">
        <v>151</v>
      </c>
      <c r="D10" s="65" t="s">
        <v>159</v>
      </c>
      <c r="E10" s="65">
        <v>28</v>
      </c>
      <c r="G10" s="57" t="s">
        <v>123</v>
      </c>
      <c r="H10" s="57" t="s">
        <v>124</v>
      </c>
      <c r="I10" s="48" t="s">
        <v>125</v>
      </c>
      <c r="J10" s="49" t="s">
        <v>126</v>
      </c>
      <c r="K10" s="56">
        <v>7.3</v>
      </c>
      <c r="L10" s="56">
        <v>4</v>
      </c>
      <c r="O10" s="57" t="s">
        <v>201</v>
      </c>
      <c r="P10" s="79" t="s">
        <v>174</v>
      </c>
      <c r="Q10" s="80" t="s">
        <v>202</v>
      </c>
      <c r="R10" s="81" t="s">
        <v>203</v>
      </c>
      <c r="S10" s="57">
        <v>5</v>
      </c>
    </row>
    <row r="11" spans="1:19" ht="36" x14ac:dyDescent="0.25">
      <c r="A11" s="65" t="s">
        <v>160</v>
      </c>
      <c r="B11" s="65" t="s">
        <v>161</v>
      </c>
      <c r="C11" s="65" t="s">
        <v>162</v>
      </c>
      <c r="D11" s="65" t="s">
        <v>163</v>
      </c>
      <c r="E11" s="65">
        <v>38</v>
      </c>
      <c r="G11" s="57" t="s">
        <v>127</v>
      </c>
      <c r="H11" s="57" t="s">
        <v>128</v>
      </c>
      <c r="I11" s="48" t="s">
        <v>129</v>
      </c>
      <c r="J11" s="49" t="s">
        <v>130</v>
      </c>
      <c r="K11" s="56">
        <v>6</v>
      </c>
      <c r="L11" s="56">
        <v>33</v>
      </c>
      <c r="O11" s="57" t="s">
        <v>204</v>
      </c>
      <c r="P11" s="79" t="s">
        <v>174</v>
      </c>
      <c r="Q11" s="80" t="s">
        <v>205</v>
      </c>
      <c r="R11" s="82" t="s">
        <v>206</v>
      </c>
      <c r="S11" s="57">
        <v>4.3</v>
      </c>
    </row>
    <row r="12" spans="1:19" ht="48" x14ac:dyDescent="0.25">
      <c r="A12" s="65" t="s">
        <v>164</v>
      </c>
      <c r="B12" s="65" t="s">
        <v>165</v>
      </c>
      <c r="C12" s="65" t="s">
        <v>163</v>
      </c>
      <c r="D12" s="65" t="s">
        <v>166</v>
      </c>
      <c r="E12" s="65">
        <v>33.630000000000003</v>
      </c>
      <c r="G12" s="57" t="s">
        <v>131</v>
      </c>
      <c r="H12" s="57" t="s">
        <v>132</v>
      </c>
      <c r="I12" s="48" t="s">
        <v>133</v>
      </c>
      <c r="J12" s="49" t="s">
        <v>134</v>
      </c>
      <c r="K12" s="56">
        <v>7.3</v>
      </c>
      <c r="L12" s="56">
        <v>10</v>
      </c>
      <c r="O12" s="57" t="s">
        <v>207</v>
      </c>
      <c r="P12" s="79" t="s">
        <v>174</v>
      </c>
      <c r="Q12" s="80" t="s">
        <v>208</v>
      </c>
      <c r="R12" s="82" t="s">
        <v>209</v>
      </c>
      <c r="S12" s="57">
        <v>3.9000000000000004</v>
      </c>
    </row>
    <row r="13" spans="1:19" ht="36" x14ac:dyDescent="0.25">
      <c r="A13" s="65" t="s">
        <v>167</v>
      </c>
      <c r="B13" s="65" t="s">
        <v>168</v>
      </c>
      <c r="C13" s="65" t="s">
        <v>169</v>
      </c>
      <c r="D13" s="65" t="s">
        <v>170</v>
      </c>
      <c r="E13" s="65">
        <v>39</v>
      </c>
      <c r="G13" s="57" t="s">
        <v>135</v>
      </c>
      <c r="H13" s="57" t="s">
        <v>136</v>
      </c>
      <c r="I13" s="48" t="s">
        <v>137</v>
      </c>
      <c r="J13" s="49" t="s">
        <v>138</v>
      </c>
      <c r="K13" s="56">
        <v>6</v>
      </c>
      <c r="L13" s="56">
        <v>8</v>
      </c>
      <c r="O13" s="57" t="s">
        <v>210</v>
      </c>
      <c r="P13" s="79" t="s">
        <v>174</v>
      </c>
      <c r="Q13" s="80" t="s">
        <v>205</v>
      </c>
      <c r="R13" s="81" t="s">
        <v>211</v>
      </c>
      <c r="S13" s="57">
        <v>6.3</v>
      </c>
    </row>
    <row r="14" spans="1:19" ht="60" x14ac:dyDescent="0.25">
      <c r="A14" s="65" t="s">
        <v>171</v>
      </c>
      <c r="B14" s="65" t="s">
        <v>172</v>
      </c>
      <c r="C14" s="65" t="s">
        <v>173</v>
      </c>
      <c r="D14" s="65" t="s">
        <v>174</v>
      </c>
      <c r="E14" s="65">
        <v>76</v>
      </c>
      <c r="G14" s="57" t="s">
        <v>139</v>
      </c>
      <c r="H14" s="57" t="s">
        <v>136</v>
      </c>
      <c r="I14" s="48" t="s">
        <v>140</v>
      </c>
      <c r="J14" s="49" t="s">
        <v>141</v>
      </c>
      <c r="K14" s="56">
        <v>7</v>
      </c>
      <c r="L14" s="56">
        <v>15</v>
      </c>
      <c r="O14" s="57" t="s">
        <v>212</v>
      </c>
      <c r="P14" s="79" t="s">
        <v>174</v>
      </c>
      <c r="Q14" s="80" t="s">
        <v>205</v>
      </c>
      <c r="R14" s="81" t="s">
        <v>213</v>
      </c>
      <c r="S14" s="57">
        <v>2</v>
      </c>
    </row>
    <row r="15" spans="1:19" ht="36.75" thickBot="1" x14ac:dyDescent="0.3">
      <c r="A15" s="65" t="s">
        <v>175</v>
      </c>
      <c r="B15" s="65" t="s">
        <v>176</v>
      </c>
      <c r="C15" s="65" t="s">
        <v>174</v>
      </c>
      <c r="D15" s="65" t="s">
        <v>177</v>
      </c>
      <c r="E15" s="65">
        <v>39.33</v>
      </c>
      <c r="G15" s="60" t="s">
        <v>142</v>
      </c>
      <c r="H15" s="60" t="s">
        <v>143</v>
      </c>
      <c r="I15" s="50" t="s">
        <v>144</v>
      </c>
      <c r="J15" s="51" t="s">
        <v>145</v>
      </c>
      <c r="K15" s="62">
        <v>7</v>
      </c>
      <c r="L15" s="62">
        <v>3</v>
      </c>
      <c r="O15" s="57" t="s">
        <v>214</v>
      </c>
      <c r="P15" s="79" t="s">
        <v>174</v>
      </c>
      <c r="Q15" s="80" t="s">
        <v>215</v>
      </c>
      <c r="R15" s="82" t="s">
        <v>216</v>
      </c>
      <c r="S15" s="57">
        <v>5</v>
      </c>
    </row>
    <row r="16" spans="1:19" ht="24.75" thickBot="1" x14ac:dyDescent="0.3">
      <c r="A16" s="65" t="s">
        <v>178</v>
      </c>
      <c r="B16" s="65" t="s">
        <v>179</v>
      </c>
      <c r="C16" s="65" t="s">
        <v>174</v>
      </c>
      <c r="D16" s="65" t="s">
        <v>180</v>
      </c>
      <c r="E16" s="65">
        <v>51.8</v>
      </c>
      <c r="G16" s="44"/>
      <c r="H16" s="45"/>
      <c r="I16" s="45"/>
      <c r="J16" s="43"/>
      <c r="K16" s="61"/>
      <c r="L16" s="61">
        <v>130</v>
      </c>
      <c r="O16" s="57" t="s">
        <v>217</v>
      </c>
      <c r="P16" s="79" t="s">
        <v>174</v>
      </c>
      <c r="Q16" s="80" t="s">
        <v>218</v>
      </c>
      <c r="R16" s="82" t="s">
        <v>213</v>
      </c>
      <c r="S16" s="57">
        <v>20</v>
      </c>
    </row>
    <row r="17" spans="1:19" ht="24" x14ac:dyDescent="0.25">
      <c r="A17" s="65" t="s">
        <v>181</v>
      </c>
      <c r="B17" s="65" t="s">
        <v>182</v>
      </c>
      <c r="C17" s="65" t="s">
        <v>183</v>
      </c>
      <c r="D17" s="65" t="s">
        <v>184</v>
      </c>
      <c r="E17" s="65">
        <v>32.76</v>
      </c>
      <c r="G17" s="41"/>
      <c r="H17" s="41"/>
      <c r="I17" s="41"/>
      <c r="J17" s="41"/>
      <c r="K17" s="41"/>
      <c r="O17" s="57" t="s">
        <v>219</v>
      </c>
      <c r="P17" s="79" t="s">
        <v>220</v>
      </c>
      <c r="Q17" s="80" t="s">
        <v>221</v>
      </c>
      <c r="R17" s="82" t="s">
        <v>222</v>
      </c>
      <c r="S17" s="57">
        <v>5</v>
      </c>
    </row>
    <row r="18" spans="1:19" ht="24" x14ac:dyDescent="0.25">
      <c r="A18" s="65" t="s">
        <v>185</v>
      </c>
      <c r="B18" s="65" t="s">
        <v>186</v>
      </c>
      <c r="C18" s="65" t="s">
        <v>187</v>
      </c>
      <c r="D18" s="65" t="s">
        <v>184</v>
      </c>
      <c r="E18" s="65">
        <v>11.38</v>
      </c>
      <c r="G18" s="41"/>
      <c r="H18" s="41"/>
      <c r="I18" s="41"/>
      <c r="J18" s="41"/>
      <c r="K18" s="41"/>
      <c r="O18" s="57" t="s">
        <v>223</v>
      </c>
      <c r="P18" s="79" t="s">
        <v>220</v>
      </c>
      <c r="Q18" s="80" t="s">
        <v>224</v>
      </c>
      <c r="R18" s="82" t="s">
        <v>225</v>
      </c>
      <c r="S18" s="57">
        <v>3</v>
      </c>
    </row>
    <row r="19" spans="1:19" ht="24" x14ac:dyDescent="0.25">
      <c r="A19" s="358" t="s">
        <v>188</v>
      </c>
      <c r="B19" s="358"/>
      <c r="C19" s="358"/>
      <c r="D19" s="358"/>
      <c r="E19" s="66">
        <f>SUM(E8:E18)</f>
        <v>457.13</v>
      </c>
      <c r="O19" s="57" t="s">
        <v>226</v>
      </c>
      <c r="P19" s="79" t="s">
        <v>220</v>
      </c>
      <c r="Q19" s="80" t="s">
        <v>227</v>
      </c>
      <c r="R19" s="82" t="s">
        <v>228</v>
      </c>
      <c r="S19" s="57">
        <v>12</v>
      </c>
    </row>
    <row r="20" spans="1:19" ht="24" x14ac:dyDescent="0.25">
      <c r="O20" s="57" t="s">
        <v>229</v>
      </c>
      <c r="P20" s="79" t="s">
        <v>230</v>
      </c>
      <c r="Q20" s="80" t="s">
        <v>231</v>
      </c>
      <c r="R20" s="82" t="s">
        <v>232</v>
      </c>
      <c r="S20" s="57">
        <v>10.3</v>
      </c>
    </row>
    <row r="21" spans="1:19" ht="24" x14ac:dyDescent="0.25">
      <c r="O21" s="57" t="s">
        <v>233</v>
      </c>
      <c r="P21" s="79" t="s">
        <v>230</v>
      </c>
      <c r="Q21" s="80" t="s">
        <v>234</v>
      </c>
      <c r="R21" s="82" t="s">
        <v>235</v>
      </c>
      <c r="S21" s="57">
        <v>10</v>
      </c>
    </row>
    <row r="22" spans="1:19" ht="36" x14ac:dyDescent="0.25">
      <c r="O22" s="57" t="s">
        <v>236</v>
      </c>
      <c r="P22" s="79" t="s">
        <v>230</v>
      </c>
      <c r="Q22" s="80" t="s">
        <v>237</v>
      </c>
      <c r="R22" s="82" t="s">
        <v>238</v>
      </c>
      <c r="S22" s="57">
        <v>8</v>
      </c>
    </row>
    <row r="23" spans="1:19" ht="24" x14ac:dyDescent="0.25">
      <c r="O23" s="57" t="s">
        <v>239</v>
      </c>
      <c r="P23" s="79" t="s">
        <v>240</v>
      </c>
      <c r="Q23" s="80" t="s">
        <v>241</v>
      </c>
      <c r="R23" s="82" t="s">
        <v>242</v>
      </c>
      <c r="S23" s="57">
        <v>15</v>
      </c>
    </row>
    <row r="24" spans="1:19" ht="24" x14ac:dyDescent="0.25">
      <c r="O24" s="57" t="s">
        <v>243</v>
      </c>
      <c r="P24" s="79" t="s">
        <v>240</v>
      </c>
      <c r="Q24" s="80" t="s">
        <v>244</v>
      </c>
      <c r="R24" s="82" t="s">
        <v>245</v>
      </c>
      <c r="S24" s="57">
        <v>28</v>
      </c>
    </row>
    <row r="25" spans="1:19" ht="24" x14ac:dyDescent="0.25">
      <c r="O25" s="57" t="s">
        <v>246</v>
      </c>
      <c r="P25" s="79" t="s">
        <v>240</v>
      </c>
      <c r="Q25" s="80" t="s">
        <v>241</v>
      </c>
      <c r="R25" s="82" t="s">
        <v>247</v>
      </c>
      <c r="S25" s="57">
        <v>15</v>
      </c>
    </row>
    <row r="26" spans="1:19" ht="24" x14ac:dyDescent="0.25">
      <c r="O26" s="57" t="s">
        <v>248</v>
      </c>
      <c r="P26" s="79" t="s">
        <v>240</v>
      </c>
      <c r="Q26" s="80" t="s">
        <v>241</v>
      </c>
      <c r="R26" s="82" t="s">
        <v>249</v>
      </c>
      <c r="S26" s="57">
        <v>20</v>
      </c>
    </row>
    <row r="27" spans="1:19" ht="24" x14ac:dyDescent="0.25">
      <c r="O27" s="57" t="s">
        <v>250</v>
      </c>
      <c r="P27" s="79" t="s">
        <v>251</v>
      </c>
      <c r="Q27" s="80" t="s">
        <v>252</v>
      </c>
      <c r="R27" s="82" t="s">
        <v>252</v>
      </c>
      <c r="S27" s="57">
        <v>22.3</v>
      </c>
    </row>
    <row r="28" spans="1:19" ht="24" x14ac:dyDescent="0.25">
      <c r="O28" s="57" t="s">
        <v>253</v>
      </c>
      <c r="P28" s="79" t="s">
        <v>251</v>
      </c>
      <c r="Q28" s="80" t="s">
        <v>254</v>
      </c>
      <c r="R28" s="82" t="s">
        <v>254</v>
      </c>
      <c r="S28" s="57">
        <v>9.5299999999999994</v>
      </c>
    </row>
    <row r="29" spans="1:19" ht="24" x14ac:dyDescent="0.25">
      <c r="O29" s="57" t="s">
        <v>255</v>
      </c>
      <c r="P29" s="79" t="s">
        <v>251</v>
      </c>
      <c r="Q29" s="80" t="s">
        <v>256</v>
      </c>
      <c r="R29" s="82" t="s">
        <v>256</v>
      </c>
      <c r="S29" s="57">
        <v>12</v>
      </c>
    </row>
    <row r="30" spans="1:19" x14ac:dyDescent="0.25">
      <c r="O30" s="57" t="s">
        <v>257</v>
      </c>
      <c r="P30" s="79" t="s">
        <v>258</v>
      </c>
      <c r="Q30" s="80" t="s">
        <v>259</v>
      </c>
      <c r="R30" s="82" t="s">
        <v>260</v>
      </c>
      <c r="S30" s="57">
        <v>7.2</v>
      </c>
    </row>
    <row r="31" spans="1:19" ht="24" x14ac:dyDescent="0.25">
      <c r="O31" s="57" t="s">
        <v>261</v>
      </c>
      <c r="P31" s="79" t="s">
        <v>258</v>
      </c>
      <c r="Q31" s="80" t="s">
        <v>262</v>
      </c>
      <c r="R31" s="82" t="s">
        <v>263</v>
      </c>
      <c r="S31" s="57">
        <v>5.6999999999999993</v>
      </c>
    </row>
    <row r="32" spans="1:19" x14ac:dyDescent="0.25">
      <c r="O32" s="57" t="s">
        <v>264</v>
      </c>
      <c r="P32" s="79" t="s">
        <v>258</v>
      </c>
      <c r="Q32" s="80" t="s">
        <v>258</v>
      </c>
      <c r="R32" s="82" t="s">
        <v>265</v>
      </c>
      <c r="S32" s="57">
        <v>11.999999999999998</v>
      </c>
    </row>
    <row r="33" spans="15:19" ht="24" x14ac:dyDescent="0.25">
      <c r="O33" s="57" t="s">
        <v>266</v>
      </c>
      <c r="P33" s="79" t="s">
        <v>267</v>
      </c>
      <c r="Q33" s="80" t="s">
        <v>267</v>
      </c>
      <c r="R33" s="82" t="s">
        <v>245</v>
      </c>
      <c r="S33" s="57">
        <v>32</v>
      </c>
    </row>
    <row r="34" spans="15:19" ht="24" x14ac:dyDescent="0.25">
      <c r="O34" s="57" t="s">
        <v>268</v>
      </c>
      <c r="P34" s="79" t="s">
        <v>267</v>
      </c>
      <c r="Q34" s="80" t="s">
        <v>267</v>
      </c>
      <c r="R34" s="82" t="s">
        <v>269</v>
      </c>
      <c r="S34" s="57">
        <v>6</v>
      </c>
    </row>
    <row r="35" spans="15:19" ht="24" x14ac:dyDescent="0.25">
      <c r="O35" s="57" t="s">
        <v>270</v>
      </c>
      <c r="P35" s="79" t="s">
        <v>267</v>
      </c>
      <c r="Q35" s="80" t="s">
        <v>271</v>
      </c>
      <c r="R35" s="82" t="s">
        <v>267</v>
      </c>
      <c r="S35" s="57">
        <v>4.3</v>
      </c>
    </row>
    <row r="36" spans="15:19" ht="24" x14ac:dyDescent="0.25">
      <c r="O36" s="57" t="s">
        <v>272</v>
      </c>
      <c r="P36" s="79" t="s">
        <v>152</v>
      </c>
      <c r="Q36" s="80" t="s">
        <v>152</v>
      </c>
      <c r="R36" s="82" t="s">
        <v>273</v>
      </c>
      <c r="S36" s="57">
        <v>7</v>
      </c>
    </row>
    <row r="37" spans="15:19" ht="24" x14ac:dyDescent="0.25">
      <c r="O37" s="57" t="s">
        <v>274</v>
      </c>
      <c r="P37" s="79" t="s">
        <v>152</v>
      </c>
      <c r="Q37" s="80" t="s">
        <v>275</v>
      </c>
      <c r="R37" s="82" t="s">
        <v>276</v>
      </c>
      <c r="S37" s="57">
        <v>2.9</v>
      </c>
    </row>
    <row r="38" spans="15:19" x14ac:dyDescent="0.25">
      <c r="O38" s="57" t="s">
        <v>277</v>
      </c>
      <c r="P38" s="79" t="s">
        <v>152</v>
      </c>
      <c r="Q38" s="80" t="s">
        <v>259</v>
      </c>
      <c r="R38" s="82" t="s">
        <v>278</v>
      </c>
      <c r="S38" s="57">
        <v>1.5999999999999999</v>
      </c>
    </row>
    <row r="39" spans="15:19" x14ac:dyDescent="0.25">
      <c r="O39" s="57" t="s">
        <v>279</v>
      </c>
      <c r="P39" s="79" t="s">
        <v>280</v>
      </c>
      <c r="Q39" s="80" t="s">
        <v>281</v>
      </c>
      <c r="R39" s="82" t="s">
        <v>282</v>
      </c>
      <c r="S39" s="57">
        <v>21</v>
      </c>
    </row>
    <row r="40" spans="15:19" x14ac:dyDescent="0.25">
      <c r="O40" s="57" t="s">
        <v>283</v>
      </c>
      <c r="P40" s="79" t="s">
        <v>284</v>
      </c>
      <c r="Q40" s="80" t="s">
        <v>284</v>
      </c>
      <c r="R40" s="82" t="s">
        <v>280</v>
      </c>
      <c r="S40" s="57">
        <v>3.25</v>
      </c>
    </row>
    <row r="41" spans="15:19" x14ac:dyDescent="0.25">
      <c r="O41" s="57" t="s">
        <v>285</v>
      </c>
      <c r="P41" s="79" t="s">
        <v>284</v>
      </c>
      <c r="Q41" s="80" t="s">
        <v>284</v>
      </c>
      <c r="R41" s="82" t="s">
        <v>286</v>
      </c>
      <c r="S41" s="57">
        <v>5.85</v>
      </c>
    </row>
    <row r="42" spans="15:19" x14ac:dyDescent="0.25">
      <c r="O42" s="57" t="s">
        <v>287</v>
      </c>
      <c r="P42" s="79" t="s">
        <v>284</v>
      </c>
      <c r="Q42" s="80" t="s">
        <v>288</v>
      </c>
      <c r="R42" s="82" t="s">
        <v>289</v>
      </c>
      <c r="S42" s="57">
        <v>2.75</v>
      </c>
    </row>
    <row r="43" spans="15:19" x14ac:dyDescent="0.25">
      <c r="O43" s="57" t="s">
        <v>290</v>
      </c>
      <c r="P43" s="79" t="s">
        <v>284</v>
      </c>
      <c r="Q43" s="80" t="s">
        <v>284</v>
      </c>
      <c r="R43" s="82" t="s">
        <v>291</v>
      </c>
      <c r="S43" s="57">
        <v>2.2000000000000002</v>
      </c>
    </row>
    <row r="44" spans="15:19" x14ac:dyDescent="0.25">
      <c r="O44" s="57" t="s">
        <v>292</v>
      </c>
      <c r="P44" s="79" t="s">
        <v>284</v>
      </c>
      <c r="Q44" s="80" t="s">
        <v>284</v>
      </c>
      <c r="R44" s="82" t="s">
        <v>293</v>
      </c>
      <c r="S44" s="57">
        <v>5.7000000000000011</v>
      </c>
    </row>
    <row r="45" spans="15:19" ht="24" x14ac:dyDescent="0.25">
      <c r="O45" s="57" t="s">
        <v>294</v>
      </c>
      <c r="P45" s="79" t="s">
        <v>295</v>
      </c>
      <c r="Q45" s="80" t="s">
        <v>296</v>
      </c>
      <c r="R45" s="82" t="s">
        <v>297</v>
      </c>
      <c r="S45" s="57">
        <v>10.45</v>
      </c>
    </row>
    <row r="46" spans="15:19" x14ac:dyDescent="0.25">
      <c r="O46" s="57" t="s">
        <v>298</v>
      </c>
      <c r="P46" s="79" t="s">
        <v>295</v>
      </c>
      <c r="Q46" s="80" t="s">
        <v>299</v>
      </c>
      <c r="R46" s="82" t="s">
        <v>300</v>
      </c>
      <c r="S46" s="57">
        <v>17.399999999999999</v>
      </c>
    </row>
    <row r="47" spans="15:19" x14ac:dyDescent="0.25">
      <c r="O47" s="57" t="s">
        <v>301</v>
      </c>
      <c r="P47" s="79" t="s">
        <v>295</v>
      </c>
      <c r="Q47" s="80" t="s">
        <v>295</v>
      </c>
      <c r="R47" s="82" t="s">
        <v>302</v>
      </c>
      <c r="S47" s="57">
        <v>33.1</v>
      </c>
    </row>
    <row r="48" spans="15:19" ht="24" x14ac:dyDescent="0.25">
      <c r="O48" s="57" t="s">
        <v>303</v>
      </c>
      <c r="P48" s="79" t="s">
        <v>304</v>
      </c>
      <c r="Q48" s="80" t="s">
        <v>304</v>
      </c>
      <c r="R48" s="82" t="s">
        <v>305</v>
      </c>
      <c r="S48" s="57">
        <v>5</v>
      </c>
    </row>
    <row r="49" spans="15:19" ht="24" x14ac:dyDescent="0.25">
      <c r="O49" s="57" t="s">
        <v>306</v>
      </c>
      <c r="P49" s="79" t="s">
        <v>304</v>
      </c>
      <c r="Q49" s="80" t="s">
        <v>307</v>
      </c>
      <c r="R49" s="82" t="s">
        <v>308</v>
      </c>
      <c r="S49" s="57">
        <v>12.299999999999999</v>
      </c>
    </row>
    <row r="50" spans="15:19" ht="24" x14ac:dyDescent="0.25">
      <c r="O50" s="57" t="s">
        <v>309</v>
      </c>
      <c r="P50" s="79" t="s">
        <v>304</v>
      </c>
      <c r="Q50" s="80" t="s">
        <v>304</v>
      </c>
      <c r="R50" s="82" t="s">
        <v>310</v>
      </c>
      <c r="S50" s="57">
        <v>16.600000000000001</v>
      </c>
    </row>
    <row r="51" spans="15:19" ht="24" x14ac:dyDescent="0.25">
      <c r="O51" s="57" t="s">
        <v>311</v>
      </c>
      <c r="P51" s="79" t="s">
        <v>304</v>
      </c>
      <c r="Q51" s="80" t="s">
        <v>307</v>
      </c>
      <c r="R51" s="82" t="s">
        <v>286</v>
      </c>
      <c r="S51" s="57">
        <v>4</v>
      </c>
    </row>
    <row r="52" spans="15:19" ht="36" x14ac:dyDescent="0.25">
      <c r="O52" s="57" t="s">
        <v>312</v>
      </c>
      <c r="P52" s="79" t="s">
        <v>304</v>
      </c>
      <c r="Q52" s="80" t="s">
        <v>313</v>
      </c>
      <c r="R52" s="82" t="s">
        <v>314</v>
      </c>
      <c r="S52" s="57">
        <v>15.750000000000002</v>
      </c>
    </row>
    <row r="53" spans="15:19" ht="24" x14ac:dyDescent="0.25">
      <c r="O53" s="57" t="s">
        <v>315</v>
      </c>
      <c r="P53" s="79" t="s">
        <v>304</v>
      </c>
      <c r="Q53" s="80" t="s">
        <v>304</v>
      </c>
      <c r="R53" s="82" t="s">
        <v>316</v>
      </c>
      <c r="S53" s="57">
        <v>7.8</v>
      </c>
    </row>
    <row r="54" spans="15:19" ht="36" x14ac:dyDescent="0.25">
      <c r="O54" s="57" t="s">
        <v>317</v>
      </c>
      <c r="P54" s="79" t="s">
        <v>304</v>
      </c>
      <c r="Q54" s="80" t="s">
        <v>318</v>
      </c>
      <c r="R54" s="82" t="s">
        <v>319</v>
      </c>
      <c r="S54" s="57">
        <v>2.7</v>
      </c>
    </row>
    <row r="55" spans="15:19" ht="24" x14ac:dyDescent="0.25">
      <c r="O55" s="57" t="s">
        <v>320</v>
      </c>
      <c r="P55" s="79" t="s">
        <v>304</v>
      </c>
      <c r="Q55" s="80" t="s">
        <v>304</v>
      </c>
      <c r="R55" s="82" t="s">
        <v>321</v>
      </c>
      <c r="S55" s="57">
        <v>20</v>
      </c>
    </row>
    <row r="56" spans="15:19" ht="24" x14ac:dyDescent="0.25">
      <c r="O56" s="57" t="s">
        <v>322</v>
      </c>
      <c r="P56" s="79" t="s">
        <v>304</v>
      </c>
      <c r="Q56" s="80" t="s">
        <v>304</v>
      </c>
      <c r="R56" s="82" t="s">
        <v>323</v>
      </c>
      <c r="S56" s="57">
        <v>8</v>
      </c>
    </row>
    <row r="57" spans="15:19" x14ac:dyDescent="0.25">
      <c r="O57" s="57" t="s">
        <v>324</v>
      </c>
      <c r="P57" s="79" t="s">
        <v>325</v>
      </c>
      <c r="Q57" s="80" t="s">
        <v>325</v>
      </c>
      <c r="R57" s="82" t="s">
        <v>326</v>
      </c>
      <c r="S57" s="57">
        <v>3.7000000000000006</v>
      </c>
    </row>
    <row r="58" spans="15:19" x14ac:dyDescent="0.25">
      <c r="O58" s="57" t="s">
        <v>327</v>
      </c>
      <c r="P58" s="79" t="s">
        <v>325</v>
      </c>
      <c r="Q58" s="80" t="s">
        <v>325</v>
      </c>
      <c r="R58" s="82" t="s">
        <v>328</v>
      </c>
      <c r="S58" s="57">
        <v>10.9</v>
      </c>
    </row>
    <row r="59" spans="15:19" x14ac:dyDescent="0.25">
      <c r="O59" s="57" t="s">
        <v>329</v>
      </c>
      <c r="P59" s="79" t="s">
        <v>325</v>
      </c>
      <c r="Q59" s="80" t="s">
        <v>330</v>
      </c>
      <c r="R59" s="82" t="s">
        <v>325</v>
      </c>
      <c r="S59" s="57">
        <v>9.6</v>
      </c>
    </row>
    <row r="60" spans="15:19" ht="24" x14ac:dyDescent="0.25">
      <c r="O60" s="57" t="s">
        <v>331</v>
      </c>
      <c r="P60" s="79" t="s">
        <v>332</v>
      </c>
      <c r="Q60" s="80" t="s">
        <v>333</v>
      </c>
      <c r="R60" s="82" t="s">
        <v>332</v>
      </c>
      <c r="S60" s="57">
        <v>16.899999999999999</v>
      </c>
    </row>
    <row r="61" spans="15:19" ht="24" x14ac:dyDescent="0.25">
      <c r="O61" s="57" t="s">
        <v>334</v>
      </c>
      <c r="P61" s="79" t="s">
        <v>158</v>
      </c>
      <c r="Q61" s="80" t="s">
        <v>335</v>
      </c>
      <c r="R61" s="82" t="s">
        <v>336</v>
      </c>
      <c r="S61" s="57">
        <v>12.099999999999998</v>
      </c>
    </row>
    <row r="62" spans="15:19" ht="24" x14ac:dyDescent="0.25">
      <c r="O62" s="57" t="s">
        <v>337</v>
      </c>
      <c r="P62" s="79" t="s">
        <v>158</v>
      </c>
      <c r="Q62" s="80" t="s">
        <v>158</v>
      </c>
      <c r="R62" s="82" t="s">
        <v>338</v>
      </c>
      <c r="S62" s="57">
        <v>20</v>
      </c>
    </row>
    <row r="63" spans="15:19" x14ac:dyDescent="0.25">
      <c r="O63" s="57" t="s">
        <v>339</v>
      </c>
      <c r="P63" s="79" t="s">
        <v>158</v>
      </c>
      <c r="Q63" s="80" t="s">
        <v>340</v>
      </c>
      <c r="R63" s="82" t="s">
        <v>341</v>
      </c>
      <c r="S63" s="57">
        <v>20.2</v>
      </c>
    </row>
    <row r="64" spans="15:19" x14ac:dyDescent="0.25">
      <c r="O64" s="57" t="s">
        <v>342</v>
      </c>
      <c r="P64" s="79" t="s">
        <v>158</v>
      </c>
      <c r="Q64" s="80" t="s">
        <v>158</v>
      </c>
      <c r="R64" s="82" t="s">
        <v>343</v>
      </c>
      <c r="S64" s="57">
        <v>19.2</v>
      </c>
    </row>
    <row r="65" spans="15:19" x14ac:dyDescent="0.25">
      <c r="O65" s="57" t="s">
        <v>344</v>
      </c>
      <c r="P65" s="79" t="s">
        <v>158</v>
      </c>
      <c r="Q65" s="80" t="s">
        <v>340</v>
      </c>
      <c r="R65" s="82" t="s">
        <v>345</v>
      </c>
      <c r="S65" s="57">
        <v>4.8</v>
      </c>
    </row>
    <row r="66" spans="15:19" x14ac:dyDescent="0.25">
      <c r="O66" s="57" t="s">
        <v>346</v>
      </c>
      <c r="P66" s="79" t="s">
        <v>158</v>
      </c>
      <c r="Q66" s="80" t="s">
        <v>347</v>
      </c>
      <c r="R66" s="82" t="s">
        <v>348</v>
      </c>
      <c r="S66" s="57">
        <v>12</v>
      </c>
    </row>
    <row r="67" spans="15:19" ht="24" x14ac:dyDescent="0.25">
      <c r="O67" s="57" t="s">
        <v>349</v>
      </c>
      <c r="P67" s="79" t="s">
        <v>158</v>
      </c>
      <c r="Q67" s="80" t="s">
        <v>158</v>
      </c>
      <c r="R67" s="82" t="s">
        <v>350</v>
      </c>
      <c r="S67" s="57">
        <v>5.6999999999999993</v>
      </c>
    </row>
    <row r="68" spans="15:19" ht="36" x14ac:dyDescent="0.25">
      <c r="O68" s="57" t="s">
        <v>351</v>
      </c>
      <c r="P68" s="79" t="s">
        <v>259</v>
      </c>
      <c r="Q68" s="80" t="s">
        <v>330</v>
      </c>
      <c r="R68" s="82" t="s">
        <v>352</v>
      </c>
      <c r="S68" s="57">
        <v>17.899999999999999</v>
      </c>
    </row>
    <row r="69" spans="15:19" x14ac:dyDescent="0.25">
      <c r="O69" s="57" t="s">
        <v>353</v>
      </c>
      <c r="P69" s="79" t="s">
        <v>259</v>
      </c>
      <c r="Q69" s="80" t="s">
        <v>354</v>
      </c>
      <c r="R69" s="82" t="s">
        <v>355</v>
      </c>
      <c r="S69" s="57">
        <v>11</v>
      </c>
    </row>
    <row r="70" spans="15:19" ht="24" x14ac:dyDescent="0.25">
      <c r="O70" s="57" t="s">
        <v>356</v>
      </c>
      <c r="P70" s="79" t="s">
        <v>259</v>
      </c>
      <c r="Q70" s="80" t="s">
        <v>330</v>
      </c>
      <c r="R70" s="82" t="s">
        <v>357</v>
      </c>
      <c r="S70" s="57">
        <v>14.5</v>
      </c>
    </row>
    <row r="71" spans="15:19" ht="24" x14ac:dyDescent="0.25">
      <c r="O71" s="57" t="s">
        <v>358</v>
      </c>
      <c r="P71" s="79" t="s">
        <v>259</v>
      </c>
      <c r="Q71" s="80" t="s">
        <v>259</v>
      </c>
      <c r="R71" s="82" t="s">
        <v>359</v>
      </c>
      <c r="S71" s="57">
        <v>11.1</v>
      </c>
    </row>
    <row r="72" spans="15:19" x14ac:dyDescent="0.25">
      <c r="O72" s="57" t="s">
        <v>360</v>
      </c>
      <c r="P72" s="79" t="s">
        <v>259</v>
      </c>
      <c r="Q72" s="80" t="s">
        <v>259</v>
      </c>
      <c r="R72" s="82" t="s">
        <v>361</v>
      </c>
      <c r="S72" s="57">
        <v>8.3000000000000007</v>
      </c>
    </row>
    <row r="73" spans="15:19" ht="24" x14ac:dyDescent="0.25">
      <c r="O73" s="57" t="s">
        <v>362</v>
      </c>
      <c r="P73" s="79" t="s">
        <v>259</v>
      </c>
      <c r="Q73" s="80" t="s">
        <v>363</v>
      </c>
      <c r="R73" s="82" t="s">
        <v>364</v>
      </c>
      <c r="S73" s="57">
        <v>0.7</v>
      </c>
    </row>
    <row r="74" spans="15:19" x14ac:dyDescent="0.25">
      <c r="O74" s="57" t="s">
        <v>365</v>
      </c>
      <c r="P74" s="79" t="s">
        <v>259</v>
      </c>
      <c r="Q74" s="80" t="s">
        <v>366</v>
      </c>
      <c r="R74" s="82" t="s">
        <v>367</v>
      </c>
      <c r="S74" s="57">
        <v>14.8</v>
      </c>
    </row>
    <row r="75" spans="15:19" x14ac:dyDescent="0.25">
      <c r="O75" s="57" t="s">
        <v>368</v>
      </c>
      <c r="P75" s="79" t="s">
        <v>259</v>
      </c>
      <c r="Q75" s="80" t="s">
        <v>366</v>
      </c>
      <c r="R75" s="82" t="s">
        <v>369</v>
      </c>
      <c r="S75" s="57">
        <v>3.6</v>
      </c>
    </row>
    <row r="76" spans="15:19" ht="48" x14ac:dyDescent="0.25">
      <c r="O76" s="57" t="s">
        <v>331</v>
      </c>
      <c r="P76" s="79" t="s">
        <v>370</v>
      </c>
      <c r="Q76" s="80" t="s">
        <v>371</v>
      </c>
      <c r="R76" s="82" t="s">
        <v>371</v>
      </c>
      <c r="S76" s="57">
        <v>20</v>
      </c>
    </row>
    <row r="77" spans="15:19" ht="24" x14ac:dyDescent="0.25">
      <c r="O77" s="57" t="s">
        <v>372</v>
      </c>
      <c r="P77" s="79" t="s">
        <v>370</v>
      </c>
      <c r="Q77" s="80" t="s">
        <v>373</v>
      </c>
      <c r="R77" s="82" t="s">
        <v>373</v>
      </c>
      <c r="S77" s="57">
        <v>4</v>
      </c>
    </row>
    <row r="78" spans="15:19" ht="36" x14ac:dyDescent="0.25">
      <c r="O78" s="57" t="s">
        <v>374</v>
      </c>
      <c r="P78" s="79" t="s">
        <v>370</v>
      </c>
      <c r="Q78" s="80" t="s">
        <v>375</v>
      </c>
      <c r="R78" s="82" t="s">
        <v>375</v>
      </c>
      <c r="S78" s="57">
        <v>10.9</v>
      </c>
    </row>
    <row r="79" spans="15:19" ht="36" x14ac:dyDescent="0.25">
      <c r="O79" s="57" t="s">
        <v>376</v>
      </c>
      <c r="P79" s="79" t="s">
        <v>370</v>
      </c>
      <c r="Q79" s="80" t="s">
        <v>377</v>
      </c>
      <c r="R79" s="82" t="s">
        <v>377</v>
      </c>
      <c r="S79" s="57">
        <v>14.649999999999999</v>
      </c>
    </row>
    <row r="80" spans="15:19" ht="36" x14ac:dyDescent="0.25">
      <c r="O80" s="57" t="s">
        <v>378</v>
      </c>
      <c r="P80" s="79" t="s">
        <v>370</v>
      </c>
      <c r="Q80" s="80" t="s">
        <v>379</v>
      </c>
      <c r="R80" s="82" t="s">
        <v>379</v>
      </c>
      <c r="S80" s="57">
        <v>10</v>
      </c>
    </row>
    <row r="81" spans="15:19" x14ac:dyDescent="0.25">
      <c r="O81" s="57" t="s">
        <v>380</v>
      </c>
      <c r="P81" s="79" t="s">
        <v>381</v>
      </c>
      <c r="Q81" s="80" t="s">
        <v>330</v>
      </c>
      <c r="R81" s="82" t="s">
        <v>382</v>
      </c>
      <c r="S81" s="57">
        <v>10</v>
      </c>
    </row>
    <row r="82" spans="15:19" ht="24" x14ac:dyDescent="0.25">
      <c r="O82" s="57" t="s">
        <v>383</v>
      </c>
      <c r="P82" s="79" t="s">
        <v>381</v>
      </c>
      <c r="Q82" s="80" t="s">
        <v>384</v>
      </c>
      <c r="R82" s="82" t="s">
        <v>385</v>
      </c>
      <c r="S82" s="57">
        <v>6.4000000000000012</v>
      </c>
    </row>
    <row r="83" spans="15:19" ht="24" x14ac:dyDescent="0.25">
      <c r="O83" s="57" t="s">
        <v>386</v>
      </c>
      <c r="P83" s="79" t="s">
        <v>381</v>
      </c>
      <c r="Q83" s="80" t="s">
        <v>330</v>
      </c>
      <c r="R83" s="82" t="s">
        <v>313</v>
      </c>
      <c r="S83" s="57">
        <v>5</v>
      </c>
    </row>
    <row r="84" spans="15:19" x14ac:dyDescent="0.25">
      <c r="O84" s="57" t="s">
        <v>387</v>
      </c>
      <c r="P84" s="79" t="s">
        <v>381</v>
      </c>
      <c r="Q84" s="80" t="s">
        <v>330</v>
      </c>
      <c r="R84" s="82" t="s">
        <v>388</v>
      </c>
      <c r="S84" s="57">
        <v>3.7000000000000006</v>
      </c>
    </row>
    <row r="85" spans="15:19" ht="24" x14ac:dyDescent="0.25">
      <c r="O85" s="57" t="s">
        <v>387</v>
      </c>
      <c r="P85" s="79" t="s">
        <v>381</v>
      </c>
      <c r="Q85" s="80" t="s">
        <v>313</v>
      </c>
      <c r="R85" s="82" t="s">
        <v>389</v>
      </c>
      <c r="S85" s="57">
        <v>15.700000000000001</v>
      </c>
    </row>
    <row r="86" spans="15:19" ht="24" x14ac:dyDescent="0.25">
      <c r="O86" s="57" t="s">
        <v>390</v>
      </c>
      <c r="P86" s="79" t="s">
        <v>381</v>
      </c>
      <c r="Q86" s="80" t="s">
        <v>330</v>
      </c>
      <c r="R86" s="82" t="s">
        <v>391</v>
      </c>
      <c r="S86" s="57">
        <v>17.100000000000001</v>
      </c>
    </row>
    <row r="87" spans="15:19" x14ac:dyDescent="0.25">
      <c r="O87" s="57" t="s">
        <v>392</v>
      </c>
      <c r="P87" s="79" t="s">
        <v>381</v>
      </c>
      <c r="Q87" s="80" t="s">
        <v>393</v>
      </c>
      <c r="R87" s="82" t="s">
        <v>394</v>
      </c>
      <c r="S87" s="57">
        <v>7.2000000000000011</v>
      </c>
    </row>
    <row r="88" spans="15:19" x14ac:dyDescent="0.25">
      <c r="O88" s="57" t="s">
        <v>395</v>
      </c>
      <c r="P88" s="79" t="s">
        <v>381</v>
      </c>
      <c r="Q88" s="80" t="s">
        <v>330</v>
      </c>
      <c r="R88" s="82" t="s">
        <v>396</v>
      </c>
      <c r="S88" s="57">
        <v>4.5999999999999996</v>
      </c>
    </row>
    <row r="89" spans="15:19" ht="24" x14ac:dyDescent="0.25">
      <c r="O89" s="57" t="s">
        <v>397</v>
      </c>
      <c r="P89" s="79" t="s">
        <v>381</v>
      </c>
      <c r="Q89" s="80" t="s">
        <v>398</v>
      </c>
      <c r="R89" s="82" t="s">
        <v>399</v>
      </c>
      <c r="S89" s="57">
        <v>2.2999999999999998</v>
      </c>
    </row>
    <row r="90" spans="15:19" x14ac:dyDescent="0.25">
      <c r="O90" s="57" t="s">
        <v>400</v>
      </c>
      <c r="P90" s="79" t="s">
        <v>381</v>
      </c>
      <c r="Q90" s="80" t="s">
        <v>330</v>
      </c>
      <c r="R90" s="82" t="s">
        <v>382</v>
      </c>
      <c r="S90" s="57">
        <v>10.9</v>
      </c>
    </row>
    <row r="91" spans="15:19" x14ac:dyDescent="0.25">
      <c r="O91" s="57" t="s">
        <v>374</v>
      </c>
      <c r="P91" s="79" t="s">
        <v>163</v>
      </c>
      <c r="Q91" s="80" t="s">
        <v>163</v>
      </c>
      <c r="R91" s="82" t="s">
        <v>333</v>
      </c>
      <c r="S91" s="57">
        <v>6</v>
      </c>
    </row>
    <row r="92" spans="15:19" x14ac:dyDescent="0.25">
      <c r="O92" s="57" t="s">
        <v>376</v>
      </c>
      <c r="P92" s="79" t="s">
        <v>163</v>
      </c>
      <c r="Q92" s="80" t="s">
        <v>401</v>
      </c>
      <c r="R92" s="82" t="s">
        <v>402</v>
      </c>
      <c r="S92" s="57">
        <v>3</v>
      </c>
    </row>
    <row r="93" spans="15:19" x14ac:dyDescent="0.25">
      <c r="O93" s="57" t="s">
        <v>403</v>
      </c>
      <c r="P93" s="79" t="s">
        <v>404</v>
      </c>
      <c r="Q93" s="80" t="s">
        <v>405</v>
      </c>
      <c r="R93" s="82" t="s">
        <v>406</v>
      </c>
      <c r="S93" s="57">
        <v>8.7050000000000001</v>
      </c>
    </row>
    <row r="94" spans="15:19" x14ac:dyDescent="0.25">
      <c r="O94" s="57" t="s">
        <v>407</v>
      </c>
      <c r="P94" s="79" t="s">
        <v>408</v>
      </c>
      <c r="Q94" s="80" t="s">
        <v>409</v>
      </c>
      <c r="R94" s="82" t="s">
        <v>410</v>
      </c>
      <c r="S94" s="57">
        <v>2</v>
      </c>
    </row>
    <row r="95" spans="15:19" ht="24" x14ac:dyDescent="0.25">
      <c r="O95" s="57" t="s">
        <v>411</v>
      </c>
      <c r="P95" s="79" t="s">
        <v>408</v>
      </c>
      <c r="Q95" s="80" t="s">
        <v>412</v>
      </c>
      <c r="R95" s="82" t="s">
        <v>413</v>
      </c>
      <c r="S95" s="57">
        <v>15</v>
      </c>
    </row>
    <row r="96" spans="15:19" x14ac:dyDescent="0.25">
      <c r="O96" s="57" t="s">
        <v>414</v>
      </c>
      <c r="P96" s="79" t="s">
        <v>408</v>
      </c>
      <c r="Q96" s="80" t="s">
        <v>413</v>
      </c>
      <c r="R96" s="82" t="s">
        <v>415</v>
      </c>
      <c r="S96" s="57">
        <v>10</v>
      </c>
    </row>
    <row r="97" spans="15:19" x14ac:dyDescent="0.25">
      <c r="O97" s="57" t="s">
        <v>416</v>
      </c>
      <c r="P97" s="79" t="s">
        <v>408</v>
      </c>
      <c r="Q97" s="80" t="s">
        <v>408</v>
      </c>
      <c r="R97" s="82" t="s">
        <v>417</v>
      </c>
      <c r="S97" s="57">
        <v>16.149999999999999</v>
      </c>
    </row>
    <row r="98" spans="15:19" x14ac:dyDescent="0.25">
      <c r="O98" s="57" t="s">
        <v>418</v>
      </c>
      <c r="P98" s="79" t="s">
        <v>408</v>
      </c>
      <c r="Q98" s="80" t="s">
        <v>408</v>
      </c>
      <c r="R98" s="82" t="s">
        <v>412</v>
      </c>
      <c r="S98" s="57">
        <v>30.2</v>
      </c>
    </row>
    <row r="99" spans="15:19" ht="24" x14ac:dyDescent="0.25">
      <c r="O99" s="57" t="s">
        <v>419</v>
      </c>
      <c r="P99" s="79" t="s">
        <v>408</v>
      </c>
      <c r="Q99" s="80" t="s">
        <v>420</v>
      </c>
      <c r="R99" s="82" t="s">
        <v>241</v>
      </c>
      <c r="S99" s="57">
        <v>3.55</v>
      </c>
    </row>
    <row r="100" spans="15:19" x14ac:dyDescent="0.25">
      <c r="O100" s="57" t="s">
        <v>421</v>
      </c>
      <c r="P100" s="79" t="s">
        <v>408</v>
      </c>
      <c r="Q100" s="80" t="s">
        <v>242</v>
      </c>
      <c r="R100" s="82" t="s">
        <v>422</v>
      </c>
      <c r="S100" s="57">
        <v>22</v>
      </c>
    </row>
    <row r="101" spans="15:19" ht="24" x14ac:dyDescent="0.25">
      <c r="O101" s="57" t="s">
        <v>266</v>
      </c>
      <c r="P101" s="79" t="s">
        <v>423</v>
      </c>
      <c r="Q101" s="80" t="s">
        <v>267</v>
      </c>
      <c r="R101" s="82" t="s">
        <v>423</v>
      </c>
      <c r="S101" s="57">
        <v>26.65</v>
      </c>
    </row>
    <row r="102" spans="15:19" ht="24" x14ac:dyDescent="0.25">
      <c r="O102" s="57" t="s">
        <v>424</v>
      </c>
      <c r="P102" s="79" t="s">
        <v>423</v>
      </c>
      <c r="Q102" s="80" t="s">
        <v>425</v>
      </c>
      <c r="R102" s="82" t="s">
        <v>426</v>
      </c>
      <c r="S102" s="57">
        <v>5.5</v>
      </c>
    </row>
    <row r="103" spans="15:19" ht="24" x14ac:dyDescent="0.25">
      <c r="O103" s="57" t="s">
        <v>427</v>
      </c>
      <c r="P103" s="79" t="s">
        <v>423</v>
      </c>
      <c r="Q103" s="80" t="s">
        <v>428</v>
      </c>
      <c r="R103" s="82" t="s">
        <v>426</v>
      </c>
      <c r="S103" s="57">
        <v>8.1999999999999993</v>
      </c>
    </row>
    <row r="104" spans="15:19" x14ac:dyDescent="0.25">
      <c r="O104" s="57" t="s">
        <v>429</v>
      </c>
      <c r="P104" s="79" t="s">
        <v>430</v>
      </c>
      <c r="Q104" s="80" t="s">
        <v>430</v>
      </c>
      <c r="R104" s="82" t="s">
        <v>431</v>
      </c>
      <c r="S104" s="57">
        <v>7</v>
      </c>
    </row>
    <row r="105" spans="15:19" x14ac:dyDescent="0.25">
      <c r="O105" s="57" t="s">
        <v>432</v>
      </c>
      <c r="P105" s="79" t="s">
        <v>433</v>
      </c>
      <c r="Q105" s="80" t="s">
        <v>434</v>
      </c>
      <c r="R105" s="82" t="s">
        <v>435</v>
      </c>
      <c r="S105" s="57">
        <v>18</v>
      </c>
    </row>
    <row r="106" spans="15:19" ht="24" x14ac:dyDescent="0.25">
      <c r="O106" s="57" t="s">
        <v>424</v>
      </c>
      <c r="P106" s="79" t="s">
        <v>433</v>
      </c>
      <c r="Q106" s="80" t="s">
        <v>433</v>
      </c>
      <c r="R106" s="82" t="s">
        <v>426</v>
      </c>
      <c r="S106" s="57">
        <v>26</v>
      </c>
    </row>
    <row r="107" spans="15:19" x14ac:dyDescent="0.25">
      <c r="O107" s="57" t="s">
        <v>429</v>
      </c>
      <c r="P107" s="79" t="s">
        <v>433</v>
      </c>
      <c r="Q107" s="80" t="s">
        <v>430</v>
      </c>
      <c r="R107" s="82" t="s">
        <v>431</v>
      </c>
      <c r="S107" s="57">
        <v>5</v>
      </c>
    </row>
    <row r="108" spans="15:19" x14ac:dyDescent="0.25">
      <c r="O108" s="57" t="s">
        <v>436</v>
      </c>
      <c r="P108" s="79" t="s">
        <v>437</v>
      </c>
      <c r="Q108" s="80" t="s">
        <v>438</v>
      </c>
      <c r="R108" s="82" t="s">
        <v>437</v>
      </c>
      <c r="S108" s="57">
        <v>3.0000000000000004</v>
      </c>
    </row>
    <row r="109" spans="15:19" x14ac:dyDescent="0.25">
      <c r="O109" s="57" t="s">
        <v>439</v>
      </c>
      <c r="P109" s="79" t="s">
        <v>437</v>
      </c>
      <c r="Q109" s="80" t="s">
        <v>440</v>
      </c>
      <c r="R109" s="82" t="s">
        <v>437</v>
      </c>
      <c r="S109" s="57">
        <v>4.55</v>
      </c>
    </row>
    <row r="110" spans="15:19" ht="24" x14ac:dyDescent="0.25">
      <c r="O110" s="57" t="s">
        <v>441</v>
      </c>
      <c r="P110" s="79" t="s">
        <v>442</v>
      </c>
      <c r="Q110" s="80" t="s">
        <v>442</v>
      </c>
      <c r="R110" s="82" t="s">
        <v>443</v>
      </c>
      <c r="S110" s="57">
        <v>13.900000000000002</v>
      </c>
    </row>
    <row r="111" spans="15:19" ht="24" x14ac:dyDescent="0.25">
      <c r="O111" s="57" t="s">
        <v>444</v>
      </c>
      <c r="P111" s="79" t="s">
        <v>442</v>
      </c>
      <c r="Q111" s="80" t="s">
        <v>442</v>
      </c>
      <c r="R111" s="82" t="s">
        <v>445</v>
      </c>
      <c r="S111" s="57">
        <v>15.600000000000001</v>
      </c>
    </row>
    <row r="112" spans="15:19" ht="24" x14ac:dyDescent="0.25">
      <c r="O112" s="57" t="s">
        <v>446</v>
      </c>
      <c r="P112" s="79" t="s">
        <v>442</v>
      </c>
      <c r="Q112" s="80" t="s">
        <v>442</v>
      </c>
      <c r="R112" s="82" t="s">
        <v>447</v>
      </c>
      <c r="S112" s="57">
        <v>11</v>
      </c>
    </row>
    <row r="113" spans="15:19" ht="24" x14ac:dyDescent="0.25">
      <c r="O113" s="57" t="s">
        <v>448</v>
      </c>
      <c r="P113" s="79" t="s">
        <v>442</v>
      </c>
      <c r="Q113" s="80" t="s">
        <v>442</v>
      </c>
      <c r="R113" s="82" t="s">
        <v>449</v>
      </c>
      <c r="S113" s="57">
        <v>1.6000000000000003</v>
      </c>
    </row>
    <row r="114" spans="15:19" ht="24" x14ac:dyDescent="0.25">
      <c r="O114" s="57" t="s">
        <v>253</v>
      </c>
      <c r="P114" s="79" t="s">
        <v>442</v>
      </c>
      <c r="Q114" s="80" t="s">
        <v>251</v>
      </c>
      <c r="R114" s="82" t="s">
        <v>443</v>
      </c>
      <c r="S114" s="57">
        <v>9.5299999999999994</v>
      </c>
    </row>
    <row r="115" spans="15:19" ht="24" x14ac:dyDescent="0.25">
      <c r="O115" s="57" t="s">
        <v>374</v>
      </c>
      <c r="P115" s="79" t="s">
        <v>450</v>
      </c>
      <c r="Q115" s="80" t="s">
        <v>163</v>
      </c>
      <c r="R115" s="82" t="s">
        <v>333</v>
      </c>
      <c r="S115" s="57">
        <v>14</v>
      </c>
    </row>
    <row r="116" spans="15:19" ht="24" x14ac:dyDescent="0.25">
      <c r="O116" s="57" t="s">
        <v>376</v>
      </c>
      <c r="P116" s="79" t="s">
        <v>450</v>
      </c>
      <c r="Q116" s="80" t="s">
        <v>401</v>
      </c>
      <c r="R116" s="82" t="s">
        <v>402</v>
      </c>
      <c r="S116" s="57">
        <v>15</v>
      </c>
    </row>
    <row r="117" spans="15:19" ht="24" x14ac:dyDescent="0.25">
      <c r="O117" s="57" t="s">
        <v>451</v>
      </c>
      <c r="P117" s="79" t="s">
        <v>450</v>
      </c>
      <c r="Q117" s="80" t="s">
        <v>452</v>
      </c>
      <c r="R117" s="82" t="s">
        <v>453</v>
      </c>
      <c r="S117" s="57">
        <v>0.95</v>
      </c>
    </row>
    <row r="118" spans="15:19" x14ac:dyDescent="0.25">
      <c r="O118" s="57" t="s">
        <v>454</v>
      </c>
      <c r="P118" s="79" t="s">
        <v>455</v>
      </c>
      <c r="Q118" s="80" t="s">
        <v>286</v>
      </c>
      <c r="R118" s="82" t="s">
        <v>456</v>
      </c>
      <c r="S118" s="57">
        <v>3.8</v>
      </c>
    </row>
    <row r="119" spans="15:19" x14ac:dyDescent="0.25">
      <c r="O119" s="57" t="s">
        <v>457</v>
      </c>
      <c r="P119" s="79" t="s">
        <v>455</v>
      </c>
      <c r="Q119" s="80" t="s">
        <v>455</v>
      </c>
      <c r="R119" s="82" t="s">
        <v>458</v>
      </c>
      <c r="S119" s="57">
        <v>15.6</v>
      </c>
    </row>
    <row r="120" spans="15:19" x14ac:dyDescent="0.25">
      <c r="O120" s="57" t="s">
        <v>459</v>
      </c>
      <c r="P120" s="79" t="s">
        <v>455</v>
      </c>
      <c r="Q120" s="80" t="s">
        <v>455</v>
      </c>
      <c r="R120" s="82" t="s">
        <v>460</v>
      </c>
      <c r="S120" s="57">
        <v>8.8000000000000007</v>
      </c>
    </row>
    <row r="121" spans="15:19" x14ac:dyDescent="0.25">
      <c r="O121" s="57" t="s">
        <v>461</v>
      </c>
      <c r="P121" s="79" t="s">
        <v>455</v>
      </c>
      <c r="Q121" s="80" t="s">
        <v>462</v>
      </c>
      <c r="R121" s="82" t="s">
        <v>463</v>
      </c>
      <c r="S121" s="57">
        <v>10.600000000000001</v>
      </c>
    </row>
    <row r="122" spans="15:19" x14ac:dyDescent="0.25">
      <c r="O122" s="57" t="s">
        <v>464</v>
      </c>
      <c r="P122" s="79" t="s">
        <v>455</v>
      </c>
      <c r="Q122" s="80" t="s">
        <v>455</v>
      </c>
      <c r="R122" s="82" t="s">
        <v>465</v>
      </c>
      <c r="S122" s="57">
        <v>15</v>
      </c>
    </row>
    <row r="123" spans="15:19" ht="24" x14ac:dyDescent="0.25">
      <c r="O123" s="57" t="s">
        <v>466</v>
      </c>
      <c r="P123" s="79" t="s">
        <v>467</v>
      </c>
      <c r="Q123" s="80" t="s">
        <v>330</v>
      </c>
      <c r="R123" s="82" t="s">
        <v>468</v>
      </c>
      <c r="S123" s="57">
        <v>37.000000000000007</v>
      </c>
    </row>
    <row r="124" spans="15:19" ht="24" x14ac:dyDescent="0.25">
      <c r="O124" s="57" t="s">
        <v>469</v>
      </c>
      <c r="P124" s="79" t="s">
        <v>467</v>
      </c>
      <c r="Q124" s="80" t="s">
        <v>330</v>
      </c>
      <c r="R124" s="82" t="s">
        <v>470</v>
      </c>
      <c r="S124" s="57">
        <v>16</v>
      </c>
    </row>
    <row r="125" spans="15:19" ht="24" x14ac:dyDescent="0.25">
      <c r="O125" s="57" t="s">
        <v>471</v>
      </c>
      <c r="P125" s="79" t="s">
        <v>467</v>
      </c>
      <c r="Q125" s="80" t="s">
        <v>472</v>
      </c>
      <c r="R125" s="82" t="s">
        <v>473</v>
      </c>
      <c r="S125" s="57">
        <v>11</v>
      </c>
    </row>
    <row r="126" spans="15:19" ht="24" x14ac:dyDescent="0.25">
      <c r="O126" s="57" t="s">
        <v>474</v>
      </c>
      <c r="P126" s="79" t="s">
        <v>467</v>
      </c>
      <c r="Q126" s="80" t="s">
        <v>475</v>
      </c>
      <c r="R126" s="82" t="s">
        <v>476</v>
      </c>
      <c r="S126" s="57">
        <v>10.7</v>
      </c>
    </row>
    <row r="127" spans="15:19" ht="24" x14ac:dyDescent="0.25">
      <c r="O127" s="57" t="s">
        <v>477</v>
      </c>
      <c r="P127" s="79" t="s">
        <v>467</v>
      </c>
      <c r="Q127" s="80" t="s">
        <v>330</v>
      </c>
      <c r="R127" s="82" t="s">
        <v>478</v>
      </c>
      <c r="S127" s="57">
        <v>7</v>
      </c>
    </row>
    <row r="128" spans="15:19" ht="24" x14ac:dyDescent="0.25">
      <c r="O128" s="57" t="s">
        <v>479</v>
      </c>
      <c r="P128" s="79" t="s">
        <v>467</v>
      </c>
      <c r="Q128" s="80" t="s">
        <v>330</v>
      </c>
      <c r="R128" s="82" t="s">
        <v>480</v>
      </c>
      <c r="S128" s="57">
        <v>4.8000000000000007</v>
      </c>
    </row>
    <row r="129" spans="15:19" ht="24" x14ac:dyDescent="0.25">
      <c r="O129" s="57" t="s">
        <v>481</v>
      </c>
      <c r="P129" s="79" t="s">
        <v>467</v>
      </c>
      <c r="Q129" s="80" t="s">
        <v>475</v>
      </c>
      <c r="R129" s="82" t="s">
        <v>482</v>
      </c>
      <c r="S129" s="57">
        <v>7.6</v>
      </c>
    </row>
    <row r="130" spans="15:19" ht="24" x14ac:dyDescent="0.25">
      <c r="O130" s="57" t="s">
        <v>329</v>
      </c>
      <c r="P130" s="79" t="s">
        <v>467</v>
      </c>
      <c r="Q130" s="80" t="s">
        <v>330</v>
      </c>
      <c r="R130" s="82" t="s">
        <v>325</v>
      </c>
      <c r="S130" s="57">
        <v>5</v>
      </c>
    </row>
    <row r="131" spans="15:19" ht="24" x14ac:dyDescent="0.25">
      <c r="O131" s="57" t="s">
        <v>483</v>
      </c>
      <c r="P131" s="79" t="s">
        <v>484</v>
      </c>
      <c r="Q131" s="80" t="s">
        <v>484</v>
      </c>
      <c r="R131" s="82" t="s">
        <v>485</v>
      </c>
      <c r="S131" s="57">
        <v>11.499999999999998</v>
      </c>
    </row>
    <row r="132" spans="15:19" ht="24" x14ac:dyDescent="0.25">
      <c r="O132" s="57" t="s">
        <v>486</v>
      </c>
      <c r="P132" s="79" t="s">
        <v>484</v>
      </c>
      <c r="Q132" s="80" t="s">
        <v>484</v>
      </c>
      <c r="R132" s="82" t="s">
        <v>487</v>
      </c>
      <c r="S132" s="57">
        <v>8</v>
      </c>
    </row>
    <row r="133" spans="15:19" ht="24" x14ac:dyDescent="0.25">
      <c r="O133" s="57" t="s">
        <v>488</v>
      </c>
      <c r="P133" s="79" t="s">
        <v>484</v>
      </c>
      <c r="Q133" s="80" t="s">
        <v>484</v>
      </c>
      <c r="R133" s="82" t="s">
        <v>489</v>
      </c>
      <c r="S133" s="57">
        <v>2.2000000000000002</v>
      </c>
    </row>
    <row r="134" spans="15:19" ht="24" x14ac:dyDescent="0.25">
      <c r="O134" s="57" t="s">
        <v>490</v>
      </c>
      <c r="P134" s="79" t="s">
        <v>484</v>
      </c>
      <c r="Q134" s="80" t="s">
        <v>484</v>
      </c>
      <c r="R134" s="82" t="s">
        <v>491</v>
      </c>
      <c r="S134" s="57">
        <v>1.4999999999999998</v>
      </c>
    </row>
    <row r="135" spans="15:19" ht="24" x14ac:dyDescent="0.25">
      <c r="O135" s="57" t="s">
        <v>492</v>
      </c>
      <c r="P135" s="79" t="s">
        <v>484</v>
      </c>
      <c r="Q135" s="80" t="s">
        <v>484</v>
      </c>
      <c r="R135" s="82" t="s">
        <v>493</v>
      </c>
      <c r="S135" s="57">
        <v>21</v>
      </c>
    </row>
    <row r="136" spans="15:19" ht="24" x14ac:dyDescent="0.25">
      <c r="O136" s="57" t="s">
        <v>494</v>
      </c>
      <c r="P136" s="79" t="s">
        <v>484</v>
      </c>
      <c r="Q136" s="80" t="s">
        <v>484</v>
      </c>
      <c r="R136" s="82" t="s">
        <v>495</v>
      </c>
      <c r="S136" s="57">
        <v>2</v>
      </c>
    </row>
    <row r="137" spans="15:19" ht="24" x14ac:dyDescent="0.25">
      <c r="O137" s="57" t="s">
        <v>270</v>
      </c>
      <c r="P137" s="79" t="s">
        <v>484</v>
      </c>
      <c r="Q137" s="80" t="s">
        <v>484</v>
      </c>
      <c r="R137" s="82" t="s">
        <v>267</v>
      </c>
      <c r="S137" s="57">
        <v>4.3</v>
      </c>
    </row>
    <row r="138" spans="15:19" x14ac:dyDescent="0.25">
      <c r="O138" s="57" t="s">
        <v>279</v>
      </c>
      <c r="P138" s="79" t="s">
        <v>282</v>
      </c>
      <c r="Q138" s="80" t="s">
        <v>496</v>
      </c>
      <c r="R138" s="82" t="s">
        <v>282</v>
      </c>
      <c r="S138" s="57">
        <v>2.9999999999999996</v>
      </c>
    </row>
    <row r="139" spans="15:19" ht="24" x14ac:dyDescent="0.25">
      <c r="O139" s="57" t="s">
        <v>497</v>
      </c>
      <c r="P139" s="79" t="s">
        <v>282</v>
      </c>
      <c r="Q139" s="80" t="s">
        <v>498</v>
      </c>
      <c r="R139" s="82" t="s">
        <v>499</v>
      </c>
      <c r="S139" s="57">
        <v>6</v>
      </c>
    </row>
    <row r="140" spans="15:19" x14ac:dyDescent="0.25">
      <c r="O140" s="57" t="s">
        <v>500</v>
      </c>
      <c r="P140" s="79" t="s">
        <v>282</v>
      </c>
      <c r="Q140" s="80" t="s">
        <v>282</v>
      </c>
      <c r="R140" s="82" t="s">
        <v>501</v>
      </c>
      <c r="S140" s="57">
        <v>28.3</v>
      </c>
    </row>
    <row r="141" spans="15:19" ht="24" x14ac:dyDescent="0.25">
      <c r="O141" s="57" t="s">
        <v>502</v>
      </c>
      <c r="P141" s="79" t="s">
        <v>282</v>
      </c>
      <c r="Q141" s="80" t="s">
        <v>503</v>
      </c>
      <c r="R141" s="82" t="s">
        <v>504</v>
      </c>
      <c r="S141" s="57">
        <v>14.45</v>
      </c>
    </row>
    <row r="142" spans="15:19" ht="24" x14ac:dyDescent="0.25">
      <c r="O142" s="57" t="s">
        <v>505</v>
      </c>
      <c r="P142" s="79" t="s">
        <v>282</v>
      </c>
      <c r="Q142" s="80" t="s">
        <v>506</v>
      </c>
      <c r="R142" s="82" t="s">
        <v>507</v>
      </c>
      <c r="S142" s="57">
        <v>14.2</v>
      </c>
    </row>
    <row r="143" spans="15:19" ht="24" x14ac:dyDescent="0.25">
      <c r="O143" s="57" t="s">
        <v>508</v>
      </c>
      <c r="P143" s="79" t="s">
        <v>282</v>
      </c>
      <c r="Q143" s="80" t="s">
        <v>509</v>
      </c>
      <c r="R143" s="82" t="s">
        <v>510</v>
      </c>
      <c r="S143" s="57">
        <v>3.8</v>
      </c>
    </row>
    <row r="144" spans="15:19" ht="48" x14ac:dyDescent="0.25">
      <c r="O144" s="57" t="s">
        <v>511</v>
      </c>
      <c r="P144" s="79" t="s">
        <v>282</v>
      </c>
      <c r="Q144" s="80" t="s">
        <v>512</v>
      </c>
      <c r="R144" s="82" t="s">
        <v>513</v>
      </c>
      <c r="S144" s="57">
        <v>16.850000000000001</v>
      </c>
    </row>
    <row r="145" spans="15:19" ht="36" x14ac:dyDescent="0.25">
      <c r="O145" s="57" t="s">
        <v>514</v>
      </c>
      <c r="P145" s="79" t="s">
        <v>282</v>
      </c>
      <c r="Q145" s="80" t="s">
        <v>515</v>
      </c>
      <c r="R145" s="82" t="s">
        <v>516</v>
      </c>
      <c r="S145" s="57">
        <v>8.75</v>
      </c>
    </row>
    <row r="146" spans="15:19" ht="24" x14ac:dyDescent="0.25">
      <c r="O146" s="57" t="s">
        <v>517</v>
      </c>
      <c r="P146" s="79" t="s">
        <v>282</v>
      </c>
      <c r="Q146" s="80" t="s">
        <v>518</v>
      </c>
      <c r="R146" s="82" t="s">
        <v>519</v>
      </c>
      <c r="S146" s="57">
        <v>24.000000000000004</v>
      </c>
    </row>
    <row r="147" spans="15:19" ht="24" x14ac:dyDescent="0.25">
      <c r="O147" s="57" t="s">
        <v>520</v>
      </c>
      <c r="P147" s="79" t="s">
        <v>282</v>
      </c>
      <c r="Q147" s="80" t="s">
        <v>498</v>
      </c>
      <c r="R147" s="82" t="s">
        <v>521</v>
      </c>
      <c r="S147" s="57">
        <v>19</v>
      </c>
    </row>
    <row r="148" spans="15:19" x14ac:dyDescent="0.25">
      <c r="O148" s="57" t="s">
        <v>522</v>
      </c>
      <c r="P148" s="79" t="s">
        <v>282</v>
      </c>
      <c r="Q148" s="80" t="s">
        <v>521</v>
      </c>
      <c r="R148" s="82" t="s">
        <v>523</v>
      </c>
      <c r="S148" s="57">
        <v>12.000000000000002</v>
      </c>
    </row>
    <row r="149" spans="15:19" ht="36" x14ac:dyDescent="0.25">
      <c r="O149" s="57" t="s">
        <v>524</v>
      </c>
      <c r="P149" s="79" t="s">
        <v>282</v>
      </c>
      <c r="Q149" s="80" t="s">
        <v>328</v>
      </c>
      <c r="R149" s="82" t="s">
        <v>525</v>
      </c>
      <c r="S149" s="57">
        <v>5</v>
      </c>
    </row>
    <row r="150" spans="15:19" ht="24" x14ac:dyDescent="0.25">
      <c r="O150" s="57" t="s">
        <v>526</v>
      </c>
      <c r="P150" s="79" t="s">
        <v>282</v>
      </c>
      <c r="Q150" s="80" t="s">
        <v>527</v>
      </c>
      <c r="R150" s="82" t="s">
        <v>528</v>
      </c>
      <c r="S150" s="57">
        <v>5.7499999999999991</v>
      </c>
    </row>
    <row r="151" spans="15:19" ht="36" x14ac:dyDescent="0.25">
      <c r="O151" s="57" t="s">
        <v>529</v>
      </c>
      <c r="P151" s="79" t="s">
        <v>282</v>
      </c>
      <c r="Q151" s="80" t="s">
        <v>530</v>
      </c>
      <c r="R151" s="82" t="s">
        <v>531</v>
      </c>
      <c r="S151" s="57">
        <v>28.999999999999996</v>
      </c>
    </row>
    <row r="152" spans="15:19" ht="24" x14ac:dyDescent="0.25">
      <c r="O152" s="57" t="s">
        <v>532</v>
      </c>
      <c r="P152" s="79" t="s">
        <v>282</v>
      </c>
      <c r="Q152" s="80" t="s">
        <v>533</v>
      </c>
      <c r="R152" s="82" t="s">
        <v>534</v>
      </c>
      <c r="S152" s="57">
        <v>8.6999999999999993</v>
      </c>
    </row>
    <row r="153" spans="15:19" ht="24" x14ac:dyDescent="0.25">
      <c r="O153" s="57" t="s">
        <v>535</v>
      </c>
      <c r="P153" s="79" t="s">
        <v>282</v>
      </c>
      <c r="Q153" s="80" t="s">
        <v>536</v>
      </c>
      <c r="R153" s="82" t="s">
        <v>537</v>
      </c>
      <c r="S153" s="57">
        <v>19.2</v>
      </c>
    </row>
    <row r="154" spans="15:19" x14ac:dyDescent="0.25">
      <c r="O154" s="57" t="s">
        <v>538</v>
      </c>
      <c r="P154" s="79" t="s">
        <v>282</v>
      </c>
      <c r="Q154" s="80" t="s">
        <v>539</v>
      </c>
      <c r="R154" s="82" t="s">
        <v>540</v>
      </c>
      <c r="S154" s="57">
        <v>4.5999999999999996</v>
      </c>
    </row>
    <row r="155" spans="15:19" ht="24" x14ac:dyDescent="0.25">
      <c r="O155" s="57" t="s">
        <v>541</v>
      </c>
      <c r="P155" s="79" t="s">
        <v>282</v>
      </c>
      <c r="Q155" s="80" t="s">
        <v>542</v>
      </c>
      <c r="R155" s="82" t="s">
        <v>540</v>
      </c>
      <c r="S155" s="57">
        <v>5.6</v>
      </c>
    </row>
    <row r="156" spans="15:19" ht="24" x14ac:dyDescent="0.25">
      <c r="O156" s="57" t="s">
        <v>543</v>
      </c>
      <c r="P156" s="79" t="s">
        <v>544</v>
      </c>
      <c r="Q156" s="80" t="s">
        <v>544</v>
      </c>
      <c r="R156" s="82" t="s">
        <v>545</v>
      </c>
      <c r="S156" s="57">
        <v>19.149999999999999</v>
      </c>
    </row>
    <row r="157" spans="15:19" ht="24" x14ac:dyDescent="0.25">
      <c r="O157" s="57" t="s">
        <v>546</v>
      </c>
      <c r="P157" s="79" t="s">
        <v>544</v>
      </c>
      <c r="Q157" s="80" t="s">
        <v>544</v>
      </c>
      <c r="R157" s="82" t="s">
        <v>547</v>
      </c>
      <c r="S157" s="57">
        <v>3.25</v>
      </c>
    </row>
    <row r="158" spans="15:19" ht="24" x14ac:dyDescent="0.25">
      <c r="O158" s="57" t="s">
        <v>548</v>
      </c>
      <c r="P158" s="79" t="s">
        <v>544</v>
      </c>
      <c r="Q158" s="80" t="s">
        <v>544</v>
      </c>
      <c r="R158" s="82" t="s">
        <v>215</v>
      </c>
      <c r="S158" s="57">
        <v>4.8</v>
      </c>
    </row>
    <row r="159" spans="15:19" ht="24" x14ac:dyDescent="0.25">
      <c r="O159" s="57" t="s">
        <v>549</v>
      </c>
      <c r="P159" s="79" t="s">
        <v>544</v>
      </c>
      <c r="Q159" s="80" t="s">
        <v>544</v>
      </c>
      <c r="R159" s="82" t="s">
        <v>550</v>
      </c>
      <c r="S159" s="57">
        <v>1.8000000000000003</v>
      </c>
    </row>
    <row r="160" spans="15:19" ht="24" x14ac:dyDescent="0.25">
      <c r="O160" s="57" t="s">
        <v>217</v>
      </c>
      <c r="P160" s="79" t="s">
        <v>544</v>
      </c>
      <c r="Q160" s="80" t="s">
        <v>218</v>
      </c>
      <c r="R160" s="82" t="s">
        <v>213</v>
      </c>
      <c r="S160" s="57">
        <v>8.8000000000000007</v>
      </c>
    </row>
    <row r="161" spans="15:19" ht="24" x14ac:dyDescent="0.25">
      <c r="O161" s="57" t="s">
        <v>551</v>
      </c>
      <c r="P161" s="79" t="s">
        <v>552</v>
      </c>
      <c r="Q161" s="80" t="s">
        <v>553</v>
      </c>
      <c r="R161" s="82" t="s">
        <v>554</v>
      </c>
      <c r="S161" s="57">
        <v>2.6</v>
      </c>
    </row>
    <row r="162" spans="15:19" ht="24" x14ac:dyDescent="0.25">
      <c r="O162" s="57" t="s">
        <v>555</v>
      </c>
      <c r="P162" s="79" t="s">
        <v>552</v>
      </c>
      <c r="Q162" s="80" t="s">
        <v>552</v>
      </c>
      <c r="R162" s="82" t="s">
        <v>556</v>
      </c>
      <c r="S162" s="57">
        <v>5.7100000000000009</v>
      </c>
    </row>
    <row r="163" spans="15:19" ht="24" x14ac:dyDescent="0.25">
      <c r="O163" s="57" t="s">
        <v>557</v>
      </c>
      <c r="P163" s="79" t="s">
        <v>552</v>
      </c>
      <c r="Q163" s="80" t="s">
        <v>552</v>
      </c>
      <c r="R163" s="82" t="s">
        <v>558</v>
      </c>
      <c r="S163" s="57">
        <v>2.6</v>
      </c>
    </row>
    <row r="164" spans="15:19" ht="24" x14ac:dyDescent="0.25">
      <c r="O164" s="57" t="s">
        <v>559</v>
      </c>
      <c r="P164" s="79" t="s">
        <v>552</v>
      </c>
      <c r="Q164" s="80" t="s">
        <v>560</v>
      </c>
      <c r="R164" s="82" t="s">
        <v>561</v>
      </c>
      <c r="S164" s="57">
        <v>7.8000000000000007</v>
      </c>
    </row>
    <row r="165" spans="15:19" ht="24" x14ac:dyDescent="0.25">
      <c r="O165" s="57" t="s">
        <v>562</v>
      </c>
      <c r="P165" s="79" t="s">
        <v>552</v>
      </c>
      <c r="Q165" s="80" t="s">
        <v>552</v>
      </c>
      <c r="R165" s="82" t="s">
        <v>563</v>
      </c>
      <c r="S165" s="57">
        <v>3.15</v>
      </c>
    </row>
    <row r="166" spans="15:19" ht="24" x14ac:dyDescent="0.25">
      <c r="O166" s="57" t="s">
        <v>564</v>
      </c>
      <c r="P166" s="79" t="s">
        <v>552</v>
      </c>
      <c r="Q166" s="80" t="s">
        <v>552</v>
      </c>
      <c r="R166" s="82" t="s">
        <v>565</v>
      </c>
      <c r="S166" s="57">
        <v>5</v>
      </c>
    </row>
    <row r="167" spans="15:19" ht="24" x14ac:dyDescent="0.25">
      <c r="O167" s="57" t="s">
        <v>566</v>
      </c>
      <c r="P167" s="79" t="s">
        <v>552</v>
      </c>
      <c r="Q167" s="80" t="s">
        <v>552</v>
      </c>
      <c r="R167" s="82" t="s">
        <v>567</v>
      </c>
      <c r="S167" s="57">
        <v>3.0000000000000004</v>
      </c>
    </row>
    <row r="168" spans="15:19" ht="24" x14ac:dyDescent="0.25">
      <c r="O168" s="57" t="s">
        <v>568</v>
      </c>
      <c r="P168" s="79" t="s">
        <v>552</v>
      </c>
      <c r="Q168" s="80" t="s">
        <v>552</v>
      </c>
      <c r="R168" s="82" t="s">
        <v>569</v>
      </c>
      <c r="S168" s="57">
        <v>3.0000000000000004</v>
      </c>
    </row>
    <row r="169" spans="15:19" ht="24" x14ac:dyDescent="0.25">
      <c r="O169" s="57" t="s">
        <v>570</v>
      </c>
      <c r="P169" s="79" t="s">
        <v>571</v>
      </c>
      <c r="Q169" s="80" t="s">
        <v>572</v>
      </c>
      <c r="R169" s="82" t="s">
        <v>571</v>
      </c>
      <c r="S169" s="57">
        <v>10</v>
      </c>
    </row>
    <row r="170" spans="15:19" ht="24" x14ac:dyDescent="0.25">
      <c r="O170" s="57" t="s">
        <v>573</v>
      </c>
      <c r="P170" s="79" t="s">
        <v>571</v>
      </c>
      <c r="Q170" s="80" t="s">
        <v>571</v>
      </c>
      <c r="R170" s="82" t="s">
        <v>574</v>
      </c>
      <c r="S170" s="57">
        <v>28.5</v>
      </c>
    </row>
    <row r="171" spans="15:19" ht="24" x14ac:dyDescent="0.25">
      <c r="O171" s="57" t="s">
        <v>575</v>
      </c>
      <c r="P171" s="79" t="s">
        <v>571</v>
      </c>
      <c r="Q171" s="80" t="s">
        <v>576</v>
      </c>
      <c r="R171" s="82" t="s">
        <v>577</v>
      </c>
      <c r="S171" s="57">
        <v>10</v>
      </c>
    </row>
    <row r="172" spans="15:19" ht="24" x14ac:dyDescent="0.25">
      <c r="O172" s="57" t="s">
        <v>578</v>
      </c>
      <c r="P172" s="79" t="s">
        <v>571</v>
      </c>
      <c r="Q172" s="80" t="s">
        <v>571</v>
      </c>
      <c r="R172" s="82" t="s">
        <v>579</v>
      </c>
      <c r="S172" s="57">
        <v>5.4</v>
      </c>
    </row>
    <row r="173" spans="15:19" ht="24" x14ac:dyDescent="0.25">
      <c r="O173" s="57" t="s">
        <v>580</v>
      </c>
      <c r="P173" s="79" t="s">
        <v>571</v>
      </c>
      <c r="Q173" s="80" t="s">
        <v>571</v>
      </c>
      <c r="R173" s="82" t="s">
        <v>581</v>
      </c>
      <c r="S173" s="57">
        <v>30</v>
      </c>
    </row>
    <row r="174" spans="15:19" ht="24" x14ac:dyDescent="0.25">
      <c r="O174" s="57" t="s">
        <v>582</v>
      </c>
      <c r="P174" s="79" t="s">
        <v>571</v>
      </c>
      <c r="Q174" s="80" t="s">
        <v>571</v>
      </c>
      <c r="R174" s="82" t="s">
        <v>583</v>
      </c>
      <c r="S174" s="57">
        <v>15</v>
      </c>
    </row>
    <row r="175" spans="15:19" ht="24" x14ac:dyDescent="0.25">
      <c r="O175" s="57" t="s">
        <v>584</v>
      </c>
      <c r="P175" s="79" t="s">
        <v>571</v>
      </c>
      <c r="Q175" s="80" t="s">
        <v>585</v>
      </c>
      <c r="R175" s="82" t="s">
        <v>586</v>
      </c>
      <c r="S175" s="57">
        <v>14</v>
      </c>
    </row>
    <row r="176" spans="15:19" ht="24" x14ac:dyDescent="0.25">
      <c r="O176" s="57" t="s">
        <v>587</v>
      </c>
      <c r="P176" s="79" t="s">
        <v>571</v>
      </c>
      <c r="Q176" s="80" t="s">
        <v>571</v>
      </c>
      <c r="R176" s="82" t="s">
        <v>588</v>
      </c>
      <c r="S176" s="57">
        <v>2.2000000000000002</v>
      </c>
    </row>
    <row r="177" spans="15:19" ht="24" x14ac:dyDescent="0.25">
      <c r="O177" s="57" t="s">
        <v>589</v>
      </c>
      <c r="P177" s="79" t="s">
        <v>571</v>
      </c>
      <c r="Q177" s="80" t="s">
        <v>590</v>
      </c>
      <c r="R177" s="82" t="s">
        <v>591</v>
      </c>
      <c r="S177" s="57">
        <v>7.2000000000000011</v>
      </c>
    </row>
    <row r="178" spans="15:19" ht="36" x14ac:dyDescent="0.25">
      <c r="O178" s="57" t="s">
        <v>592</v>
      </c>
      <c r="P178" s="79" t="s">
        <v>571</v>
      </c>
      <c r="Q178" s="80" t="s">
        <v>571</v>
      </c>
      <c r="R178" s="82" t="s">
        <v>593</v>
      </c>
      <c r="S178" s="57">
        <v>3.3</v>
      </c>
    </row>
    <row r="179" spans="15:19" ht="24" x14ac:dyDescent="0.25">
      <c r="O179" s="57" t="s">
        <v>594</v>
      </c>
      <c r="P179" s="79" t="s">
        <v>571</v>
      </c>
      <c r="Q179" s="80" t="s">
        <v>571</v>
      </c>
      <c r="R179" s="82" t="s">
        <v>595</v>
      </c>
      <c r="S179" s="57">
        <v>5.2</v>
      </c>
    </row>
    <row r="180" spans="15:19" ht="24" x14ac:dyDescent="0.25">
      <c r="O180" s="57" t="s">
        <v>596</v>
      </c>
      <c r="P180" s="79" t="s">
        <v>571</v>
      </c>
      <c r="Q180" s="80" t="s">
        <v>435</v>
      </c>
      <c r="R180" s="82" t="s">
        <v>286</v>
      </c>
      <c r="S180" s="57">
        <v>8.8000000000000007</v>
      </c>
    </row>
    <row r="181" spans="15:19" ht="24" x14ac:dyDescent="0.25">
      <c r="O181" s="57" t="s">
        <v>597</v>
      </c>
      <c r="P181" s="79" t="s">
        <v>571</v>
      </c>
      <c r="Q181" s="80" t="s">
        <v>435</v>
      </c>
      <c r="R181" s="82" t="s">
        <v>598</v>
      </c>
      <c r="S181" s="57">
        <v>3.8</v>
      </c>
    </row>
    <row r="182" spans="15:19" ht="24" x14ac:dyDescent="0.25">
      <c r="O182" s="57" t="s">
        <v>599</v>
      </c>
      <c r="P182" s="79" t="s">
        <v>571</v>
      </c>
      <c r="Q182" s="80" t="s">
        <v>571</v>
      </c>
      <c r="R182" s="82" t="s">
        <v>600</v>
      </c>
      <c r="S182" s="57">
        <v>25.89</v>
      </c>
    </row>
    <row r="183" spans="15:19" ht="24" x14ac:dyDescent="0.25">
      <c r="O183" s="57" t="s">
        <v>601</v>
      </c>
      <c r="P183" s="79" t="s">
        <v>571</v>
      </c>
      <c r="Q183" s="80" t="s">
        <v>571</v>
      </c>
      <c r="R183" s="82" t="s">
        <v>602</v>
      </c>
      <c r="S183" s="57">
        <v>6</v>
      </c>
    </row>
    <row r="184" spans="15:19" ht="24" x14ac:dyDescent="0.25">
      <c r="O184" s="57" t="s">
        <v>603</v>
      </c>
      <c r="P184" s="79" t="s">
        <v>571</v>
      </c>
      <c r="Q184" s="80" t="s">
        <v>571</v>
      </c>
      <c r="R184" s="82" t="s">
        <v>604</v>
      </c>
      <c r="S184" s="57">
        <v>14</v>
      </c>
    </row>
    <row r="185" spans="15:19" ht="24" x14ac:dyDescent="0.25">
      <c r="O185" s="57" t="s">
        <v>605</v>
      </c>
      <c r="P185" s="79" t="s">
        <v>571</v>
      </c>
      <c r="Q185" s="80" t="s">
        <v>571</v>
      </c>
      <c r="R185" s="82" t="s">
        <v>606</v>
      </c>
      <c r="S185" s="57">
        <v>27</v>
      </c>
    </row>
    <row r="186" spans="15:19" ht="24" x14ac:dyDescent="0.25">
      <c r="O186" s="57" t="s">
        <v>607</v>
      </c>
      <c r="P186" s="79" t="s">
        <v>608</v>
      </c>
      <c r="Q186" s="80" t="s">
        <v>608</v>
      </c>
      <c r="R186" s="82" t="s">
        <v>609</v>
      </c>
      <c r="S186" s="57">
        <v>12.3</v>
      </c>
    </row>
    <row r="187" spans="15:19" ht="24" x14ac:dyDescent="0.25">
      <c r="O187" s="57" t="s">
        <v>610</v>
      </c>
      <c r="P187" s="79" t="s">
        <v>608</v>
      </c>
      <c r="Q187" s="80" t="s">
        <v>572</v>
      </c>
      <c r="R187" s="82" t="s">
        <v>611</v>
      </c>
      <c r="S187" s="57">
        <v>39</v>
      </c>
    </row>
    <row r="188" spans="15:19" ht="24" x14ac:dyDescent="0.25">
      <c r="O188" s="57" t="s">
        <v>612</v>
      </c>
      <c r="P188" s="79" t="s">
        <v>608</v>
      </c>
      <c r="Q188" s="80" t="s">
        <v>608</v>
      </c>
      <c r="R188" s="82" t="s">
        <v>613</v>
      </c>
      <c r="S188" s="57">
        <v>4.8</v>
      </c>
    </row>
    <row r="189" spans="15:19" ht="24" x14ac:dyDescent="0.25">
      <c r="O189" s="57" t="s">
        <v>614</v>
      </c>
      <c r="P189" s="79" t="s">
        <v>608</v>
      </c>
      <c r="Q189" s="80" t="s">
        <v>615</v>
      </c>
      <c r="R189" s="82" t="s">
        <v>616</v>
      </c>
      <c r="S189" s="57">
        <v>39.4</v>
      </c>
    </row>
    <row r="190" spans="15:19" ht="24" x14ac:dyDescent="0.25">
      <c r="O190" s="57" t="s">
        <v>617</v>
      </c>
      <c r="P190" s="79" t="s">
        <v>608</v>
      </c>
      <c r="Q190" s="80" t="s">
        <v>615</v>
      </c>
      <c r="R190" s="82" t="s">
        <v>618</v>
      </c>
      <c r="S190" s="57">
        <v>17.494999999999997</v>
      </c>
    </row>
    <row r="191" spans="15:19" x14ac:dyDescent="0.25">
      <c r="O191" s="57" t="s">
        <v>619</v>
      </c>
      <c r="P191" s="79" t="s">
        <v>608</v>
      </c>
      <c r="Q191" s="80" t="s">
        <v>620</v>
      </c>
      <c r="R191" s="82" t="s">
        <v>621</v>
      </c>
      <c r="S191" s="57">
        <v>8.495000000000001</v>
      </c>
    </row>
    <row r="192" spans="15:19" ht="24" x14ac:dyDescent="0.25">
      <c r="O192" s="57" t="s">
        <v>622</v>
      </c>
      <c r="P192" s="79" t="s">
        <v>608</v>
      </c>
      <c r="Q192" s="80" t="s">
        <v>623</v>
      </c>
      <c r="R192" s="82" t="s">
        <v>624</v>
      </c>
      <c r="S192" s="57">
        <v>4.5999999999999996</v>
      </c>
    </row>
    <row r="193" spans="15:19" x14ac:dyDescent="0.25">
      <c r="O193" s="57" t="s">
        <v>570</v>
      </c>
      <c r="P193" s="79" t="s">
        <v>608</v>
      </c>
      <c r="Q193" s="80" t="s">
        <v>572</v>
      </c>
      <c r="R193" s="82" t="s">
        <v>625</v>
      </c>
      <c r="S193" s="57">
        <v>5.9</v>
      </c>
    </row>
    <row r="194" spans="15:19" x14ac:dyDescent="0.25">
      <c r="O194" s="57" t="s">
        <v>439</v>
      </c>
      <c r="P194" s="79" t="s">
        <v>440</v>
      </c>
      <c r="Q194" s="80" t="s">
        <v>440</v>
      </c>
      <c r="R194" s="82" t="s">
        <v>437</v>
      </c>
      <c r="S194" s="57">
        <v>4.55</v>
      </c>
    </row>
    <row r="195" spans="15:19" x14ac:dyDescent="0.25">
      <c r="O195" s="57" t="s">
        <v>626</v>
      </c>
      <c r="P195" s="79" t="s">
        <v>440</v>
      </c>
      <c r="Q195" s="80" t="s">
        <v>438</v>
      </c>
      <c r="R195" s="82" t="s">
        <v>265</v>
      </c>
      <c r="S195" s="57">
        <v>1.1000000000000001</v>
      </c>
    </row>
    <row r="196" spans="15:19" ht="24" x14ac:dyDescent="0.25">
      <c r="O196" s="57" t="s">
        <v>627</v>
      </c>
      <c r="P196" s="79" t="s">
        <v>628</v>
      </c>
      <c r="Q196" s="80" t="s">
        <v>628</v>
      </c>
      <c r="R196" s="82" t="s">
        <v>629</v>
      </c>
      <c r="S196" s="57">
        <v>15</v>
      </c>
    </row>
    <row r="197" spans="15:19" ht="24" x14ac:dyDescent="0.25">
      <c r="O197" s="57" t="s">
        <v>630</v>
      </c>
      <c r="P197" s="79" t="s">
        <v>628</v>
      </c>
      <c r="Q197" s="80" t="s">
        <v>631</v>
      </c>
      <c r="R197" s="82" t="s">
        <v>632</v>
      </c>
      <c r="S197" s="57">
        <v>4</v>
      </c>
    </row>
    <row r="198" spans="15:19" ht="24" x14ac:dyDescent="0.25">
      <c r="O198" s="57" t="s">
        <v>633</v>
      </c>
      <c r="P198" s="79" t="s">
        <v>628</v>
      </c>
      <c r="Q198" s="80" t="s">
        <v>628</v>
      </c>
      <c r="R198" s="82" t="s">
        <v>634</v>
      </c>
      <c r="S198" s="57">
        <v>2</v>
      </c>
    </row>
    <row r="199" spans="15:19" ht="24" x14ac:dyDescent="0.25">
      <c r="O199" s="57" t="s">
        <v>226</v>
      </c>
      <c r="P199" s="79" t="s">
        <v>228</v>
      </c>
      <c r="Q199" s="80" t="s">
        <v>227</v>
      </c>
      <c r="R199" s="82" t="s">
        <v>228</v>
      </c>
      <c r="S199" s="57">
        <v>12</v>
      </c>
    </row>
    <row r="200" spans="15:19" ht="24" x14ac:dyDescent="0.25">
      <c r="O200" s="57" t="s">
        <v>635</v>
      </c>
      <c r="P200" s="79" t="s">
        <v>228</v>
      </c>
      <c r="Q200" s="80" t="s">
        <v>428</v>
      </c>
      <c r="R200" s="82" t="s">
        <v>636</v>
      </c>
      <c r="S200" s="57">
        <v>20</v>
      </c>
    </row>
    <row r="201" spans="15:19" ht="24" x14ac:dyDescent="0.25">
      <c r="O201" s="57" t="s">
        <v>427</v>
      </c>
      <c r="P201" s="79" t="s">
        <v>228</v>
      </c>
      <c r="Q201" s="80" t="s">
        <v>428</v>
      </c>
      <c r="R201" s="82" t="s">
        <v>637</v>
      </c>
      <c r="S201" s="57">
        <v>15</v>
      </c>
    </row>
    <row r="202" spans="15:19" x14ac:dyDescent="0.25">
      <c r="O202" s="57" t="s">
        <v>233</v>
      </c>
      <c r="P202" s="79" t="s">
        <v>228</v>
      </c>
      <c r="Q202" s="80" t="s">
        <v>234</v>
      </c>
      <c r="R202" s="82" t="s">
        <v>235</v>
      </c>
      <c r="S202" s="57">
        <v>5</v>
      </c>
    </row>
    <row r="203" spans="15:19" ht="24" x14ac:dyDescent="0.25">
      <c r="O203" s="57" t="s">
        <v>638</v>
      </c>
      <c r="P203" s="79" t="s">
        <v>639</v>
      </c>
      <c r="Q203" s="80" t="s">
        <v>639</v>
      </c>
      <c r="R203" s="82" t="s">
        <v>640</v>
      </c>
      <c r="S203" s="57">
        <v>4.8</v>
      </c>
    </row>
    <row r="204" spans="15:19" x14ac:dyDescent="0.25">
      <c r="O204" s="57" t="s">
        <v>641</v>
      </c>
      <c r="P204" s="79" t="s">
        <v>639</v>
      </c>
      <c r="Q204" s="80" t="s">
        <v>639</v>
      </c>
      <c r="R204" s="82" t="s">
        <v>487</v>
      </c>
      <c r="S204" s="57">
        <v>1.5000000000000002</v>
      </c>
    </row>
    <row r="205" spans="15:19" ht="24" x14ac:dyDescent="0.25">
      <c r="O205" s="57" t="s">
        <v>642</v>
      </c>
      <c r="P205" s="79" t="s">
        <v>639</v>
      </c>
      <c r="Q205" s="80" t="s">
        <v>639</v>
      </c>
      <c r="R205" s="82" t="s">
        <v>643</v>
      </c>
      <c r="S205" s="57">
        <v>6.6000000000000005</v>
      </c>
    </row>
    <row r="206" spans="15:19" x14ac:dyDescent="0.25">
      <c r="O206" s="57" t="s">
        <v>644</v>
      </c>
      <c r="P206" s="79" t="s">
        <v>639</v>
      </c>
      <c r="Q206" s="80" t="s">
        <v>639</v>
      </c>
      <c r="R206" s="82" t="s">
        <v>645</v>
      </c>
      <c r="S206" s="57">
        <v>4.5999999999999996</v>
      </c>
    </row>
    <row r="207" spans="15:19" x14ac:dyDescent="0.25">
      <c r="O207" s="57" t="s">
        <v>646</v>
      </c>
      <c r="P207" s="79" t="s">
        <v>639</v>
      </c>
      <c r="Q207" s="80" t="s">
        <v>639</v>
      </c>
      <c r="R207" s="82" t="s">
        <v>647</v>
      </c>
      <c r="S207" s="57">
        <v>5.5</v>
      </c>
    </row>
    <row r="208" spans="15:19" x14ac:dyDescent="0.25">
      <c r="O208" s="57" t="s">
        <v>648</v>
      </c>
      <c r="P208" s="79" t="s">
        <v>639</v>
      </c>
      <c r="Q208" s="80" t="s">
        <v>639</v>
      </c>
      <c r="R208" s="82" t="s">
        <v>649</v>
      </c>
      <c r="S208" s="57">
        <v>3.05</v>
      </c>
    </row>
    <row r="209" spans="15:19" x14ac:dyDescent="0.25">
      <c r="O209" s="57" t="s">
        <v>650</v>
      </c>
      <c r="P209" s="79" t="s">
        <v>639</v>
      </c>
      <c r="Q209" s="80" t="s">
        <v>651</v>
      </c>
      <c r="R209" s="82" t="s">
        <v>639</v>
      </c>
      <c r="S209" s="57">
        <v>11.4</v>
      </c>
    </row>
    <row r="210" spans="15:19" ht="24" x14ac:dyDescent="0.25">
      <c r="O210" s="57" t="s">
        <v>652</v>
      </c>
      <c r="P210" s="79" t="s">
        <v>639</v>
      </c>
      <c r="Q210" s="80" t="s">
        <v>653</v>
      </c>
      <c r="R210" s="82" t="s">
        <v>654</v>
      </c>
      <c r="S210" s="57">
        <v>6.45</v>
      </c>
    </row>
    <row r="211" spans="15:19" x14ac:dyDescent="0.25">
      <c r="O211" s="57" t="s">
        <v>655</v>
      </c>
      <c r="P211" s="79" t="s">
        <v>639</v>
      </c>
      <c r="Q211" s="80" t="s">
        <v>656</v>
      </c>
      <c r="R211" s="82" t="s">
        <v>651</v>
      </c>
      <c r="S211" s="57">
        <v>2.4</v>
      </c>
    </row>
    <row r="212" spans="15:19" x14ac:dyDescent="0.25">
      <c r="O212" s="57" t="s">
        <v>657</v>
      </c>
      <c r="P212" s="79" t="s">
        <v>639</v>
      </c>
      <c r="Q212" s="80" t="s">
        <v>639</v>
      </c>
      <c r="R212" s="82" t="s">
        <v>658</v>
      </c>
      <c r="S212" s="57">
        <v>4.2200000000000006</v>
      </c>
    </row>
    <row r="213" spans="15:19" x14ac:dyDescent="0.25">
      <c r="O213" s="57" t="s">
        <v>659</v>
      </c>
      <c r="P213" s="79" t="s">
        <v>658</v>
      </c>
      <c r="Q213" s="80" t="s">
        <v>658</v>
      </c>
      <c r="R213" s="82" t="s">
        <v>660</v>
      </c>
      <c r="S213" s="57">
        <v>6.3</v>
      </c>
    </row>
    <row r="214" spans="15:19" x14ac:dyDescent="0.25">
      <c r="O214" s="57" t="s">
        <v>661</v>
      </c>
      <c r="P214" s="79" t="s">
        <v>658</v>
      </c>
      <c r="Q214" s="80" t="s">
        <v>658</v>
      </c>
      <c r="R214" s="82" t="s">
        <v>662</v>
      </c>
      <c r="S214" s="57">
        <v>3.1000000000000005</v>
      </c>
    </row>
    <row r="215" spans="15:19" x14ac:dyDescent="0.25">
      <c r="O215" s="57" t="s">
        <v>663</v>
      </c>
      <c r="P215" s="79" t="s">
        <v>658</v>
      </c>
      <c r="Q215" s="80" t="s">
        <v>658</v>
      </c>
      <c r="R215" s="82" t="s">
        <v>664</v>
      </c>
      <c r="S215" s="57">
        <v>3.1000000000000005</v>
      </c>
    </row>
    <row r="216" spans="15:19" x14ac:dyDescent="0.25">
      <c r="O216" s="57" t="s">
        <v>665</v>
      </c>
      <c r="P216" s="79" t="s">
        <v>658</v>
      </c>
      <c r="Q216" s="80" t="s">
        <v>660</v>
      </c>
      <c r="R216" s="82" t="s">
        <v>355</v>
      </c>
      <c r="S216" s="57">
        <v>3.4000000000000004</v>
      </c>
    </row>
    <row r="217" spans="15:19" x14ac:dyDescent="0.25">
      <c r="O217" s="57" t="s">
        <v>666</v>
      </c>
      <c r="P217" s="79" t="s">
        <v>658</v>
      </c>
      <c r="Q217" s="80" t="s">
        <v>658</v>
      </c>
      <c r="R217" s="82" t="s">
        <v>667</v>
      </c>
      <c r="S217" s="57">
        <v>3.0000000000000004</v>
      </c>
    </row>
    <row r="218" spans="15:19" x14ac:dyDescent="0.25">
      <c r="O218" s="57" t="s">
        <v>657</v>
      </c>
      <c r="P218" s="79" t="s">
        <v>658</v>
      </c>
      <c r="Q218" s="80" t="s">
        <v>639</v>
      </c>
      <c r="R218" s="82" t="s">
        <v>658</v>
      </c>
      <c r="S218" s="57">
        <v>4.22</v>
      </c>
    </row>
    <row r="219" spans="15:19" ht="24" x14ac:dyDescent="0.25">
      <c r="O219" s="57" t="s">
        <v>655</v>
      </c>
      <c r="P219" s="79" t="s">
        <v>668</v>
      </c>
      <c r="Q219" s="80" t="s">
        <v>669</v>
      </c>
      <c r="R219" s="82" t="s">
        <v>669</v>
      </c>
      <c r="S219" s="57">
        <v>2.4</v>
      </c>
    </row>
    <row r="220" spans="15:19" ht="24" x14ac:dyDescent="0.25">
      <c r="O220" s="57" t="s">
        <v>670</v>
      </c>
      <c r="P220" s="79" t="s">
        <v>668</v>
      </c>
      <c r="Q220" s="80" t="s">
        <v>671</v>
      </c>
      <c r="R220" s="82" t="s">
        <v>671</v>
      </c>
      <c r="S220" s="57">
        <v>6.1</v>
      </c>
    </row>
    <row r="221" spans="15:19" x14ac:dyDescent="0.25">
      <c r="O221" s="57" t="s">
        <v>672</v>
      </c>
      <c r="P221" s="79" t="s">
        <v>668</v>
      </c>
      <c r="Q221" s="80" t="s">
        <v>668</v>
      </c>
      <c r="R221" s="82" t="s">
        <v>673</v>
      </c>
      <c r="S221" s="57">
        <v>12.7</v>
      </c>
    </row>
    <row r="222" spans="15:19" x14ac:dyDescent="0.25">
      <c r="O222" s="57" t="s">
        <v>674</v>
      </c>
      <c r="P222" s="79" t="s">
        <v>668</v>
      </c>
      <c r="Q222" s="80" t="s">
        <v>668</v>
      </c>
      <c r="R222" s="82" t="s">
        <v>675</v>
      </c>
      <c r="S222" s="57">
        <v>1.3</v>
      </c>
    </row>
    <row r="223" spans="15:19" x14ac:dyDescent="0.25">
      <c r="O223" s="57" t="s">
        <v>676</v>
      </c>
      <c r="P223" s="79" t="s">
        <v>677</v>
      </c>
      <c r="Q223" s="80" t="s">
        <v>677</v>
      </c>
      <c r="R223" s="82" t="s">
        <v>678</v>
      </c>
      <c r="S223" s="57">
        <v>15</v>
      </c>
    </row>
    <row r="224" spans="15:19" ht="24" x14ac:dyDescent="0.25">
      <c r="O224" s="57" t="s">
        <v>679</v>
      </c>
      <c r="P224" s="79" t="s">
        <v>677</v>
      </c>
      <c r="Q224" s="80" t="s">
        <v>680</v>
      </c>
      <c r="R224" s="82" t="s">
        <v>681</v>
      </c>
      <c r="S224" s="57">
        <v>9.8000000000000007</v>
      </c>
    </row>
    <row r="225" spans="15:19" ht="15.75" thickBot="1" x14ac:dyDescent="0.3">
      <c r="O225" s="60" t="s">
        <v>294</v>
      </c>
      <c r="P225" s="83" t="s">
        <v>677</v>
      </c>
      <c r="Q225" s="84" t="s">
        <v>677</v>
      </c>
      <c r="R225" s="85" t="s">
        <v>682</v>
      </c>
      <c r="S225" s="60">
        <v>10.45</v>
      </c>
    </row>
    <row r="226" spans="15:19" ht="15.75" thickBot="1" x14ac:dyDescent="0.3">
      <c r="O226" s="355" t="s">
        <v>685</v>
      </c>
      <c r="P226" s="356"/>
      <c r="Q226" s="356"/>
      <c r="R226" s="356"/>
      <c r="S226" s="89">
        <v>279.57</v>
      </c>
    </row>
    <row r="227" spans="15:19" ht="16.5" thickBot="1" x14ac:dyDescent="0.3">
      <c r="O227" s="343" t="s">
        <v>683</v>
      </c>
      <c r="P227" s="344"/>
      <c r="Q227" s="344"/>
      <c r="R227" s="345"/>
      <c r="S227" s="86">
        <f>SUM(S8:S226)</f>
        <v>2511.8649999999989</v>
      </c>
    </row>
    <row r="231" spans="15:19" x14ac:dyDescent="0.25">
      <c r="S231" s="88"/>
    </row>
  </sheetData>
  <mergeCells count="16">
    <mergeCell ref="K5:K6"/>
    <mergeCell ref="L5:L6"/>
    <mergeCell ref="I5:J5"/>
    <mergeCell ref="G5:G6"/>
    <mergeCell ref="H5:H6"/>
    <mergeCell ref="A5:A7"/>
    <mergeCell ref="B5:B7"/>
    <mergeCell ref="C5:D6"/>
    <mergeCell ref="E5:E7"/>
    <mergeCell ref="A19:D19"/>
    <mergeCell ref="O227:R227"/>
    <mergeCell ref="O5:S5"/>
    <mergeCell ref="O6:O7"/>
    <mergeCell ref="P6:P7"/>
    <mergeCell ref="Q6:R6"/>
    <mergeCell ref="O226:R226"/>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9"/>
  <sheetViews>
    <sheetView workbookViewId="0">
      <selection activeCell="G4" sqref="G4"/>
    </sheetView>
  </sheetViews>
  <sheetFormatPr baseColWidth="10" defaultColWidth="11.42578125" defaultRowHeight="15" x14ac:dyDescent="0.25"/>
  <cols>
    <col min="1" max="1" width="15.42578125" style="41" customWidth="1"/>
    <col min="2" max="2" width="12.42578125" style="41" customWidth="1"/>
    <col min="3" max="3" width="22.85546875" style="41" customWidth="1"/>
    <col min="4" max="4" width="12.42578125" style="41" customWidth="1"/>
    <col min="5" max="5" width="15.7109375" style="41" customWidth="1"/>
    <col min="6" max="6" width="8.7109375" style="41" customWidth="1"/>
    <col min="7" max="7" width="9.140625" style="41" customWidth="1"/>
    <col min="8" max="8" width="9.28515625" style="41" customWidth="1"/>
    <col min="9" max="9" width="11.85546875" style="41" hidden="1" customWidth="1"/>
    <col min="10" max="10" width="14.140625" style="41" customWidth="1"/>
    <col min="11" max="16384" width="11.42578125" style="41"/>
  </cols>
  <sheetData>
    <row r="1" spans="1:11" ht="20.100000000000001" customHeight="1" x14ac:dyDescent="0.25">
      <c r="A1" s="364" t="s">
        <v>830</v>
      </c>
      <c r="B1" s="365"/>
      <c r="C1" s="365"/>
      <c r="D1" s="365"/>
      <c r="E1" s="366"/>
      <c r="F1" s="364" t="s">
        <v>831</v>
      </c>
      <c r="G1" s="365"/>
      <c r="H1" s="365"/>
      <c r="I1" s="365"/>
      <c r="J1" s="366"/>
    </row>
    <row r="2" spans="1:11" ht="29.1" customHeight="1" x14ac:dyDescent="0.25">
      <c r="A2" s="168" t="s">
        <v>832</v>
      </c>
      <c r="B2" s="169" t="s">
        <v>833</v>
      </c>
      <c r="C2" s="169" t="s">
        <v>834</v>
      </c>
      <c r="D2" s="169" t="s">
        <v>835</v>
      </c>
      <c r="E2" s="169" t="s">
        <v>836</v>
      </c>
      <c r="F2" s="169" t="s">
        <v>837</v>
      </c>
      <c r="G2" s="169" t="s">
        <v>838</v>
      </c>
      <c r="H2" s="169" t="s">
        <v>839</v>
      </c>
      <c r="I2" s="170" t="s">
        <v>840</v>
      </c>
      <c r="J2" s="170" t="s">
        <v>841</v>
      </c>
    </row>
    <row r="3" spans="1:11" ht="99" customHeight="1" x14ac:dyDescent="0.25">
      <c r="A3" s="171" t="s">
        <v>842</v>
      </c>
      <c r="B3" s="172" t="s">
        <v>843</v>
      </c>
      <c r="C3" s="173" t="s">
        <v>844</v>
      </c>
      <c r="D3" s="171" t="s">
        <v>845</v>
      </c>
      <c r="E3" s="174" t="s">
        <v>846</v>
      </c>
      <c r="F3" s="175"/>
      <c r="G3" s="176"/>
      <c r="H3" s="176" t="s">
        <v>14</v>
      </c>
      <c r="I3" s="176"/>
      <c r="J3" s="176" t="s">
        <v>839</v>
      </c>
      <c r="K3" s="177"/>
    </row>
    <row r="4" spans="1:11" ht="72.95" customHeight="1" x14ac:dyDescent="0.25">
      <c r="A4" s="171" t="s">
        <v>847</v>
      </c>
      <c r="B4" s="172" t="s">
        <v>848</v>
      </c>
      <c r="C4" s="173" t="s">
        <v>849</v>
      </c>
      <c r="D4" s="171" t="s">
        <v>850</v>
      </c>
      <c r="E4" s="174" t="s">
        <v>851</v>
      </c>
      <c r="F4" s="175"/>
      <c r="G4" s="176"/>
      <c r="H4" s="176"/>
      <c r="I4" s="176"/>
      <c r="J4" s="176" t="s">
        <v>852</v>
      </c>
    </row>
    <row r="5" spans="1:11" ht="129.94999999999999" customHeight="1" x14ac:dyDescent="0.25">
      <c r="A5" s="172" t="s">
        <v>853</v>
      </c>
      <c r="B5" s="172" t="s">
        <v>854</v>
      </c>
      <c r="C5" s="173" t="s">
        <v>855</v>
      </c>
      <c r="D5" s="171" t="s">
        <v>856</v>
      </c>
      <c r="E5" s="172" t="s">
        <v>857</v>
      </c>
      <c r="F5" s="176"/>
      <c r="G5" s="176"/>
      <c r="H5" s="176" t="s">
        <v>14</v>
      </c>
      <c r="I5" s="176"/>
      <c r="J5" s="176" t="s">
        <v>839</v>
      </c>
    </row>
    <row r="6" spans="1:11" ht="78" customHeight="1" x14ac:dyDescent="0.25">
      <c r="A6" s="171" t="s">
        <v>858</v>
      </c>
      <c r="B6" s="172" t="s">
        <v>859</v>
      </c>
      <c r="C6" s="173" t="s">
        <v>860</v>
      </c>
      <c r="D6" s="171" t="s">
        <v>861</v>
      </c>
      <c r="E6" s="178">
        <v>3905703079.1999998</v>
      </c>
      <c r="F6" s="176"/>
      <c r="G6" s="176" t="s">
        <v>14</v>
      </c>
      <c r="H6" s="176"/>
      <c r="I6" s="179" t="s">
        <v>862</v>
      </c>
      <c r="J6" s="175" t="s">
        <v>839</v>
      </c>
    </row>
    <row r="7" spans="1:11" ht="166.5" customHeight="1" x14ac:dyDescent="0.25">
      <c r="A7" s="172" t="s">
        <v>863</v>
      </c>
      <c r="B7" s="172" t="s">
        <v>864</v>
      </c>
      <c r="C7" s="173" t="s">
        <v>865</v>
      </c>
      <c r="D7" s="171" t="s">
        <v>866</v>
      </c>
      <c r="E7" s="180">
        <v>1315755089</v>
      </c>
      <c r="F7" s="172"/>
      <c r="G7" s="176"/>
      <c r="H7" s="176" t="s">
        <v>14</v>
      </c>
      <c r="I7" s="179"/>
      <c r="J7" s="175" t="s">
        <v>839</v>
      </c>
    </row>
    <row r="8" spans="1:11" ht="83.1" customHeight="1" x14ac:dyDescent="0.25">
      <c r="A8" s="172" t="s">
        <v>867</v>
      </c>
      <c r="B8" s="172" t="s">
        <v>868</v>
      </c>
      <c r="C8" s="173" t="s">
        <v>869</v>
      </c>
      <c r="D8" s="171" t="s">
        <v>870</v>
      </c>
      <c r="E8" s="180">
        <v>396020520</v>
      </c>
      <c r="F8" s="172"/>
      <c r="G8" s="176"/>
      <c r="H8" s="176"/>
      <c r="I8" s="179"/>
      <c r="J8" s="175" t="s">
        <v>839</v>
      </c>
    </row>
    <row r="9" spans="1:11" ht="99.95" customHeight="1" x14ac:dyDescent="0.25">
      <c r="A9" s="172" t="s">
        <v>871</v>
      </c>
      <c r="B9" s="172" t="s">
        <v>872</v>
      </c>
      <c r="C9" s="173" t="s">
        <v>873</v>
      </c>
      <c r="D9" s="172" t="s">
        <v>874</v>
      </c>
      <c r="E9" s="181">
        <v>3313058725.48</v>
      </c>
      <c r="F9" s="172"/>
      <c r="G9" s="176"/>
      <c r="H9" s="176"/>
      <c r="I9" s="179"/>
      <c r="J9" s="175" t="s">
        <v>839</v>
      </c>
    </row>
  </sheetData>
  <mergeCells count="2">
    <mergeCell ref="A1:E1"/>
    <mergeCell ref="F1:J1"/>
  </mergeCells>
  <pageMargins left="0.70866141732283472" right="0.70866141732283472" top="0.74803149606299213" bottom="0.74803149606299213" header="0.31496062992125984" footer="0.31496062992125984"/>
  <pageSetup scale="70"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3"/>
  <sheetViews>
    <sheetView workbookViewId="0">
      <selection activeCell="D7" sqref="D7"/>
    </sheetView>
  </sheetViews>
  <sheetFormatPr baseColWidth="10" defaultColWidth="11.42578125" defaultRowHeight="15" x14ac:dyDescent="0.25"/>
  <cols>
    <col min="1" max="1" width="10" style="41" customWidth="1"/>
    <col min="2" max="2" width="11.85546875" style="41" customWidth="1"/>
    <col min="3" max="3" width="35.5703125" style="41" customWidth="1"/>
    <col min="4" max="4" width="12.42578125" style="41" customWidth="1"/>
    <col min="5" max="5" width="15.42578125" style="41" customWidth="1"/>
    <col min="6" max="6" width="9.28515625" style="41" customWidth="1"/>
    <col min="7" max="7" width="9.140625" style="41" customWidth="1"/>
    <col min="8" max="8" width="9.28515625" style="41" customWidth="1"/>
    <col min="9" max="9" width="11.7109375" style="41" hidden="1" customWidth="1"/>
    <col min="10" max="10" width="14.85546875" style="41" customWidth="1"/>
    <col min="11" max="16384" width="11.42578125" style="41"/>
  </cols>
  <sheetData>
    <row r="1" spans="1:10" x14ac:dyDescent="0.25">
      <c r="A1" s="364" t="s">
        <v>875</v>
      </c>
      <c r="B1" s="365"/>
      <c r="C1" s="365"/>
      <c r="D1" s="365"/>
      <c r="E1" s="366"/>
      <c r="F1" s="364" t="s">
        <v>831</v>
      </c>
      <c r="G1" s="365"/>
      <c r="H1" s="365"/>
      <c r="I1" s="365"/>
      <c r="J1" s="366"/>
    </row>
    <row r="2" spans="1:10" ht="22.5" x14ac:dyDescent="0.25">
      <c r="A2" s="168" t="s">
        <v>832</v>
      </c>
      <c r="B2" s="169" t="s">
        <v>833</v>
      </c>
      <c r="C2" s="169" t="s">
        <v>834</v>
      </c>
      <c r="D2" s="169" t="s">
        <v>835</v>
      </c>
      <c r="E2" s="169" t="s">
        <v>836</v>
      </c>
      <c r="F2" s="169" t="s">
        <v>837</v>
      </c>
      <c r="G2" s="169" t="s">
        <v>838</v>
      </c>
      <c r="H2" s="169" t="s">
        <v>839</v>
      </c>
      <c r="I2" s="170" t="s">
        <v>840</v>
      </c>
      <c r="J2" s="170" t="s">
        <v>841</v>
      </c>
    </row>
    <row r="3" spans="1:10" ht="63.95" customHeight="1" x14ac:dyDescent="0.25">
      <c r="A3" s="182" t="s">
        <v>876</v>
      </c>
      <c r="B3" s="182" t="s">
        <v>877</v>
      </c>
      <c r="C3" s="183" t="s">
        <v>878</v>
      </c>
      <c r="D3" s="184" t="s">
        <v>879</v>
      </c>
      <c r="E3" s="185">
        <v>6881070853.8299999</v>
      </c>
      <c r="F3" s="186"/>
      <c r="G3" s="187"/>
      <c r="H3" s="187" t="s">
        <v>14</v>
      </c>
      <c r="I3" s="188" t="s">
        <v>880</v>
      </c>
      <c r="J3" s="188" t="s">
        <v>839</v>
      </c>
    </row>
    <row r="4" spans="1:10" ht="56.1" customHeight="1" x14ac:dyDescent="0.25">
      <c r="A4" s="182" t="s">
        <v>881</v>
      </c>
      <c r="B4" s="182" t="s">
        <v>882</v>
      </c>
      <c r="C4" s="183" t="s">
        <v>883</v>
      </c>
      <c r="D4" s="184" t="s">
        <v>884</v>
      </c>
      <c r="E4" s="185">
        <v>13984709368.33</v>
      </c>
      <c r="F4" s="187"/>
      <c r="G4" s="187"/>
      <c r="H4" s="187" t="s">
        <v>885</v>
      </c>
      <c r="I4" s="188" t="s">
        <v>886</v>
      </c>
      <c r="J4" s="188" t="s">
        <v>839</v>
      </c>
    </row>
    <row r="5" spans="1:10" ht="53.1" customHeight="1" x14ac:dyDescent="0.25">
      <c r="A5" s="182" t="s">
        <v>887</v>
      </c>
      <c r="B5" s="182" t="s">
        <v>888</v>
      </c>
      <c r="C5" s="183" t="s">
        <v>889</v>
      </c>
      <c r="D5" s="184" t="s">
        <v>890</v>
      </c>
      <c r="E5" s="185">
        <v>11278811555.110001</v>
      </c>
      <c r="F5" s="187"/>
      <c r="G5" s="187"/>
      <c r="H5" s="187" t="s">
        <v>885</v>
      </c>
      <c r="I5" s="188" t="s">
        <v>891</v>
      </c>
      <c r="J5" s="188" t="s">
        <v>839</v>
      </c>
    </row>
    <row r="6" spans="1:10" ht="48.95" customHeight="1" x14ac:dyDescent="0.25">
      <c r="A6" s="182" t="s">
        <v>892</v>
      </c>
      <c r="B6" s="182" t="s">
        <v>893</v>
      </c>
      <c r="C6" s="183" t="s">
        <v>894</v>
      </c>
      <c r="D6" s="184" t="s">
        <v>895</v>
      </c>
      <c r="E6" s="185">
        <v>7536979277.4300003</v>
      </c>
      <c r="F6" s="187"/>
      <c r="G6" s="187" t="s">
        <v>14</v>
      </c>
      <c r="H6" s="187"/>
      <c r="I6" s="188" t="s">
        <v>896</v>
      </c>
      <c r="J6" s="188" t="s">
        <v>839</v>
      </c>
    </row>
    <row r="7" spans="1:10" ht="39" customHeight="1" x14ac:dyDescent="0.25">
      <c r="A7" s="182" t="s">
        <v>897</v>
      </c>
      <c r="B7" s="182" t="s">
        <v>898</v>
      </c>
      <c r="C7" s="183" t="s">
        <v>899</v>
      </c>
      <c r="D7" s="184" t="s">
        <v>900</v>
      </c>
      <c r="E7" s="185">
        <v>4017448406.4099998</v>
      </c>
      <c r="F7" s="187"/>
      <c r="G7" s="187"/>
      <c r="H7" s="187" t="s">
        <v>885</v>
      </c>
      <c r="I7" s="188" t="s">
        <v>901</v>
      </c>
      <c r="J7" s="188" t="s">
        <v>839</v>
      </c>
    </row>
    <row r="8" spans="1:10" ht="51" customHeight="1" x14ac:dyDescent="0.25">
      <c r="A8" s="182" t="s">
        <v>902</v>
      </c>
      <c r="B8" s="182" t="s">
        <v>903</v>
      </c>
      <c r="C8" s="183" t="s">
        <v>904</v>
      </c>
      <c r="D8" s="184" t="s">
        <v>905</v>
      </c>
      <c r="E8" s="185">
        <v>826546575.87</v>
      </c>
      <c r="F8" s="187"/>
      <c r="G8" s="187" t="s">
        <v>14</v>
      </c>
      <c r="H8" s="187"/>
      <c r="I8" s="188" t="s">
        <v>906</v>
      </c>
      <c r="J8" s="188" t="s">
        <v>839</v>
      </c>
    </row>
    <row r="9" spans="1:10" ht="33" customHeight="1" x14ac:dyDescent="0.25">
      <c r="A9" s="182" t="s">
        <v>907</v>
      </c>
      <c r="B9" s="182" t="s">
        <v>908</v>
      </c>
      <c r="C9" s="183" t="s">
        <v>909</v>
      </c>
      <c r="D9" s="184" t="s">
        <v>910</v>
      </c>
      <c r="E9" s="185">
        <v>1778509166.3299999</v>
      </c>
      <c r="F9" s="187"/>
      <c r="G9" s="187"/>
      <c r="H9" s="187" t="s">
        <v>885</v>
      </c>
      <c r="I9" s="188" t="s">
        <v>911</v>
      </c>
      <c r="J9" s="188" t="s">
        <v>839</v>
      </c>
    </row>
    <row r="10" spans="1:10" ht="57.95" customHeight="1" x14ac:dyDescent="0.25">
      <c r="A10" s="182" t="s">
        <v>912</v>
      </c>
      <c r="B10" s="182" t="s">
        <v>913</v>
      </c>
      <c r="C10" s="183" t="s">
        <v>914</v>
      </c>
      <c r="D10" s="184" t="s">
        <v>915</v>
      </c>
      <c r="E10" s="185">
        <v>2074136888.4000001</v>
      </c>
      <c r="F10" s="189"/>
      <c r="G10" s="187" t="s">
        <v>14</v>
      </c>
      <c r="H10" s="187"/>
      <c r="I10" s="182"/>
      <c r="J10" s="188" t="s">
        <v>916</v>
      </c>
    </row>
    <row r="11" spans="1:10" ht="51" customHeight="1" x14ac:dyDescent="0.25">
      <c r="A11" s="182" t="s">
        <v>917</v>
      </c>
      <c r="B11" s="182" t="s">
        <v>918</v>
      </c>
      <c r="C11" s="183" t="s">
        <v>919</v>
      </c>
      <c r="D11" s="184" t="s">
        <v>920</v>
      </c>
      <c r="E11" s="185">
        <v>3643716676.5999999</v>
      </c>
      <c r="F11" s="187" t="s">
        <v>14</v>
      </c>
      <c r="G11" s="187"/>
      <c r="H11" s="187"/>
      <c r="I11" s="190" t="s">
        <v>921</v>
      </c>
      <c r="J11" s="188" t="s">
        <v>839</v>
      </c>
    </row>
    <row r="12" spans="1:10" ht="48.95" customHeight="1" x14ac:dyDescent="0.25">
      <c r="A12" s="182" t="s">
        <v>922</v>
      </c>
      <c r="B12" s="182" t="s">
        <v>923</v>
      </c>
      <c r="C12" s="183" t="s">
        <v>924</v>
      </c>
      <c r="D12" s="188" t="s">
        <v>925</v>
      </c>
      <c r="E12" s="185">
        <v>33471430639</v>
      </c>
      <c r="F12" s="187"/>
      <c r="G12" s="187" t="s">
        <v>14</v>
      </c>
      <c r="H12" s="187"/>
      <c r="I12" s="182"/>
      <c r="J12" s="188" t="s">
        <v>926</v>
      </c>
    </row>
    <row r="13" spans="1:10" ht="54" customHeight="1" x14ac:dyDescent="0.25">
      <c r="A13" s="182" t="s">
        <v>927</v>
      </c>
      <c r="B13" s="182" t="s">
        <v>928</v>
      </c>
      <c r="C13" s="183" t="s">
        <v>929</v>
      </c>
      <c r="D13" s="191" t="s">
        <v>930</v>
      </c>
      <c r="E13" s="185">
        <v>10759606036</v>
      </c>
      <c r="F13" s="187"/>
      <c r="G13" s="187"/>
      <c r="H13" s="187" t="s">
        <v>14</v>
      </c>
      <c r="I13" s="188" t="s">
        <v>931</v>
      </c>
      <c r="J13" s="188" t="s">
        <v>839</v>
      </c>
    </row>
    <row r="14" spans="1:10" ht="36" customHeight="1" x14ac:dyDescent="0.25">
      <c r="A14" s="182" t="s">
        <v>932</v>
      </c>
      <c r="B14" s="182" t="s">
        <v>933</v>
      </c>
      <c r="C14" s="183" t="s">
        <v>934</v>
      </c>
      <c r="D14" s="184" t="s">
        <v>935</v>
      </c>
      <c r="E14" s="185">
        <v>2743512706</v>
      </c>
      <c r="F14" s="187"/>
      <c r="G14" s="187"/>
      <c r="H14" s="187" t="s">
        <v>14</v>
      </c>
      <c r="I14" s="188" t="s">
        <v>936</v>
      </c>
      <c r="J14" s="188" t="s">
        <v>839</v>
      </c>
    </row>
    <row r="15" spans="1:10" ht="98.1" customHeight="1" x14ac:dyDescent="0.25">
      <c r="A15" s="192" t="s">
        <v>937</v>
      </c>
      <c r="B15" s="182" t="s">
        <v>938</v>
      </c>
      <c r="C15" s="193" t="s">
        <v>939</v>
      </c>
      <c r="D15" s="182" t="s">
        <v>940</v>
      </c>
      <c r="E15" s="185">
        <v>700178866</v>
      </c>
      <c r="F15" s="187"/>
      <c r="G15" s="187"/>
      <c r="H15" s="187" t="s">
        <v>14</v>
      </c>
      <c r="I15" s="188"/>
      <c r="J15" s="188" t="s">
        <v>839</v>
      </c>
    </row>
    <row r="16" spans="1:10" ht="87" customHeight="1" x14ac:dyDescent="0.25">
      <c r="A16" s="192" t="s">
        <v>941</v>
      </c>
      <c r="B16" s="182" t="s">
        <v>942</v>
      </c>
      <c r="C16" s="183" t="s">
        <v>943</v>
      </c>
      <c r="D16" s="184" t="s">
        <v>944</v>
      </c>
      <c r="E16" s="194">
        <v>1580990980.49</v>
      </c>
      <c r="F16" s="187"/>
      <c r="G16" s="187"/>
      <c r="H16" s="187" t="s">
        <v>14</v>
      </c>
      <c r="I16" s="188" t="s">
        <v>931</v>
      </c>
      <c r="J16" s="188" t="s">
        <v>839</v>
      </c>
    </row>
    <row r="17" spans="1:11" ht="111.95" customHeight="1" x14ac:dyDescent="0.25">
      <c r="A17" s="192" t="s">
        <v>945</v>
      </c>
      <c r="B17" s="182" t="s">
        <v>946</v>
      </c>
      <c r="C17" s="193" t="s">
        <v>947</v>
      </c>
      <c r="D17" s="184" t="s">
        <v>866</v>
      </c>
      <c r="E17" s="185">
        <v>1524395173</v>
      </c>
      <c r="F17" s="187"/>
      <c r="G17" s="187"/>
      <c r="H17" s="187" t="s">
        <v>14</v>
      </c>
      <c r="I17" s="188" t="s">
        <v>891</v>
      </c>
      <c r="J17" s="188" t="s">
        <v>839</v>
      </c>
    </row>
    <row r="18" spans="1:11" ht="57" customHeight="1" x14ac:dyDescent="0.25">
      <c r="A18" s="182" t="s">
        <v>948</v>
      </c>
      <c r="B18" s="182" t="s">
        <v>949</v>
      </c>
      <c r="C18" s="193" t="s">
        <v>950</v>
      </c>
      <c r="D18" s="188" t="s">
        <v>951</v>
      </c>
      <c r="E18" s="185">
        <v>245340000</v>
      </c>
      <c r="F18" s="187"/>
      <c r="G18" s="187"/>
      <c r="H18" s="187" t="s">
        <v>14</v>
      </c>
      <c r="I18" s="188" t="s">
        <v>952</v>
      </c>
      <c r="J18" s="188" t="s">
        <v>839</v>
      </c>
    </row>
    <row r="19" spans="1:11" ht="60.95" customHeight="1" x14ac:dyDescent="0.25">
      <c r="A19" s="195" t="s">
        <v>953</v>
      </c>
      <c r="B19" s="195" t="s">
        <v>954</v>
      </c>
      <c r="C19" s="196" t="s">
        <v>955</v>
      </c>
      <c r="D19" s="195" t="s">
        <v>956</v>
      </c>
      <c r="E19" s="197">
        <v>57826000</v>
      </c>
      <c r="F19" s="198"/>
      <c r="G19" s="198"/>
      <c r="H19" s="198" t="s">
        <v>14</v>
      </c>
      <c r="I19" s="199" t="s">
        <v>957</v>
      </c>
      <c r="J19" s="199" t="s">
        <v>839</v>
      </c>
    </row>
    <row r="20" spans="1:11" ht="78" customHeight="1" x14ac:dyDescent="0.25">
      <c r="A20" s="182" t="s">
        <v>958</v>
      </c>
      <c r="B20" s="182" t="s">
        <v>959</v>
      </c>
      <c r="C20" s="193" t="s">
        <v>960</v>
      </c>
      <c r="D20" s="188" t="s">
        <v>961</v>
      </c>
      <c r="E20" s="185">
        <v>500000000</v>
      </c>
      <c r="F20" s="187"/>
      <c r="G20" s="187" t="s">
        <v>14</v>
      </c>
      <c r="H20" s="187"/>
      <c r="I20" s="200"/>
      <c r="J20" s="188" t="s">
        <v>926</v>
      </c>
      <c r="K20" s="201"/>
    </row>
    <row r="21" spans="1:11" ht="60.95" customHeight="1" x14ac:dyDescent="0.25">
      <c r="A21" s="182" t="s">
        <v>962</v>
      </c>
      <c r="B21" s="182" t="s">
        <v>963</v>
      </c>
      <c r="C21" s="193" t="s">
        <v>964</v>
      </c>
      <c r="D21" s="202" t="s">
        <v>965</v>
      </c>
      <c r="E21" s="185">
        <v>2001929362.6600001</v>
      </c>
      <c r="F21" s="187" t="s">
        <v>14</v>
      </c>
      <c r="G21" s="187"/>
      <c r="H21" s="187"/>
      <c r="I21" s="200"/>
      <c r="J21" s="203" t="s">
        <v>926</v>
      </c>
      <c r="K21" s="204"/>
    </row>
    <row r="22" spans="1:11" ht="65.099999999999994" customHeight="1" x14ac:dyDescent="0.25">
      <c r="A22" s="182" t="s">
        <v>966</v>
      </c>
      <c r="B22" s="182" t="s">
        <v>967</v>
      </c>
      <c r="C22" s="193" t="s">
        <v>968</v>
      </c>
      <c r="D22" s="188" t="s">
        <v>969</v>
      </c>
      <c r="E22" s="185">
        <v>754492710</v>
      </c>
      <c r="F22" s="187"/>
      <c r="G22" s="187"/>
      <c r="H22" s="187" t="s">
        <v>14</v>
      </c>
      <c r="I22" s="205" t="s">
        <v>952</v>
      </c>
      <c r="J22" s="205" t="s">
        <v>839</v>
      </c>
    </row>
    <row r="23" spans="1:11" ht="57" customHeight="1" x14ac:dyDescent="0.25">
      <c r="A23" s="182" t="s">
        <v>970</v>
      </c>
      <c r="B23" s="182" t="s">
        <v>971</v>
      </c>
      <c r="C23" s="193" t="s">
        <v>972</v>
      </c>
      <c r="D23" s="188" t="s">
        <v>973</v>
      </c>
      <c r="E23" s="185">
        <v>165580129.93000001</v>
      </c>
      <c r="F23" s="187"/>
      <c r="G23" s="187"/>
      <c r="H23" s="187" t="s">
        <v>14</v>
      </c>
      <c r="I23" s="188" t="s">
        <v>974</v>
      </c>
      <c r="J23" s="188" t="s">
        <v>839</v>
      </c>
    </row>
  </sheetData>
  <mergeCells count="2">
    <mergeCell ref="A1:E1"/>
    <mergeCell ref="F1:J1"/>
  </mergeCells>
  <pageMargins left="0.70866141732283472" right="0.70866141732283472" top="0.74803149606299213" bottom="0.74803149606299213" header="0.31496062992125984" footer="0.31496062992125984"/>
  <pageSetup scale="70"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CI32"/>
  <sheetViews>
    <sheetView topLeftCell="A25" workbookViewId="0">
      <selection activeCell="L4" sqref="L4"/>
    </sheetView>
  </sheetViews>
  <sheetFormatPr baseColWidth="10" defaultColWidth="14.7109375" defaultRowHeight="15" x14ac:dyDescent="0.25"/>
  <cols>
    <col min="1" max="1" width="14.7109375" style="41"/>
    <col min="2" max="2" width="10.7109375" style="41" customWidth="1"/>
    <col min="3" max="3" width="21.85546875" style="41" customWidth="1"/>
    <col min="4" max="5" width="14.7109375" style="41"/>
    <col min="6" max="6" width="13" style="41" customWidth="1"/>
    <col min="7" max="7" width="12.5703125" style="41" customWidth="1"/>
    <col min="8" max="8" width="11.85546875" style="41" customWidth="1"/>
    <col min="9" max="9" width="0" style="41" hidden="1" customWidth="1"/>
    <col min="10" max="16384" width="14.7109375" style="41"/>
  </cols>
  <sheetData>
    <row r="1" spans="1:87" s="207" customFormat="1" ht="27" customHeight="1" x14ac:dyDescent="0.25">
      <c r="A1" s="367" t="s">
        <v>975</v>
      </c>
      <c r="B1" s="367"/>
      <c r="C1" s="367"/>
      <c r="D1" s="367"/>
      <c r="E1" s="367"/>
      <c r="F1" s="367" t="s">
        <v>831</v>
      </c>
      <c r="G1" s="367"/>
      <c r="H1" s="367"/>
      <c r="I1" s="367"/>
      <c r="J1" s="367"/>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206"/>
      <c r="BS1" s="206"/>
      <c r="BT1" s="206"/>
      <c r="BU1" s="206"/>
      <c r="BV1" s="206"/>
      <c r="BW1" s="206"/>
      <c r="BX1" s="206"/>
      <c r="BY1" s="206"/>
      <c r="BZ1" s="206"/>
      <c r="CA1" s="206"/>
      <c r="CB1" s="206"/>
      <c r="CC1" s="206"/>
      <c r="CD1" s="206"/>
      <c r="CE1" s="206"/>
      <c r="CF1" s="206"/>
      <c r="CG1" s="206"/>
      <c r="CH1" s="206"/>
      <c r="CI1" s="206"/>
    </row>
    <row r="2" spans="1:87" ht="24" customHeight="1" x14ac:dyDescent="0.25">
      <c r="A2" s="208" t="s">
        <v>832</v>
      </c>
      <c r="B2" s="209" t="s">
        <v>833</v>
      </c>
      <c r="C2" s="208" t="s">
        <v>834</v>
      </c>
      <c r="D2" s="208" t="s">
        <v>835</v>
      </c>
      <c r="E2" s="209" t="s">
        <v>836</v>
      </c>
      <c r="F2" s="208" t="s">
        <v>837</v>
      </c>
      <c r="G2" s="208" t="s">
        <v>838</v>
      </c>
      <c r="H2" s="208" t="s">
        <v>839</v>
      </c>
      <c r="I2" s="209" t="s">
        <v>840</v>
      </c>
      <c r="J2" s="209" t="s">
        <v>841</v>
      </c>
    </row>
    <row r="3" spans="1:87" ht="55.5" customHeight="1" x14ac:dyDescent="0.25">
      <c r="A3" s="210" t="s">
        <v>976</v>
      </c>
      <c r="B3" s="210">
        <v>970</v>
      </c>
      <c r="C3" s="211" t="s">
        <v>977</v>
      </c>
      <c r="D3" s="212" t="s">
        <v>978</v>
      </c>
      <c r="E3" s="213">
        <v>9197069285.0900002</v>
      </c>
      <c r="F3" s="212"/>
      <c r="G3" s="188"/>
      <c r="H3" s="214" t="s">
        <v>14</v>
      </c>
      <c r="I3" s="188" t="s">
        <v>979</v>
      </c>
      <c r="J3" s="188" t="s">
        <v>839</v>
      </c>
    </row>
    <row r="4" spans="1:87" ht="72.75" customHeight="1" x14ac:dyDescent="0.25">
      <c r="A4" s="210" t="s">
        <v>980</v>
      </c>
      <c r="B4" s="210">
        <v>967</v>
      </c>
      <c r="C4" s="211" t="s">
        <v>981</v>
      </c>
      <c r="D4" s="212" t="s">
        <v>982</v>
      </c>
      <c r="E4" s="213">
        <v>3418289005</v>
      </c>
      <c r="F4" s="212" t="s">
        <v>14</v>
      </c>
      <c r="G4" s="188"/>
      <c r="H4" s="214"/>
      <c r="I4" s="188"/>
      <c r="J4" s="215" t="s">
        <v>983</v>
      </c>
    </row>
    <row r="5" spans="1:87" ht="94.5" customHeight="1" x14ac:dyDescent="0.25">
      <c r="A5" s="210" t="s">
        <v>984</v>
      </c>
      <c r="B5" s="210">
        <v>975</v>
      </c>
      <c r="C5" s="211" t="s">
        <v>985</v>
      </c>
      <c r="D5" s="212" t="s">
        <v>986</v>
      </c>
      <c r="E5" s="213">
        <v>3237261439.96</v>
      </c>
      <c r="F5" s="212" t="s">
        <v>14</v>
      </c>
      <c r="G5" s="188"/>
      <c r="H5" s="214"/>
      <c r="I5" s="188"/>
      <c r="J5" s="188" t="s">
        <v>987</v>
      </c>
    </row>
    <row r="6" spans="1:87" ht="63" customHeight="1" x14ac:dyDescent="0.25">
      <c r="A6" s="210" t="s">
        <v>988</v>
      </c>
      <c r="B6" s="210">
        <v>965</v>
      </c>
      <c r="C6" s="211" t="s">
        <v>989</v>
      </c>
      <c r="D6" s="212" t="s">
        <v>990</v>
      </c>
      <c r="E6" s="213" t="s">
        <v>991</v>
      </c>
      <c r="F6" s="216"/>
      <c r="G6" s="188"/>
      <c r="H6" s="214" t="s">
        <v>14</v>
      </c>
      <c r="I6" s="188" t="s">
        <v>992</v>
      </c>
      <c r="J6" s="188" t="s">
        <v>839</v>
      </c>
    </row>
    <row r="7" spans="1:87" ht="48" customHeight="1" x14ac:dyDescent="0.25">
      <c r="A7" s="210" t="s">
        <v>993</v>
      </c>
      <c r="B7" s="210">
        <v>972</v>
      </c>
      <c r="C7" s="211" t="s">
        <v>994</v>
      </c>
      <c r="D7" s="212" t="s">
        <v>995</v>
      </c>
      <c r="E7" s="213">
        <v>1079424837.6900001</v>
      </c>
      <c r="F7" s="217"/>
      <c r="G7" s="188" t="s">
        <v>14</v>
      </c>
      <c r="H7" s="214"/>
      <c r="I7" s="188" t="s">
        <v>996</v>
      </c>
      <c r="J7" s="188" t="s">
        <v>852</v>
      </c>
    </row>
    <row r="8" spans="1:87" ht="163.5" customHeight="1" x14ac:dyDescent="0.25">
      <c r="A8" s="210" t="s">
        <v>997</v>
      </c>
      <c r="B8" s="210">
        <v>976</v>
      </c>
      <c r="C8" s="211" t="s">
        <v>998</v>
      </c>
      <c r="D8" s="212" t="s">
        <v>999</v>
      </c>
      <c r="E8" s="213">
        <v>9853852874</v>
      </c>
      <c r="F8" s="212"/>
      <c r="G8" s="188" t="s">
        <v>14</v>
      </c>
      <c r="H8" s="214"/>
      <c r="I8" s="188"/>
      <c r="J8" s="188" t="s">
        <v>1000</v>
      </c>
    </row>
    <row r="9" spans="1:87" ht="153.94999999999999" customHeight="1" x14ac:dyDescent="0.25">
      <c r="A9" s="210" t="s">
        <v>1001</v>
      </c>
      <c r="B9" s="210">
        <v>974</v>
      </c>
      <c r="C9" s="211" t="s">
        <v>1002</v>
      </c>
      <c r="D9" s="212" t="s">
        <v>1003</v>
      </c>
      <c r="E9" s="213">
        <v>3575743773.4200001</v>
      </c>
      <c r="F9" s="212" t="s">
        <v>14</v>
      </c>
      <c r="G9" s="188"/>
      <c r="H9" s="214"/>
      <c r="I9" s="188"/>
      <c r="J9" s="188" t="s">
        <v>1004</v>
      </c>
    </row>
    <row r="10" spans="1:87" ht="136.5" customHeight="1" x14ac:dyDescent="0.25">
      <c r="A10" s="210" t="s">
        <v>1005</v>
      </c>
      <c r="B10" s="210">
        <v>978</v>
      </c>
      <c r="C10" s="211" t="s">
        <v>1006</v>
      </c>
      <c r="D10" s="212" t="s">
        <v>1007</v>
      </c>
      <c r="E10" s="213">
        <v>21377326903.080002</v>
      </c>
      <c r="F10" s="190" t="s">
        <v>14</v>
      </c>
      <c r="G10" s="188"/>
      <c r="H10" s="214"/>
      <c r="I10" s="188"/>
      <c r="J10" s="217" t="s">
        <v>1008</v>
      </c>
    </row>
    <row r="11" spans="1:87" ht="96" customHeight="1" x14ac:dyDescent="0.25">
      <c r="A11" s="210" t="s">
        <v>1009</v>
      </c>
      <c r="B11" s="210">
        <v>982</v>
      </c>
      <c r="C11" s="211" t="s">
        <v>1010</v>
      </c>
      <c r="D11" s="212" t="s">
        <v>1011</v>
      </c>
      <c r="E11" s="213">
        <v>2795800000</v>
      </c>
      <c r="F11" s="212"/>
      <c r="G11" s="188"/>
      <c r="H11" s="214" t="s">
        <v>885</v>
      </c>
      <c r="I11" s="188" t="s">
        <v>1012</v>
      </c>
      <c r="J11" s="188" t="s">
        <v>839</v>
      </c>
    </row>
    <row r="12" spans="1:87" ht="108.95" customHeight="1" x14ac:dyDescent="0.25">
      <c r="A12" s="210" t="s">
        <v>1013</v>
      </c>
      <c r="B12" s="210">
        <v>980</v>
      </c>
      <c r="C12" s="211" t="s">
        <v>1014</v>
      </c>
      <c r="D12" s="212" t="s">
        <v>1015</v>
      </c>
      <c r="E12" s="218">
        <v>21328469596.029999</v>
      </c>
      <c r="F12" s="212" t="s">
        <v>14</v>
      </c>
      <c r="G12" s="188"/>
      <c r="H12" s="214"/>
      <c r="I12" s="188"/>
      <c r="J12" s="210" t="s">
        <v>1016</v>
      </c>
    </row>
    <row r="13" spans="1:87" ht="45" x14ac:dyDescent="0.25">
      <c r="A13" s="210" t="s">
        <v>1017</v>
      </c>
      <c r="B13" s="210">
        <v>979</v>
      </c>
      <c r="C13" s="211" t="s">
        <v>1018</v>
      </c>
      <c r="D13" s="212" t="s">
        <v>1019</v>
      </c>
      <c r="E13" s="213">
        <v>2008390880.3199999</v>
      </c>
      <c r="F13" s="212"/>
      <c r="G13" s="188" t="s">
        <v>885</v>
      </c>
      <c r="H13" s="214"/>
      <c r="I13" s="188"/>
      <c r="J13" s="210" t="s">
        <v>983</v>
      </c>
    </row>
    <row r="14" spans="1:87" ht="54" x14ac:dyDescent="0.25">
      <c r="A14" s="210" t="s">
        <v>1020</v>
      </c>
      <c r="B14" s="210">
        <v>1021</v>
      </c>
      <c r="C14" s="211" t="s">
        <v>1021</v>
      </c>
      <c r="D14" s="212" t="s">
        <v>1022</v>
      </c>
      <c r="E14" s="213">
        <v>808685909.88999999</v>
      </c>
      <c r="F14" s="212"/>
      <c r="G14" s="188" t="s">
        <v>885</v>
      </c>
      <c r="H14" s="214"/>
      <c r="I14" s="188"/>
      <c r="J14" s="210" t="s">
        <v>1023</v>
      </c>
    </row>
    <row r="15" spans="1:87" ht="69" customHeight="1" x14ac:dyDescent="0.25">
      <c r="A15" s="210" t="s">
        <v>1024</v>
      </c>
      <c r="B15" s="210">
        <v>1916</v>
      </c>
      <c r="C15" s="211" t="s">
        <v>1025</v>
      </c>
      <c r="D15" s="212" t="s">
        <v>1026</v>
      </c>
      <c r="E15" s="213">
        <v>2569702214.9200001</v>
      </c>
      <c r="F15" s="212" t="s">
        <v>14</v>
      </c>
      <c r="G15" s="188"/>
      <c r="H15" s="214"/>
      <c r="I15" s="188"/>
      <c r="J15" s="188" t="s">
        <v>1027</v>
      </c>
    </row>
    <row r="16" spans="1:87" ht="48" customHeight="1" x14ac:dyDescent="0.25">
      <c r="A16" s="210" t="s">
        <v>1028</v>
      </c>
      <c r="B16" s="210">
        <v>2293</v>
      </c>
      <c r="C16" s="211" t="s">
        <v>1029</v>
      </c>
      <c r="D16" s="219" t="s">
        <v>1030</v>
      </c>
      <c r="E16" s="213">
        <v>5221217435</v>
      </c>
      <c r="F16" s="212" t="s">
        <v>14</v>
      </c>
      <c r="G16" s="188"/>
      <c r="H16" s="214"/>
      <c r="I16" s="188"/>
      <c r="J16" s="215" t="s">
        <v>1031</v>
      </c>
    </row>
    <row r="17" spans="1:10" ht="54" x14ac:dyDescent="0.25">
      <c r="A17" s="210" t="s">
        <v>1032</v>
      </c>
      <c r="B17" s="210">
        <v>2105</v>
      </c>
      <c r="C17" s="211" t="s">
        <v>1033</v>
      </c>
      <c r="D17" s="212" t="s">
        <v>1034</v>
      </c>
      <c r="E17" s="213">
        <v>37360660017</v>
      </c>
      <c r="F17" s="212" t="s">
        <v>14</v>
      </c>
      <c r="G17" s="188"/>
      <c r="H17" s="214"/>
      <c r="I17" s="188"/>
      <c r="J17" s="215" t="s">
        <v>1035</v>
      </c>
    </row>
    <row r="18" spans="1:10" ht="81" x14ac:dyDescent="0.25">
      <c r="A18" s="210" t="s">
        <v>1036</v>
      </c>
      <c r="B18" s="210" t="s">
        <v>1037</v>
      </c>
      <c r="C18" s="211" t="s">
        <v>1038</v>
      </c>
      <c r="D18" s="210" t="s">
        <v>1039</v>
      </c>
      <c r="E18" s="213">
        <v>7118256287</v>
      </c>
      <c r="F18" s="210" t="s">
        <v>14</v>
      </c>
      <c r="G18" s="220"/>
      <c r="H18" s="221"/>
      <c r="I18" s="220"/>
      <c r="J18" s="188" t="s">
        <v>1040</v>
      </c>
    </row>
    <row r="19" spans="1:10" ht="81" x14ac:dyDescent="0.25">
      <c r="A19" s="222" t="s">
        <v>1041</v>
      </c>
      <c r="B19" s="210">
        <v>958</v>
      </c>
      <c r="C19" s="223" t="s">
        <v>1042</v>
      </c>
      <c r="D19" s="212" t="s">
        <v>1043</v>
      </c>
      <c r="E19" s="224">
        <v>631739800</v>
      </c>
      <c r="F19" s="212"/>
      <c r="G19" s="188"/>
      <c r="H19" s="214" t="s">
        <v>885</v>
      </c>
      <c r="I19" s="188" t="s">
        <v>1044</v>
      </c>
      <c r="J19" s="188" t="s">
        <v>1045</v>
      </c>
    </row>
    <row r="20" spans="1:10" ht="126" x14ac:dyDescent="0.25">
      <c r="A20" s="222" t="s">
        <v>1046</v>
      </c>
      <c r="B20" s="210">
        <v>961</v>
      </c>
      <c r="C20" s="223" t="s">
        <v>1047</v>
      </c>
      <c r="D20" s="212" t="s">
        <v>1048</v>
      </c>
      <c r="E20" s="225">
        <v>115447369.04000001</v>
      </c>
      <c r="F20" s="212"/>
      <c r="G20" s="188" t="s">
        <v>885</v>
      </c>
      <c r="H20" s="214"/>
      <c r="I20" s="188"/>
      <c r="J20" s="188" t="s">
        <v>1049</v>
      </c>
    </row>
    <row r="21" spans="1:10" ht="324" x14ac:dyDescent="0.25">
      <c r="A21" s="222" t="s">
        <v>1050</v>
      </c>
      <c r="B21" s="210">
        <v>1684</v>
      </c>
      <c r="C21" s="223" t="s">
        <v>1051</v>
      </c>
      <c r="D21" s="212" t="s">
        <v>1052</v>
      </c>
      <c r="E21" s="224">
        <v>494928575</v>
      </c>
      <c r="F21" s="212" t="s">
        <v>14</v>
      </c>
      <c r="G21" s="188"/>
      <c r="H21" s="214"/>
      <c r="I21" s="188"/>
      <c r="J21" s="188" t="s">
        <v>1053</v>
      </c>
    </row>
    <row r="22" spans="1:10" ht="99" x14ac:dyDescent="0.25">
      <c r="A22" s="222" t="s">
        <v>1054</v>
      </c>
      <c r="B22" s="210">
        <v>1401</v>
      </c>
      <c r="C22" s="223" t="s">
        <v>1055</v>
      </c>
      <c r="D22" s="212" t="s">
        <v>1056</v>
      </c>
      <c r="E22" s="224">
        <v>78456934.079999998</v>
      </c>
      <c r="F22" s="212" t="s">
        <v>14</v>
      </c>
      <c r="G22" s="188"/>
      <c r="H22" s="214"/>
      <c r="I22" s="188"/>
      <c r="J22" s="188" t="s">
        <v>837</v>
      </c>
    </row>
    <row r="23" spans="1:10" ht="144" x14ac:dyDescent="0.25">
      <c r="A23" s="222" t="s">
        <v>1057</v>
      </c>
      <c r="B23" s="210">
        <v>1323</v>
      </c>
      <c r="C23" s="223" t="s">
        <v>1058</v>
      </c>
      <c r="D23" s="212" t="s">
        <v>1059</v>
      </c>
      <c r="E23" s="224">
        <v>195887737.69999999</v>
      </c>
      <c r="F23" s="212" t="s">
        <v>14</v>
      </c>
      <c r="G23" s="188"/>
      <c r="H23" s="214"/>
      <c r="I23" s="188" t="s">
        <v>1012</v>
      </c>
      <c r="J23" s="188" t="s">
        <v>839</v>
      </c>
    </row>
    <row r="24" spans="1:10" ht="171" x14ac:dyDescent="0.25">
      <c r="A24" s="222" t="s">
        <v>1060</v>
      </c>
      <c r="B24" s="210">
        <v>1525</v>
      </c>
      <c r="C24" s="223" t="s">
        <v>1061</v>
      </c>
      <c r="D24" s="212" t="s">
        <v>1056</v>
      </c>
      <c r="E24" s="224">
        <v>13728417.300000001</v>
      </c>
      <c r="F24" s="212"/>
      <c r="G24" s="188"/>
      <c r="H24" s="214" t="s">
        <v>14</v>
      </c>
      <c r="I24" s="188" t="s">
        <v>1062</v>
      </c>
      <c r="J24" s="188" t="s">
        <v>839</v>
      </c>
    </row>
    <row r="25" spans="1:10" ht="72" x14ac:dyDescent="0.25">
      <c r="A25" s="222" t="s">
        <v>1063</v>
      </c>
      <c r="B25" s="210">
        <v>1796</v>
      </c>
      <c r="C25" s="223" t="s">
        <v>1064</v>
      </c>
      <c r="D25" s="212" t="s">
        <v>1065</v>
      </c>
      <c r="E25" s="224">
        <v>140265734.31</v>
      </c>
      <c r="F25" s="212"/>
      <c r="G25" s="188" t="s">
        <v>14</v>
      </c>
      <c r="H25" s="214"/>
      <c r="I25" s="188"/>
      <c r="J25" s="210" t="s">
        <v>1066</v>
      </c>
    </row>
    <row r="26" spans="1:10" ht="81" x14ac:dyDescent="0.25">
      <c r="A26" s="210" t="s">
        <v>1067</v>
      </c>
      <c r="B26" s="210">
        <v>2100</v>
      </c>
      <c r="C26" s="211" t="s">
        <v>1068</v>
      </c>
      <c r="D26" s="212" t="s">
        <v>1069</v>
      </c>
      <c r="E26" s="213">
        <v>2615491440</v>
      </c>
      <c r="F26" s="212" t="s">
        <v>14</v>
      </c>
      <c r="G26" s="188"/>
      <c r="H26" s="214"/>
      <c r="I26" s="188"/>
      <c r="J26" s="215" t="s">
        <v>1070</v>
      </c>
    </row>
    <row r="27" spans="1:10" ht="36" x14ac:dyDescent="0.25">
      <c r="A27" s="226" t="s">
        <v>1071</v>
      </c>
      <c r="B27" s="210" t="s">
        <v>1071</v>
      </c>
      <c r="C27" s="211" t="s">
        <v>1072</v>
      </c>
      <c r="D27" s="212" t="s">
        <v>1073</v>
      </c>
      <c r="E27" s="218">
        <v>42355354.799999997</v>
      </c>
      <c r="F27" s="212"/>
      <c r="G27" s="188"/>
      <c r="H27" s="214" t="s">
        <v>885</v>
      </c>
      <c r="I27" s="188" t="s">
        <v>1074</v>
      </c>
      <c r="J27" s="188" t="s">
        <v>839</v>
      </c>
    </row>
    <row r="28" spans="1:10" ht="144" x14ac:dyDescent="0.25">
      <c r="A28" s="222" t="s">
        <v>1075</v>
      </c>
      <c r="B28" s="210" t="s">
        <v>1076</v>
      </c>
      <c r="C28" s="211" t="s">
        <v>1077</v>
      </c>
      <c r="D28" s="212" t="s">
        <v>1078</v>
      </c>
      <c r="E28" s="218">
        <v>235467108.5</v>
      </c>
      <c r="F28" s="188"/>
      <c r="G28" s="188"/>
      <c r="H28" s="188" t="s">
        <v>14</v>
      </c>
      <c r="I28" s="188" t="s">
        <v>1079</v>
      </c>
      <c r="J28" s="212" t="s">
        <v>839</v>
      </c>
    </row>
    <row r="29" spans="1:10" ht="45" x14ac:dyDescent="0.25">
      <c r="A29" s="188" t="s">
        <v>1080</v>
      </c>
      <c r="B29" s="210">
        <v>1946</v>
      </c>
      <c r="C29" s="211" t="s">
        <v>1081</v>
      </c>
      <c r="D29" s="212" t="s">
        <v>1082</v>
      </c>
      <c r="E29" s="227">
        <v>251739409</v>
      </c>
      <c r="F29" s="190"/>
      <c r="G29" s="205"/>
      <c r="H29" s="228" t="s">
        <v>14</v>
      </c>
      <c r="I29" s="205" t="s">
        <v>1083</v>
      </c>
      <c r="J29" s="212" t="s">
        <v>839</v>
      </c>
    </row>
    <row r="30" spans="1:10" ht="72" x14ac:dyDescent="0.25">
      <c r="A30" s="203" t="s">
        <v>1084</v>
      </c>
      <c r="B30" s="188">
        <v>2303</v>
      </c>
      <c r="C30" s="211" t="s">
        <v>1085</v>
      </c>
      <c r="D30" s="188" t="s">
        <v>1086</v>
      </c>
      <c r="E30" s="213">
        <v>365891840</v>
      </c>
      <c r="F30" s="229" t="s">
        <v>14</v>
      </c>
      <c r="G30" s="188"/>
      <c r="H30" s="230"/>
      <c r="I30" s="210"/>
      <c r="J30" s="188" t="s">
        <v>837</v>
      </c>
    </row>
    <row r="31" spans="1:10" ht="108" x14ac:dyDescent="0.25">
      <c r="A31" s="203" t="s">
        <v>1087</v>
      </c>
      <c r="B31" s="188"/>
      <c r="C31" s="211" t="s">
        <v>1088</v>
      </c>
      <c r="D31" s="188" t="s">
        <v>1089</v>
      </c>
      <c r="E31" s="213">
        <v>498823200</v>
      </c>
      <c r="F31" s="188" t="s">
        <v>1090</v>
      </c>
      <c r="G31" s="188"/>
      <c r="H31" s="231"/>
      <c r="I31" s="232"/>
      <c r="J31" s="229" t="s">
        <v>1070</v>
      </c>
    </row>
    <row r="32" spans="1:10" ht="36" x14ac:dyDescent="0.25">
      <c r="A32" s="203"/>
      <c r="B32" s="233" t="s">
        <v>1091</v>
      </c>
      <c r="C32" s="211" t="s">
        <v>1092</v>
      </c>
      <c r="D32" s="233" t="s">
        <v>1093</v>
      </c>
      <c r="E32" s="234">
        <v>462585225.23000002</v>
      </c>
      <c r="F32" s="229" t="s">
        <v>1090</v>
      </c>
      <c r="G32" s="188"/>
      <c r="H32" s="230"/>
      <c r="I32" s="210"/>
      <c r="J32" s="188" t="s">
        <v>1070</v>
      </c>
    </row>
  </sheetData>
  <mergeCells count="2">
    <mergeCell ref="A1:E1"/>
    <mergeCell ref="F1:J1"/>
  </mergeCells>
  <pageMargins left="0.70866141732283472" right="0.70866141732283472" top="0.74803149606299213" bottom="0.74803149606299213" header="0.31496062992125984" footer="0.31496062992125984"/>
  <pageSetup scale="70"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J19"/>
  <sheetViews>
    <sheetView workbookViewId="0">
      <selection activeCell="F7" sqref="F7"/>
    </sheetView>
  </sheetViews>
  <sheetFormatPr baseColWidth="10" defaultRowHeight="15" x14ac:dyDescent="0.25"/>
  <cols>
    <col min="2" max="2" width="10.5703125" customWidth="1"/>
    <col min="3" max="3" width="23.7109375" customWidth="1"/>
    <col min="4" max="4" width="11.7109375" customWidth="1"/>
    <col min="5" max="5" width="16.7109375" customWidth="1"/>
    <col min="6" max="6" width="9.85546875" customWidth="1"/>
    <col min="7" max="7" width="10" customWidth="1"/>
    <col min="8" max="8" width="10.42578125" customWidth="1"/>
    <col min="9" max="9" width="0" hidden="1" customWidth="1"/>
    <col min="10" max="10" width="14.7109375" customWidth="1"/>
  </cols>
  <sheetData>
    <row r="1" spans="1:10" x14ac:dyDescent="0.25">
      <c r="A1" s="367" t="s">
        <v>1094</v>
      </c>
      <c r="B1" s="367"/>
      <c r="C1" s="367"/>
      <c r="D1" s="367"/>
      <c r="E1" s="367"/>
      <c r="F1" s="367" t="s">
        <v>831</v>
      </c>
      <c r="G1" s="367"/>
      <c r="H1" s="367"/>
      <c r="I1" s="367"/>
      <c r="J1" s="367"/>
    </row>
    <row r="2" spans="1:10" ht="22.5" x14ac:dyDescent="0.25">
      <c r="A2" s="208" t="s">
        <v>832</v>
      </c>
      <c r="B2" s="208" t="s">
        <v>833</v>
      </c>
      <c r="C2" s="208" t="s">
        <v>834</v>
      </c>
      <c r="D2" s="208" t="s">
        <v>835</v>
      </c>
      <c r="E2" s="208" t="s">
        <v>836</v>
      </c>
      <c r="F2" s="208" t="s">
        <v>837</v>
      </c>
      <c r="G2" s="208" t="s">
        <v>838</v>
      </c>
      <c r="H2" s="208" t="s">
        <v>839</v>
      </c>
      <c r="I2" s="209" t="s">
        <v>840</v>
      </c>
      <c r="J2" s="209" t="s">
        <v>841</v>
      </c>
    </row>
    <row r="3" spans="1:10" ht="60" customHeight="1" x14ac:dyDescent="0.25">
      <c r="A3" s="235" t="s">
        <v>1095</v>
      </c>
      <c r="B3" s="235">
        <v>485</v>
      </c>
      <c r="C3" s="236" t="s">
        <v>1096</v>
      </c>
      <c r="D3" s="237" t="s">
        <v>1097</v>
      </c>
      <c r="E3" s="238">
        <v>694234432</v>
      </c>
      <c r="F3" s="239"/>
      <c r="G3" s="187" t="s">
        <v>14</v>
      </c>
      <c r="H3" s="187"/>
      <c r="I3" s="187"/>
      <c r="J3" s="240" t="s">
        <v>839</v>
      </c>
    </row>
    <row r="4" spans="1:10" ht="72" customHeight="1" x14ac:dyDescent="0.25">
      <c r="A4" s="235" t="s">
        <v>1098</v>
      </c>
      <c r="B4" s="239">
        <v>484</v>
      </c>
      <c r="C4" s="236" t="s">
        <v>1099</v>
      </c>
      <c r="D4" s="239" t="s">
        <v>1100</v>
      </c>
      <c r="E4" s="238">
        <v>1292528171</v>
      </c>
      <c r="F4" s="241" t="s">
        <v>14</v>
      </c>
      <c r="G4" s="241"/>
      <c r="H4" s="187"/>
      <c r="I4" s="187"/>
      <c r="J4" s="187" t="s">
        <v>837</v>
      </c>
    </row>
    <row r="5" spans="1:10" ht="62.25" customHeight="1" x14ac:dyDescent="0.25">
      <c r="A5" s="243" t="s">
        <v>1101</v>
      </c>
      <c r="B5" s="244" t="s">
        <v>1102</v>
      </c>
      <c r="C5" s="245" t="s">
        <v>1103</v>
      </c>
      <c r="D5" s="246" t="s">
        <v>1104</v>
      </c>
      <c r="E5" s="247">
        <v>2249610000.0999999</v>
      </c>
      <c r="F5" s="241" t="s">
        <v>885</v>
      </c>
      <c r="G5" s="241"/>
      <c r="H5" s="187"/>
      <c r="I5" s="187"/>
      <c r="J5" s="187" t="s">
        <v>1105</v>
      </c>
    </row>
    <row r="6" spans="1:10" ht="68.25" customHeight="1" x14ac:dyDescent="0.25">
      <c r="A6" s="243" t="s">
        <v>1106</v>
      </c>
      <c r="B6" s="244" t="s">
        <v>1107</v>
      </c>
      <c r="C6" s="245" t="s">
        <v>1108</v>
      </c>
      <c r="D6" s="246" t="s">
        <v>1109</v>
      </c>
      <c r="E6" s="247">
        <v>5881860052.9300003</v>
      </c>
      <c r="F6" s="241" t="s">
        <v>14</v>
      </c>
      <c r="G6" s="241"/>
      <c r="H6" s="187"/>
      <c r="I6" s="187"/>
      <c r="J6" s="242" t="s">
        <v>1110</v>
      </c>
    </row>
    <row r="7" spans="1:10" ht="54.75" customHeight="1" x14ac:dyDescent="0.25">
      <c r="A7" s="243" t="s">
        <v>1111</v>
      </c>
      <c r="B7" s="244" t="s">
        <v>1112</v>
      </c>
      <c r="C7" s="245" t="s">
        <v>1113</v>
      </c>
      <c r="D7" s="248" t="s">
        <v>1114</v>
      </c>
      <c r="E7" s="247">
        <v>1268359848</v>
      </c>
      <c r="F7" s="241" t="s">
        <v>14</v>
      </c>
      <c r="G7" s="241"/>
      <c r="H7" s="187"/>
      <c r="I7" s="187"/>
      <c r="J7" s="187" t="s">
        <v>837</v>
      </c>
    </row>
    <row r="8" spans="1:10" ht="81" customHeight="1" x14ac:dyDescent="0.25">
      <c r="A8" s="243" t="s">
        <v>1115</v>
      </c>
      <c r="B8" s="249" t="s">
        <v>1116</v>
      </c>
      <c r="C8" s="245" t="s">
        <v>1117</v>
      </c>
      <c r="D8" s="248" t="s">
        <v>1118</v>
      </c>
      <c r="E8" s="247">
        <v>721670906</v>
      </c>
      <c r="F8" s="241" t="s">
        <v>14</v>
      </c>
      <c r="G8" s="241"/>
      <c r="H8" s="187"/>
      <c r="I8" s="187"/>
      <c r="J8" s="187" t="s">
        <v>837</v>
      </c>
    </row>
    <row r="9" spans="1:10" ht="101.25" x14ac:dyDescent="0.25">
      <c r="A9" s="244" t="s">
        <v>1119</v>
      </c>
      <c r="B9" s="249" t="s">
        <v>1120</v>
      </c>
      <c r="C9" s="250" t="s">
        <v>1121</v>
      </c>
      <c r="D9" s="249" t="s">
        <v>1122</v>
      </c>
      <c r="E9" s="247">
        <v>407735070</v>
      </c>
      <c r="F9" s="241" t="s">
        <v>14</v>
      </c>
      <c r="G9" s="241"/>
      <c r="H9" s="187"/>
      <c r="I9" s="187"/>
      <c r="J9" s="187" t="s">
        <v>1070</v>
      </c>
    </row>
    <row r="10" spans="1:10" ht="108.75" customHeight="1" x14ac:dyDescent="0.25">
      <c r="A10" s="244" t="s">
        <v>1123</v>
      </c>
      <c r="B10" s="249" t="s">
        <v>1124</v>
      </c>
      <c r="C10" s="250" t="s">
        <v>1161</v>
      </c>
      <c r="D10" s="249" t="s">
        <v>1125</v>
      </c>
      <c r="E10" s="247">
        <v>69107000</v>
      </c>
      <c r="F10" s="241" t="s">
        <v>14</v>
      </c>
      <c r="G10" s="241"/>
      <c r="H10" s="187"/>
      <c r="I10" s="187"/>
      <c r="J10" s="187" t="s">
        <v>837</v>
      </c>
    </row>
    <row r="11" spans="1:10" ht="123.75" x14ac:dyDescent="0.25">
      <c r="A11" s="244" t="s">
        <v>1126</v>
      </c>
      <c r="B11" s="249" t="s">
        <v>1127</v>
      </c>
      <c r="C11" s="250" t="s">
        <v>1128</v>
      </c>
      <c r="D11" s="249" t="s">
        <v>1125</v>
      </c>
      <c r="E11" s="247">
        <v>40930571</v>
      </c>
      <c r="F11" s="241" t="s">
        <v>14</v>
      </c>
      <c r="G11" s="241"/>
      <c r="H11" s="187"/>
      <c r="I11" s="187"/>
      <c r="J11" s="187" t="s">
        <v>837</v>
      </c>
    </row>
    <row r="12" spans="1:10" ht="90" x14ac:dyDescent="0.25">
      <c r="A12" s="244" t="s">
        <v>1129</v>
      </c>
      <c r="B12" s="249" t="s">
        <v>1129</v>
      </c>
      <c r="C12" s="250" t="s">
        <v>1130</v>
      </c>
      <c r="D12" s="249" t="s">
        <v>1131</v>
      </c>
      <c r="E12" s="247">
        <v>35953252</v>
      </c>
      <c r="F12" s="241"/>
      <c r="G12" s="241"/>
      <c r="H12" s="187" t="s">
        <v>14</v>
      </c>
      <c r="I12" s="187"/>
      <c r="J12" s="187" t="s">
        <v>839</v>
      </c>
    </row>
    <row r="13" spans="1:10" ht="101.25" x14ac:dyDescent="0.25">
      <c r="A13" s="244" t="s">
        <v>1132</v>
      </c>
      <c r="B13" s="249" t="s">
        <v>1132</v>
      </c>
      <c r="C13" s="250" t="s">
        <v>1133</v>
      </c>
      <c r="D13" s="249" t="s">
        <v>1134</v>
      </c>
      <c r="E13" s="247">
        <v>41220344.880000003</v>
      </c>
      <c r="F13" s="241" t="s">
        <v>14</v>
      </c>
      <c r="G13" s="241"/>
      <c r="H13" s="187"/>
      <c r="I13" s="187"/>
      <c r="J13" s="187" t="s">
        <v>837</v>
      </c>
    </row>
    <row r="14" spans="1:10" ht="56.25" x14ac:dyDescent="0.25">
      <c r="A14" s="187" t="s">
        <v>1135</v>
      </c>
      <c r="B14" s="187" t="s">
        <v>1136</v>
      </c>
      <c r="C14" s="245" t="s">
        <v>1137</v>
      </c>
      <c r="D14" s="240" t="s">
        <v>1138</v>
      </c>
      <c r="E14" s="251">
        <v>999894511</v>
      </c>
      <c r="F14" s="252"/>
      <c r="G14" s="252"/>
      <c r="H14" s="252"/>
      <c r="I14" s="252"/>
      <c r="J14" s="187" t="s">
        <v>1139</v>
      </c>
    </row>
    <row r="15" spans="1:10" ht="78.75" x14ac:dyDescent="0.25">
      <c r="A15" s="240" t="s">
        <v>1140</v>
      </c>
      <c r="B15" s="187" t="s">
        <v>1141</v>
      </c>
      <c r="C15" s="245" t="s">
        <v>1142</v>
      </c>
      <c r="D15" s="240" t="s">
        <v>1143</v>
      </c>
      <c r="E15" s="251">
        <v>27182089068</v>
      </c>
      <c r="F15" s="252"/>
      <c r="G15" s="252"/>
      <c r="H15" s="252"/>
      <c r="I15" s="252"/>
      <c r="J15" s="187" t="s">
        <v>1144</v>
      </c>
    </row>
    <row r="16" spans="1:10" ht="168.75" x14ac:dyDescent="0.25">
      <c r="A16" s="240" t="s">
        <v>1145</v>
      </c>
      <c r="B16" s="187" t="s">
        <v>1146</v>
      </c>
      <c r="C16" s="245" t="s">
        <v>1147</v>
      </c>
      <c r="D16" s="240" t="s">
        <v>1148</v>
      </c>
      <c r="E16" s="251">
        <v>2862228281</v>
      </c>
      <c r="F16" s="252"/>
      <c r="G16" s="252"/>
      <c r="H16" s="252"/>
      <c r="I16" s="252"/>
      <c r="J16" s="187" t="s">
        <v>1105</v>
      </c>
    </row>
    <row r="17" spans="1:10" ht="90" x14ac:dyDescent="0.25">
      <c r="A17" s="187" t="s">
        <v>1149</v>
      </c>
      <c r="B17" s="187" t="s">
        <v>1150</v>
      </c>
      <c r="C17" s="245" t="s">
        <v>1151</v>
      </c>
      <c r="D17" s="240" t="s">
        <v>1152</v>
      </c>
      <c r="E17" s="251">
        <v>17986013830</v>
      </c>
      <c r="F17" s="187"/>
      <c r="G17" s="187"/>
      <c r="H17" s="187"/>
      <c r="I17" s="187"/>
      <c r="J17" s="187" t="s">
        <v>1139</v>
      </c>
    </row>
    <row r="18" spans="1:10" ht="123.75" x14ac:dyDescent="0.25">
      <c r="A18" s="187" t="s">
        <v>1153</v>
      </c>
      <c r="B18" s="187" t="s">
        <v>1154</v>
      </c>
      <c r="C18" s="245" t="s">
        <v>1155</v>
      </c>
      <c r="D18" s="187" t="s">
        <v>1156</v>
      </c>
      <c r="E18" s="251">
        <v>1306548773</v>
      </c>
      <c r="F18" s="187"/>
      <c r="G18" s="187"/>
      <c r="H18" s="187"/>
      <c r="I18" s="187"/>
      <c r="J18" s="187" t="s">
        <v>1139</v>
      </c>
    </row>
    <row r="19" spans="1:10" ht="118.5" customHeight="1" x14ac:dyDescent="0.25">
      <c r="A19" s="187" t="s">
        <v>1157</v>
      </c>
      <c r="B19" s="187" t="s">
        <v>1158</v>
      </c>
      <c r="C19" s="245" t="s">
        <v>1159</v>
      </c>
      <c r="D19" s="240" t="s">
        <v>1160</v>
      </c>
      <c r="E19" s="251">
        <v>1904457</v>
      </c>
      <c r="F19" s="187"/>
      <c r="G19" s="187"/>
      <c r="H19" s="187"/>
      <c r="I19" s="187"/>
      <c r="J19" s="187" t="s">
        <v>837</v>
      </c>
    </row>
  </sheetData>
  <mergeCells count="2">
    <mergeCell ref="A1:E1"/>
    <mergeCell ref="F1:J1"/>
  </mergeCells>
  <pageMargins left="0.70866141732283472" right="0.70866141732283472" top="0.74803149606299213" bottom="0.74803149606299213" header="0.31496062992125984" footer="0.31496062992125984"/>
  <pageSetup scale="70"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F8"/>
  <sheetViews>
    <sheetView tabSelected="1" zoomScale="70" zoomScaleNormal="70" workbookViewId="0">
      <selection activeCell="H4" sqref="H4"/>
    </sheetView>
  </sheetViews>
  <sheetFormatPr baseColWidth="10" defaultRowHeight="15" x14ac:dyDescent="0.25"/>
  <cols>
    <col min="1" max="1" width="20.42578125" style="41" customWidth="1"/>
    <col min="2" max="2" width="41.7109375" style="41" customWidth="1"/>
    <col min="3" max="3" width="16.7109375" style="41" customWidth="1"/>
    <col min="4" max="4" width="15.140625" style="41" customWidth="1"/>
    <col min="5" max="5" width="15.28515625" style="41" customWidth="1"/>
    <col min="6" max="6" width="18.5703125" style="41" customWidth="1"/>
    <col min="7" max="16384" width="11.42578125" style="41"/>
  </cols>
  <sheetData>
    <row r="1" spans="1:6" ht="36" customHeight="1" x14ac:dyDescent="0.25">
      <c r="A1" s="368" t="s">
        <v>1162</v>
      </c>
      <c r="B1" s="368"/>
      <c r="C1" s="368"/>
      <c r="D1" s="368"/>
      <c r="E1" s="368"/>
      <c r="F1" s="368"/>
    </row>
    <row r="2" spans="1:6" ht="30" x14ac:dyDescent="0.25">
      <c r="A2" s="267" t="s">
        <v>832</v>
      </c>
      <c r="B2" s="267" t="s">
        <v>834</v>
      </c>
      <c r="C2" s="267" t="s">
        <v>1163</v>
      </c>
      <c r="D2" s="267" t="s">
        <v>1164</v>
      </c>
      <c r="E2" s="267" t="s">
        <v>1165</v>
      </c>
      <c r="F2" s="267" t="s">
        <v>1166</v>
      </c>
    </row>
    <row r="3" spans="1:6" ht="105.75" customHeight="1" x14ac:dyDescent="0.25">
      <c r="A3" s="253" t="s">
        <v>1167</v>
      </c>
      <c r="B3" s="254" t="s">
        <v>1168</v>
      </c>
      <c r="C3" s="255">
        <v>42332</v>
      </c>
      <c r="D3" s="256" t="s">
        <v>1169</v>
      </c>
      <c r="E3" s="255">
        <v>42340</v>
      </c>
      <c r="F3" s="255">
        <v>42355</v>
      </c>
    </row>
    <row r="4" spans="1:6" ht="124.5" customHeight="1" x14ac:dyDescent="0.25">
      <c r="A4" s="253" t="s">
        <v>1170</v>
      </c>
      <c r="B4" s="254" t="s">
        <v>1171</v>
      </c>
      <c r="C4" s="255">
        <v>42338</v>
      </c>
      <c r="D4" s="256" t="s">
        <v>1172</v>
      </c>
      <c r="E4" s="255">
        <v>42342</v>
      </c>
      <c r="F4" s="255">
        <v>42352</v>
      </c>
    </row>
    <row r="5" spans="1:6" ht="82.5" customHeight="1" x14ac:dyDescent="0.25">
      <c r="A5" s="253" t="s">
        <v>1173</v>
      </c>
      <c r="B5" s="254" t="s">
        <v>1174</v>
      </c>
      <c r="C5" s="255">
        <v>42345</v>
      </c>
      <c r="D5" s="256" t="s">
        <v>1172</v>
      </c>
      <c r="E5" s="255">
        <v>42354</v>
      </c>
      <c r="F5" s="255">
        <v>42366</v>
      </c>
    </row>
    <row r="6" spans="1:6" ht="114" x14ac:dyDescent="0.25">
      <c r="A6" s="253" t="s">
        <v>1175</v>
      </c>
      <c r="B6" s="254" t="s">
        <v>1176</v>
      </c>
      <c r="C6" s="255">
        <v>42347</v>
      </c>
      <c r="D6" s="256" t="s">
        <v>1172</v>
      </c>
      <c r="E6" s="255">
        <v>42355</v>
      </c>
      <c r="F6" s="255">
        <v>42367</v>
      </c>
    </row>
    <row r="7" spans="1:6" ht="122.25" customHeight="1" x14ac:dyDescent="0.25">
      <c r="A7" s="257" t="s">
        <v>1177</v>
      </c>
      <c r="B7" s="254" t="s">
        <v>1178</v>
      </c>
      <c r="C7" s="255">
        <v>42347</v>
      </c>
      <c r="D7" s="256" t="s">
        <v>1172</v>
      </c>
      <c r="E7" s="255">
        <v>42355</v>
      </c>
      <c r="F7" s="255">
        <v>42367</v>
      </c>
    </row>
    <row r="8" spans="1:6" ht="116.25" customHeight="1" x14ac:dyDescent="0.25">
      <c r="A8" s="253" t="s">
        <v>1179</v>
      </c>
      <c r="B8" s="254" t="s">
        <v>1180</v>
      </c>
      <c r="C8" s="255">
        <v>42347</v>
      </c>
      <c r="D8" s="256" t="s">
        <v>1172</v>
      </c>
      <c r="E8" s="255">
        <v>42355</v>
      </c>
      <c r="F8" s="255">
        <v>42367</v>
      </c>
    </row>
  </sheetData>
  <mergeCells count="1">
    <mergeCell ref="A1:F1"/>
  </mergeCells>
  <pageMargins left="0.70866141732283472" right="0.70866141732283472" top="0.74803149606299213" bottom="0.74803149606299213" header="0.31496062992125984" footer="0.31496062992125984"/>
  <pageSetup scale="7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C4"/>
  <sheetViews>
    <sheetView workbookViewId="0">
      <selection activeCell="B3" sqref="B3"/>
    </sheetView>
  </sheetViews>
  <sheetFormatPr baseColWidth="10" defaultRowHeight="15" x14ac:dyDescent="0.25"/>
  <cols>
    <col min="1" max="1" width="19.7109375" style="41" customWidth="1"/>
    <col min="2" max="2" width="86.5703125" style="41" customWidth="1"/>
    <col min="3" max="3" width="24.85546875" style="41" customWidth="1"/>
    <col min="4" max="16384" width="11.42578125" style="41"/>
  </cols>
  <sheetData>
    <row r="1" spans="1:3" ht="25.5" customHeight="1" x14ac:dyDescent="0.25">
      <c r="A1" s="258" t="s">
        <v>1181</v>
      </c>
      <c r="B1" s="258" t="s">
        <v>1182</v>
      </c>
      <c r="C1" s="258" t="s">
        <v>1183</v>
      </c>
    </row>
    <row r="2" spans="1:3" ht="180.75" customHeight="1" x14ac:dyDescent="0.25">
      <c r="A2" s="259" t="s">
        <v>1184</v>
      </c>
      <c r="B2" s="266" t="s">
        <v>1198</v>
      </c>
      <c r="C2" s="261" t="s">
        <v>1185</v>
      </c>
    </row>
    <row r="3" spans="1:3" ht="408.75" customHeight="1" x14ac:dyDescent="0.25">
      <c r="A3" s="259" t="s">
        <v>1184</v>
      </c>
      <c r="B3" s="266" t="s">
        <v>1199</v>
      </c>
      <c r="C3" s="261" t="s">
        <v>1186</v>
      </c>
    </row>
    <row r="4" spans="1:3" ht="224.25" customHeight="1" x14ac:dyDescent="0.25">
      <c r="A4" s="262"/>
      <c r="B4" s="260" t="s">
        <v>1187</v>
      </c>
      <c r="C4" s="263" t="s">
        <v>1188</v>
      </c>
    </row>
  </sheetData>
  <pageMargins left="0.70866141732283472" right="0.70866141732283472" top="0.74803149606299213" bottom="0.74803149606299213" header="0.31496062992125984" footer="0.31496062992125984"/>
  <pageSetup scale="9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1. INFRAESTRUCTURA TPTE</vt:lpstr>
      <vt:lpstr>2. INVERSION VIAL</vt:lpstr>
      <vt:lpstr>3. RED VIAL DPTAL</vt:lpstr>
      <vt:lpstr>4.1 CONTRATOS 2012</vt:lpstr>
      <vt:lpstr>4.2 CONTRATOS 2013</vt:lpstr>
      <vt:lpstr>4.3 CONTRATOS 2014</vt:lpstr>
      <vt:lpstr>4.4 CONTRATOS 2015</vt:lpstr>
      <vt:lpstr>5. PROCESOS SELECCION</vt:lpstr>
      <vt:lpstr>6,1 DELEGACIONES</vt:lpstr>
      <vt:lpstr>6.2 REPRESENTACIONES</vt:lpstr>
      <vt:lpstr>'1. INFRAESTRUCTURA TPTE'!Títulos_a_imprimir</vt:lpstr>
      <vt:lpstr>'2. INVERSION VIAL'!Títulos_a_imprimir</vt:lpstr>
      <vt:lpstr>'4.1 CONTRATOS 2012'!Títulos_a_imprimir</vt:lpstr>
      <vt:lpstr>'4.2 CONTRATOS 2013'!Títulos_a_imprimir</vt:lpstr>
      <vt:lpstr>'4.3 CONTRATOS 2014'!Títulos_a_imprimir</vt:lpstr>
      <vt:lpstr>'4.4 CONTRATOS 2015'!Títulos_a_imprimir</vt:lpstr>
      <vt:lpstr>'6,1 DELEGACIONES'!Títulos_a_imprimir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mospino</dc:creator>
  <cp:lastModifiedBy>Jorge Campos</cp:lastModifiedBy>
  <cp:lastPrinted>2015-11-26T16:52:26Z</cp:lastPrinted>
  <dcterms:created xsi:type="dcterms:W3CDTF">2015-10-21T19:40:25Z</dcterms:created>
  <dcterms:modified xsi:type="dcterms:W3CDTF">2015-11-27T01:00:43Z</dcterms:modified>
</cp:coreProperties>
</file>