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ivotTables/pivotTable1.xml" ContentType="application/vnd.openxmlformats-officedocument.spreadsheetml.pivotTable+xml"/>
  <Override PartName="/xl/drawings/drawing1.xml" ContentType="application/vnd.openxmlformats-officedocument.drawing+xml"/>
  <Override PartName="/xl/comments3.xml" ContentType="application/vnd.openxmlformats-officedocument.spreadsheetml.comments+xml"/>
  <Override PartName="/xl/pivotTables/pivotTable2.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4.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5.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6.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7.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8.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G:\PAGINA GOB\Secretaria de Planeación\"/>
    </mc:Choice>
  </mc:AlternateContent>
  <xr:revisionPtr revIDLastSave="0" documentId="8_{2EBF2745-6082-48EB-9876-5379A45213EF}" xr6:coauthVersionLast="45" xr6:coauthVersionMax="45" xr10:uidLastSave="{00000000-0000-0000-0000-000000000000}"/>
  <bookViews>
    <workbookView xWindow="-120" yWindow="-120" windowWidth="24240" windowHeight="13140" activeTab="3" xr2:uid="{A2B295A0-9F30-463F-9DF8-264BD32A0234}"/>
  </bookViews>
  <sheets>
    <sheet name="Fuente" sheetId="1" r:id="rId1"/>
    <sheet name="RESUMEN" sheetId="4" r:id="rId2"/>
    <sheet name="tabladincumpli" sheetId="3" state="hidden" r:id="rId3"/>
    <sheet name="CUMPLIMIENTO " sheetId="24" r:id="rId4"/>
    <sheet name="METAS POR AÑO" sheetId="40" state="hidden" r:id="rId5"/>
    <sheet name="CUMPLIMIENTO_TOTAL" sheetId="32" r:id="rId6"/>
    <sheet name="CUMPLIMIENTO_EJE1" sheetId="34" r:id="rId7"/>
    <sheet name="CUMPLIMIENTO_EJE2" sheetId="35" r:id="rId8"/>
    <sheet name="CUMPLIMIENTO_EJE3" sheetId="36" r:id="rId9"/>
    <sheet name="CUMPLIMIENTO_EJE4" sheetId="37" r:id="rId10"/>
    <sheet name="CUMPLIMIENTO_EJE5" sheetId="38" r:id="rId11"/>
    <sheet name="CUMPLIMIENTO_EJE6" sheetId="39" r:id="rId12"/>
    <sheet name="ESRI_MAPINFO_SHEET" sheetId="2" state="veryHidden" r:id="rId13"/>
  </sheets>
  <externalReferences>
    <externalReference r:id="rId14"/>
    <externalReference r:id="rId15"/>
  </externalReferences>
  <definedNames>
    <definedName name="_xlnm._FilterDatabase" localSheetId="3" hidden="1">'CUMPLIMIENTO '!$A$9:$H$155</definedName>
    <definedName name="_xlnm._FilterDatabase" localSheetId="6" hidden="1">CUMPLIMIENTO_EJE1!$A$9:$G$155</definedName>
    <definedName name="_xlnm._FilterDatabase" localSheetId="7" hidden="1">CUMPLIMIENTO_EJE2!$A$9:$G$155</definedName>
    <definedName name="_xlnm._FilterDatabase" localSheetId="8" hidden="1">CUMPLIMIENTO_EJE3!$A$9:$G$155</definedName>
    <definedName name="_xlnm._FilterDatabase" localSheetId="9" hidden="1">CUMPLIMIENTO_EJE4!$A$9:$G$155</definedName>
    <definedName name="_xlnm._FilterDatabase" localSheetId="10" hidden="1">CUMPLIMIENTO_EJE5!$A$9:$G$155</definedName>
    <definedName name="_xlnm._FilterDatabase" localSheetId="11" hidden="1">CUMPLIMIENTO_EJE6!$A$9:$G$155</definedName>
    <definedName name="_xlnm._FilterDatabase" localSheetId="5" hidden="1">CUMPLIMIENTO_TOTAL!$A$9:$G$155</definedName>
    <definedName name="_xlnm._FilterDatabase" localSheetId="0" hidden="1">Fuente!$A$13:$CE$566</definedName>
    <definedName name="_xlnm._FilterDatabase" localSheetId="1" hidden="1">RESUMEN!$A$9:$AJ$563</definedName>
    <definedName name="CodSec">[1]Listas!$C$4:$C$21</definedName>
    <definedName name="Matriz">#REF!</definedName>
    <definedName name="ODS">[1]Listas!$G$3:$G$19</definedName>
    <definedName name="Resultados">#REF!</definedName>
    <definedName name="Sector">[1]Listas!$B$4:$B$21</definedName>
    <definedName name="TipoMeta">[1]Listas!$K$3:$K$5</definedName>
    <definedName name="_xlnm.Print_Titles" localSheetId="3">'CUMPLIMIENTO '!$3:$9</definedName>
    <definedName name="_xlnm.Print_Titles" localSheetId="1">RESUMEN!$5:$9</definedName>
  </definedNames>
  <calcPr calcId="191029"/>
  <pivotCaches>
    <pivotCache cacheId="0" r:id="rId16"/>
    <pivotCache cacheId="1"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T567" i="1" l="1"/>
  <c r="AT563" i="1"/>
  <c r="AT562" i="1"/>
  <c r="AT561" i="1"/>
  <c r="AT560" i="1"/>
  <c r="AT559" i="1"/>
  <c r="AT558" i="1"/>
  <c r="AT557" i="1"/>
  <c r="AT556" i="1"/>
  <c r="AT555" i="1"/>
  <c r="AT554" i="1"/>
  <c r="AT553" i="1"/>
  <c r="AT552" i="1"/>
  <c r="AT551" i="1"/>
  <c r="AT550" i="1"/>
  <c r="AT549" i="1"/>
  <c r="AT548" i="1"/>
  <c r="AT547" i="1"/>
  <c r="AT546" i="1"/>
  <c r="AT545" i="1"/>
  <c r="AT544" i="1"/>
  <c r="AT543" i="1"/>
  <c r="AT542" i="1"/>
  <c r="AT541" i="1"/>
  <c r="AT540" i="1"/>
  <c r="AT539" i="1"/>
  <c r="AT538" i="1"/>
  <c r="AT537" i="1"/>
  <c r="AT536" i="1"/>
  <c r="AT535" i="1"/>
  <c r="AT534" i="1"/>
  <c r="AT533" i="1"/>
  <c r="AT532" i="1"/>
  <c r="AT531" i="1"/>
  <c r="AT530" i="1"/>
  <c r="AT529" i="1"/>
  <c r="AT528" i="1"/>
  <c r="AT527" i="1"/>
  <c r="AT526" i="1"/>
  <c r="AT525" i="1"/>
  <c r="AT524" i="1"/>
  <c r="AT523" i="1"/>
  <c r="AT522" i="1"/>
  <c r="AT521" i="1"/>
  <c r="AT520" i="1"/>
  <c r="AT519" i="1"/>
  <c r="AT518" i="1"/>
  <c r="AT517" i="1"/>
  <c r="AT516" i="1"/>
  <c r="AT515" i="1"/>
  <c r="AT514" i="1"/>
  <c r="AT513" i="1"/>
  <c r="AT512" i="1"/>
  <c r="AT511" i="1"/>
  <c r="AT510" i="1"/>
  <c r="AT509" i="1"/>
  <c r="AT508" i="1"/>
  <c r="AT507" i="1"/>
  <c r="AT506" i="1"/>
  <c r="AT505" i="1"/>
  <c r="AT504" i="1"/>
  <c r="AT503" i="1"/>
  <c r="AT502" i="1"/>
  <c r="AT501" i="1"/>
  <c r="AT500" i="1"/>
  <c r="AT499" i="1"/>
  <c r="AT498" i="1"/>
  <c r="AT497" i="1"/>
  <c r="AT496" i="1"/>
  <c r="AT495" i="1"/>
  <c r="AT494" i="1"/>
  <c r="AT493" i="1"/>
  <c r="AT492" i="1"/>
  <c r="AT491" i="1"/>
  <c r="AT490" i="1"/>
  <c r="AT489" i="1"/>
  <c r="AT488" i="1"/>
  <c r="AT487" i="1"/>
  <c r="AT486" i="1"/>
  <c r="AT485" i="1"/>
  <c r="AT484" i="1"/>
  <c r="AT483" i="1"/>
  <c r="AT482" i="1"/>
  <c r="AT481" i="1"/>
  <c r="AT480" i="1"/>
  <c r="AT479" i="1"/>
  <c r="AT478" i="1"/>
  <c r="AT477" i="1"/>
  <c r="AT476" i="1"/>
  <c r="AT475" i="1"/>
  <c r="AT474" i="1"/>
  <c r="AT473" i="1"/>
  <c r="AT472" i="1"/>
  <c r="AT471" i="1"/>
  <c r="AT470" i="1"/>
  <c r="AT469" i="1"/>
  <c r="AT468" i="1"/>
  <c r="AT467" i="1"/>
  <c r="AT466" i="1"/>
  <c r="AT465" i="1"/>
  <c r="AT464" i="1"/>
  <c r="AT463" i="1"/>
  <c r="AT462" i="1"/>
  <c r="AT461" i="1"/>
  <c r="AT460" i="1"/>
  <c r="AT459" i="1"/>
  <c r="AT458" i="1"/>
  <c r="AT457" i="1"/>
  <c r="AT456" i="1"/>
  <c r="AT455" i="1"/>
  <c r="AT454" i="1"/>
  <c r="AT453" i="1"/>
  <c r="AT452" i="1"/>
  <c r="AT451" i="1"/>
  <c r="AT450" i="1"/>
  <c r="AT449" i="1"/>
  <c r="AT448" i="1"/>
  <c r="AT447" i="1"/>
  <c r="AT446" i="1"/>
  <c r="AT445" i="1"/>
  <c r="AT444" i="1"/>
  <c r="AT443" i="1"/>
  <c r="AT442" i="1"/>
  <c r="AT441" i="1"/>
  <c r="AT440" i="1"/>
  <c r="AT439" i="1"/>
  <c r="AT438" i="1"/>
  <c r="AT437" i="1"/>
  <c r="AT436" i="1"/>
  <c r="AT435" i="1"/>
  <c r="AT434" i="1"/>
  <c r="AT433" i="1"/>
  <c r="AT432" i="1"/>
  <c r="AT431" i="1"/>
  <c r="AT430" i="1"/>
  <c r="AT429" i="1"/>
  <c r="AT428" i="1"/>
  <c r="AT427" i="1"/>
  <c r="AT426" i="1"/>
  <c r="AT425" i="1"/>
  <c r="AT424" i="1"/>
  <c r="AT423" i="1"/>
  <c r="AT422" i="1"/>
  <c r="AT421" i="1"/>
  <c r="AT420" i="1"/>
  <c r="AT419" i="1"/>
  <c r="AT418" i="1"/>
  <c r="AT417" i="1"/>
  <c r="AT416" i="1"/>
  <c r="AT415" i="1"/>
  <c r="AT414" i="1"/>
  <c r="AT413" i="1"/>
  <c r="AT412" i="1"/>
  <c r="AT411" i="1"/>
  <c r="AT410" i="1"/>
  <c r="AT409" i="1"/>
  <c r="AT408" i="1"/>
  <c r="AT407" i="1"/>
  <c r="AT406" i="1"/>
  <c r="AT405" i="1"/>
  <c r="AT404" i="1"/>
  <c r="AT403" i="1"/>
  <c r="AT402" i="1"/>
  <c r="AT401" i="1"/>
  <c r="AT400" i="1"/>
  <c r="AT399" i="1"/>
  <c r="AT398" i="1"/>
  <c r="AT397" i="1"/>
  <c r="AT396" i="1"/>
  <c r="AT395" i="1"/>
  <c r="AT394" i="1"/>
  <c r="AT393" i="1"/>
  <c r="AT392" i="1"/>
  <c r="AT391" i="1"/>
  <c r="AT390" i="1"/>
  <c r="AT389" i="1"/>
  <c r="AT388" i="1"/>
  <c r="AT387" i="1"/>
  <c r="AT386" i="1"/>
  <c r="AT385" i="1"/>
  <c r="AT384" i="1"/>
  <c r="AT383" i="1"/>
  <c r="AT382" i="1"/>
  <c r="AT381" i="1"/>
  <c r="AT380" i="1"/>
  <c r="AT379" i="1"/>
  <c r="AT378" i="1"/>
  <c r="AT377" i="1"/>
  <c r="AT376" i="1"/>
  <c r="AT375" i="1"/>
  <c r="AT374" i="1"/>
  <c r="AT373" i="1"/>
  <c r="AT372" i="1"/>
  <c r="AT371" i="1"/>
  <c r="AT370" i="1"/>
  <c r="AT369" i="1"/>
  <c r="AT368" i="1"/>
  <c r="AT367" i="1"/>
  <c r="AT366" i="1"/>
  <c r="AT365" i="1"/>
  <c r="AT364" i="1"/>
  <c r="AT363" i="1"/>
  <c r="AT362" i="1"/>
  <c r="AT361" i="1"/>
  <c r="AT360" i="1"/>
  <c r="AT359" i="1"/>
  <c r="AT358" i="1"/>
  <c r="AT357" i="1"/>
  <c r="AT356" i="1"/>
  <c r="AT355" i="1"/>
  <c r="AT354" i="1"/>
  <c r="AT353" i="1"/>
  <c r="AT352" i="1"/>
  <c r="AT351" i="1"/>
  <c r="AT350" i="1"/>
  <c r="AT349" i="1"/>
  <c r="AT348" i="1"/>
  <c r="AT347" i="1"/>
  <c r="AT346" i="1"/>
  <c r="AT345" i="1"/>
  <c r="AT344" i="1"/>
  <c r="AT343" i="1"/>
  <c r="AT342" i="1"/>
  <c r="AT341" i="1"/>
  <c r="AT340" i="1"/>
  <c r="AT339" i="1"/>
  <c r="AT338" i="1"/>
  <c r="AT337" i="1"/>
  <c r="AT336" i="1"/>
  <c r="AT335" i="1"/>
  <c r="AT334" i="1"/>
  <c r="AT333" i="1"/>
  <c r="AT332" i="1"/>
  <c r="AT331" i="1"/>
  <c r="AT330" i="1"/>
  <c r="AT329" i="1"/>
  <c r="AT328" i="1"/>
  <c r="AT327" i="1"/>
  <c r="AT326" i="1"/>
  <c r="AT325" i="1"/>
  <c r="AT324" i="1"/>
  <c r="AT323" i="1"/>
  <c r="AT322" i="1"/>
  <c r="AT321" i="1"/>
  <c r="AT320" i="1"/>
  <c r="AT319" i="1"/>
  <c r="AT318" i="1"/>
  <c r="AT317" i="1"/>
  <c r="AT316" i="1"/>
  <c r="AT315" i="1"/>
  <c r="AT314" i="1"/>
  <c r="AT313" i="1"/>
  <c r="AT312" i="1"/>
  <c r="AT311" i="1"/>
  <c r="AT310" i="1"/>
  <c r="AT309" i="1"/>
  <c r="AT308" i="1"/>
  <c r="AT307" i="1"/>
  <c r="AT306" i="1"/>
  <c r="AT305" i="1"/>
  <c r="AT304" i="1"/>
  <c r="AT302" i="1"/>
  <c r="AT301" i="1"/>
  <c r="AT300" i="1"/>
  <c r="AT299" i="1"/>
  <c r="AT298" i="1"/>
  <c r="AT297" i="1"/>
  <c r="AT296" i="1"/>
  <c r="AT295" i="1"/>
  <c r="AT294" i="1"/>
  <c r="AT293" i="1"/>
  <c r="AT292" i="1"/>
  <c r="AT291" i="1"/>
  <c r="AT290" i="1"/>
  <c r="AT289" i="1"/>
  <c r="AT288" i="1"/>
  <c r="AT287" i="1"/>
  <c r="AT286" i="1"/>
  <c r="AT285" i="1"/>
  <c r="AT284" i="1"/>
  <c r="AT283" i="1"/>
  <c r="AT282" i="1"/>
  <c r="AT281" i="1"/>
  <c r="AT280" i="1"/>
  <c r="AT279" i="1"/>
  <c r="AT278" i="1"/>
  <c r="AT277" i="1"/>
  <c r="AT276" i="1"/>
  <c r="AT275" i="1"/>
  <c r="AT274" i="1"/>
  <c r="AT273" i="1"/>
  <c r="AT272" i="1"/>
  <c r="AT271" i="1"/>
  <c r="AT270" i="1"/>
  <c r="AT269" i="1"/>
  <c r="AT268" i="1"/>
  <c r="AT267" i="1"/>
  <c r="AT266" i="1"/>
  <c r="AT265" i="1"/>
  <c r="AT264" i="1"/>
  <c r="AT263" i="1"/>
  <c r="AT262" i="1"/>
  <c r="AT261" i="1"/>
  <c r="AT260" i="1"/>
  <c r="AT259" i="1"/>
  <c r="AT258" i="1"/>
  <c r="AT257" i="1"/>
  <c r="AT256" i="1"/>
  <c r="AT255" i="1"/>
  <c r="AT254" i="1"/>
  <c r="AT253" i="1"/>
  <c r="AT252" i="1"/>
  <c r="AT251" i="1"/>
  <c r="AT250" i="1"/>
  <c r="AT249" i="1"/>
  <c r="AT248" i="1"/>
  <c r="AT247" i="1"/>
  <c r="AT246" i="1"/>
  <c r="AT245" i="1"/>
  <c r="AT244" i="1"/>
  <c r="AT243" i="1"/>
  <c r="AT242" i="1"/>
  <c r="AT241" i="1"/>
  <c r="AT240" i="1"/>
  <c r="AT239" i="1"/>
  <c r="AT238" i="1"/>
  <c r="AT237" i="1"/>
  <c r="AT236" i="1"/>
  <c r="AT235" i="1"/>
  <c r="AT234" i="1"/>
  <c r="AT233" i="1"/>
  <c r="AT232" i="1"/>
  <c r="AT231" i="1"/>
  <c r="AT230" i="1"/>
  <c r="AT229" i="1"/>
  <c r="AT228" i="1"/>
  <c r="AT227" i="1"/>
  <c r="AT226" i="1"/>
  <c r="AT225" i="1"/>
  <c r="AT224" i="1"/>
  <c r="AT223" i="1"/>
  <c r="AT222" i="1"/>
  <c r="AT221" i="1"/>
  <c r="AT220" i="1"/>
  <c r="AT219" i="1"/>
  <c r="AT218" i="1"/>
  <c r="AT217" i="1"/>
  <c r="AT216" i="1"/>
  <c r="AT215" i="1"/>
  <c r="AT214" i="1"/>
  <c r="AT213" i="1"/>
  <c r="AT212" i="1"/>
  <c r="AT211" i="1"/>
  <c r="AT210" i="1"/>
  <c r="AT209" i="1"/>
  <c r="AT208" i="1"/>
  <c r="AT207" i="1"/>
  <c r="AT206" i="1"/>
  <c r="AT205" i="1"/>
  <c r="AT204" i="1"/>
  <c r="AT203" i="1"/>
  <c r="AT202" i="1"/>
  <c r="AT201" i="1"/>
  <c r="AT200" i="1"/>
  <c r="AT199" i="1"/>
  <c r="AT198" i="1"/>
  <c r="AT197" i="1"/>
  <c r="AT196" i="1"/>
  <c r="AT195" i="1"/>
  <c r="AT194" i="1"/>
  <c r="AT193" i="1"/>
  <c r="AT192" i="1"/>
  <c r="AT191" i="1"/>
  <c r="AT190" i="1"/>
  <c r="AT189" i="1"/>
  <c r="AT188" i="1"/>
  <c r="AT187" i="1"/>
  <c r="AT186" i="1"/>
  <c r="AT185" i="1"/>
  <c r="AT184" i="1"/>
  <c r="AT183" i="1"/>
  <c r="AT182" i="1"/>
  <c r="AT181" i="1"/>
  <c r="AT180" i="1"/>
  <c r="AT179" i="1"/>
  <c r="AT178" i="1"/>
  <c r="AT177" i="1"/>
  <c r="AT176" i="1"/>
  <c r="AT175" i="1"/>
  <c r="AT174" i="1"/>
  <c r="AT173" i="1"/>
  <c r="AT172" i="1"/>
  <c r="AT171" i="1"/>
  <c r="AT170" i="1"/>
  <c r="AT169" i="1"/>
  <c r="AT168" i="1"/>
  <c r="AT167" i="1"/>
  <c r="AT166" i="1"/>
  <c r="AT165" i="1"/>
  <c r="AT164" i="1"/>
  <c r="AT163" i="1"/>
  <c r="AT162" i="1"/>
  <c r="AT161" i="1"/>
  <c r="AT160" i="1"/>
  <c r="AT159" i="1"/>
  <c r="AT158" i="1"/>
  <c r="AT157" i="1"/>
  <c r="AT156" i="1"/>
  <c r="AT155" i="1"/>
  <c r="AT154" i="1"/>
  <c r="AT153" i="1"/>
  <c r="AT152" i="1"/>
  <c r="AT151" i="1"/>
  <c r="AT150" i="1"/>
  <c r="AT149" i="1"/>
  <c r="AT148" i="1"/>
  <c r="AT147" i="1"/>
  <c r="AT146" i="1"/>
  <c r="AT145" i="1"/>
  <c r="AT144" i="1"/>
  <c r="AT143" i="1"/>
  <c r="AT142" i="1"/>
  <c r="AT141" i="1"/>
  <c r="AT140" i="1"/>
  <c r="AT139" i="1"/>
  <c r="AT138" i="1"/>
  <c r="AT137" i="1"/>
  <c r="AT136" i="1"/>
  <c r="AT135" i="1"/>
  <c r="AT134" i="1"/>
  <c r="AT133" i="1"/>
  <c r="AT132" i="1"/>
  <c r="AT131" i="1"/>
  <c r="AT130" i="1"/>
  <c r="AT129" i="1"/>
  <c r="AT128" i="1"/>
  <c r="AT127" i="1"/>
  <c r="AT126" i="1"/>
  <c r="AT125" i="1"/>
  <c r="AT124" i="1"/>
  <c r="AT123" i="1"/>
  <c r="AT122" i="1"/>
  <c r="AT121" i="1"/>
  <c r="AT120" i="1"/>
  <c r="AT119" i="1"/>
  <c r="AT118" i="1"/>
  <c r="AT117" i="1"/>
  <c r="AT116" i="1"/>
  <c r="AT115" i="1"/>
  <c r="AT114" i="1"/>
  <c r="AT113" i="1"/>
  <c r="AT112" i="1"/>
  <c r="AT111" i="1"/>
  <c r="AT110" i="1"/>
  <c r="AT109" i="1"/>
  <c r="AT108" i="1"/>
  <c r="AT107" i="1"/>
  <c r="AT106" i="1"/>
  <c r="AT105" i="1"/>
  <c r="AT104" i="1"/>
  <c r="AT103" i="1"/>
  <c r="AT102" i="1"/>
  <c r="AT101" i="1"/>
  <c r="AT100" i="1"/>
  <c r="AT99" i="1"/>
  <c r="AT98" i="1"/>
  <c r="AT97" i="1"/>
  <c r="AT96" i="1"/>
  <c r="AT95" i="1"/>
  <c r="AT94" i="1"/>
  <c r="AT93" i="1"/>
  <c r="AT92" i="1"/>
  <c r="AT91" i="1"/>
  <c r="AT90" i="1"/>
  <c r="AT89" i="1"/>
  <c r="AT88" i="1"/>
  <c r="AT87" i="1"/>
  <c r="AT86" i="1"/>
  <c r="AT85" i="1"/>
  <c r="AT84" i="1"/>
  <c r="AT83" i="1"/>
  <c r="AT82" i="1"/>
  <c r="AT81" i="1"/>
  <c r="AT80" i="1"/>
  <c r="AT79" i="1"/>
  <c r="AT78" i="1"/>
  <c r="AT77" i="1"/>
  <c r="AT76" i="1"/>
  <c r="AT75" i="1"/>
  <c r="AT74" i="1"/>
  <c r="AT73" i="1"/>
  <c r="AT72" i="1"/>
  <c r="AT71" i="1"/>
  <c r="AT70" i="1"/>
  <c r="AT69" i="1"/>
  <c r="AT68" i="1"/>
  <c r="AT67" i="1"/>
  <c r="AT66" i="1"/>
  <c r="AT65" i="1"/>
  <c r="AT64" i="1"/>
  <c r="AT63" i="1"/>
  <c r="AT62" i="1"/>
  <c r="AT61" i="1"/>
  <c r="AT60" i="1"/>
  <c r="AT59" i="1"/>
  <c r="AT58" i="1"/>
  <c r="AT57" i="1"/>
  <c r="AT56" i="1"/>
  <c r="AT55" i="1"/>
  <c r="AT54" i="1"/>
  <c r="AT53" i="1"/>
  <c r="AT52" i="1"/>
  <c r="AT51" i="1"/>
  <c r="AT50" i="1"/>
  <c r="AT49" i="1"/>
  <c r="AT48" i="1"/>
  <c r="AT47" i="1"/>
  <c r="AT46" i="1"/>
  <c r="AT45" i="1"/>
  <c r="AT44" i="1"/>
  <c r="AT43" i="1"/>
  <c r="AT42" i="1"/>
  <c r="AT41" i="1"/>
  <c r="AT40" i="1"/>
  <c r="AT22" i="1"/>
  <c r="AX22" i="1" s="1"/>
  <c r="AT14" i="1"/>
  <c r="AX14" i="1" s="1"/>
  <c r="W11" i="4"/>
  <c r="X11" i="4"/>
  <c r="Y11" i="4"/>
  <c r="Z11" i="4"/>
  <c r="W12" i="4"/>
  <c r="X12" i="4"/>
  <c r="Y12" i="4"/>
  <c r="Z12" i="4"/>
  <c r="W13" i="4"/>
  <c r="X13" i="4"/>
  <c r="Y13" i="4"/>
  <c r="Z13" i="4"/>
  <c r="W14" i="4"/>
  <c r="X14" i="4"/>
  <c r="Y14" i="4"/>
  <c r="Z14" i="4"/>
  <c r="W15" i="4"/>
  <c r="X15" i="4"/>
  <c r="Y15" i="4"/>
  <c r="Z15" i="4"/>
  <c r="W16" i="4"/>
  <c r="X16" i="4"/>
  <c r="Y16" i="4"/>
  <c r="Z16" i="4"/>
  <c r="W17" i="4"/>
  <c r="X17" i="4"/>
  <c r="Y17" i="4"/>
  <c r="Z17" i="4"/>
  <c r="W18" i="4"/>
  <c r="X18" i="4"/>
  <c r="Y18" i="4"/>
  <c r="Z18" i="4"/>
  <c r="W19" i="4"/>
  <c r="X19" i="4"/>
  <c r="Y19" i="4"/>
  <c r="Z19" i="4"/>
  <c r="W20" i="4"/>
  <c r="X20" i="4"/>
  <c r="Y20" i="4"/>
  <c r="Z20" i="4"/>
  <c r="W21" i="4"/>
  <c r="X21" i="4"/>
  <c r="Y21" i="4"/>
  <c r="Z21" i="4"/>
  <c r="W22" i="4"/>
  <c r="X22" i="4"/>
  <c r="Y22" i="4"/>
  <c r="Z22" i="4"/>
  <c r="W23" i="4"/>
  <c r="X23" i="4"/>
  <c r="Y23" i="4"/>
  <c r="Z23" i="4"/>
  <c r="W24" i="4"/>
  <c r="X24" i="4"/>
  <c r="Y24" i="4"/>
  <c r="Z24" i="4"/>
  <c r="W25" i="4"/>
  <c r="X25" i="4"/>
  <c r="Y25" i="4"/>
  <c r="Z25" i="4"/>
  <c r="W26" i="4"/>
  <c r="X26" i="4"/>
  <c r="Y26" i="4"/>
  <c r="Z26" i="4"/>
  <c r="W27" i="4"/>
  <c r="X27" i="4"/>
  <c r="Y27" i="4"/>
  <c r="Z27" i="4"/>
  <c r="W28" i="4"/>
  <c r="X28" i="4"/>
  <c r="Y28" i="4"/>
  <c r="Z28" i="4"/>
  <c r="W29" i="4"/>
  <c r="X29" i="4"/>
  <c r="Y29" i="4"/>
  <c r="Z29" i="4"/>
  <c r="W30" i="4"/>
  <c r="X30" i="4"/>
  <c r="Y30" i="4"/>
  <c r="Z30" i="4"/>
  <c r="W31" i="4"/>
  <c r="X31" i="4"/>
  <c r="Y31" i="4"/>
  <c r="Z31" i="4"/>
  <c r="W32" i="4"/>
  <c r="X32" i="4"/>
  <c r="Y32" i="4"/>
  <c r="Z32" i="4"/>
  <c r="W33" i="4"/>
  <c r="X33" i="4"/>
  <c r="Y33" i="4"/>
  <c r="Z33" i="4"/>
  <c r="W34" i="4"/>
  <c r="X34" i="4"/>
  <c r="Y34" i="4"/>
  <c r="Z34" i="4"/>
  <c r="W35" i="4"/>
  <c r="X35" i="4"/>
  <c r="Y35" i="4"/>
  <c r="Z35" i="4"/>
  <c r="W36" i="4"/>
  <c r="X36" i="4"/>
  <c r="Y36" i="4"/>
  <c r="Z36" i="4"/>
  <c r="W37" i="4"/>
  <c r="X37" i="4"/>
  <c r="Y37" i="4"/>
  <c r="Z37" i="4"/>
  <c r="W38" i="4"/>
  <c r="X38" i="4"/>
  <c r="Y38" i="4"/>
  <c r="Z38" i="4"/>
  <c r="W39" i="4"/>
  <c r="X39" i="4"/>
  <c r="Y39" i="4"/>
  <c r="Z39" i="4"/>
  <c r="W40" i="4"/>
  <c r="X40" i="4"/>
  <c r="Y40" i="4"/>
  <c r="Z40" i="4"/>
  <c r="W41" i="4"/>
  <c r="X41" i="4"/>
  <c r="Y41" i="4"/>
  <c r="Z41" i="4"/>
  <c r="W42" i="4"/>
  <c r="X42" i="4"/>
  <c r="Y42" i="4"/>
  <c r="Z42" i="4"/>
  <c r="W43" i="4"/>
  <c r="X43" i="4"/>
  <c r="Y43" i="4"/>
  <c r="Z43" i="4"/>
  <c r="W44" i="4"/>
  <c r="X44" i="4"/>
  <c r="Y44" i="4"/>
  <c r="Z44" i="4"/>
  <c r="W45" i="4"/>
  <c r="X45" i="4"/>
  <c r="Y45" i="4"/>
  <c r="Z45" i="4"/>
  <c r="W46" i="4"/>
  <c r="X46" i="4"/>
  <c r="Y46" i="4"/>
  <c r="Z46" i="4"/>
  <c r="W47" i="4"/>
  <c r="X47" i="4"/>
  <c r="Y47" i="4"/>
  <c r="Z47" i="4"/>
  <c r="W48" i="4"/>
  <c r="X48" i="4"/>
  <c r="Y48" i="4"/>
  <c r="Z48" i="4"/>
  <c r="W49" i="4"/>
  <c r="X49" i="4"/>
  <c r="Y49" i="4"/>
  <c r="Z49" i="4"/>
  <c r="W50" i="4"/>
  <c r="X50" i="4"/>
  <c r="Y50" i="4"/>
  <c r="Z50" i="4"/>
  <c r="W51" i="4"/>
  <c r="X51" i="4"/>
  <c r="Y51" i="4"/>
  <c r="Z51" i="4"/>
  <c r="W52" i="4"/>
  <c r="X52" i="4"/>
  <c r="Y52" i="4"/>
  <c r="Z52" i="4"/>
  <c r="W53" i="4"/>
  <c r="X53" i="4"/>
  <c r="Y53" i="4"/>
  <c r="Z53" i="4"/>
  <c r="W54" i="4"/>
  <c r="X54" i="4"/>
  <c r="Y54" i="4"/>
  <c r="Z54" i="4"/>
  <c r="W55" i="4"/>
  <c r="X55" i="4"/>
  <c r="Y55" i="4"/>
  <c r="Z55" i="4"/>
  <c r="W56" i="4"/>
  <c r="X56" i="4"/>
  <c r="Y56" i="4"/>
  <c r="Z56" i="4"/>
  <c r="W57" i="4"/>
  <c r="X57" i="4"/>
  <c r="Y57" i="4"/>
  <c r="Z57" i="4"/>
  <c r="W58" i="4"/>
  <c r="X58" i="4"/>
  <c r="Y58" i="4"/>
  <c r="Z58" i="4"/>
  <c r="W59" i="4"/>
  <c r="X59" i="4"/>
  <c r="Y59" i="4"/>
  <c r="Z59" i="4"/>
  <c r="W60" i="4"/>
  <c r="X60" i="4"/>
  <c r="Y60" i="4"/>
  <c r="Z60" i="4"/>
  <c r="W61" i="4"/>
  <c r="X61" i="4"/>
  <c r="Y61" i="4"/>
  <c r="Z61" i="4"/>
  <c r="W62" i="4"/>
  <c r="X62" i="4"/>
  <c r="Y62" i="4"/>
  <c r="Z62" i="4"/>
  <c r="W63" i="4"/>
  <c r="X63" i="4"/>
  <c r="Y63" i="4"/>
  <c r="Z63" i="4"/>
  <c r="W64" i="4"/>
  <c r="X64" i="4"/>
  <c r="Y64" i="4"/>
  <c r="Z64" i="4"/>
  <c r="W65" i="4"/>
  <c r="X65" i="4"/>
  <c r="Y65" i="4"/>
  <c r="Z65" i="4"/>
  <c r="W66" i="4"/>
  <c r="X66" i="4"/>
  <c r="Y66" i="4"/>
  <c r="Z66" i="4"/>
  <c r="W67" i="4"/>
  <c r="X67" i="4"/>
  <c r="Y67" i="4"/>
  <c r="Z67" i="4"/>
  <c r="W68" i="4"/>
  <c r="X68" i="4"/>
  <c r="Y68" i="4"/>
  <c r="Z68" i="4"/>
  <c r="W69" i="4"/>
  <c r="X69" i="4"/>
  <c r="Y69" i="4"/>
  <c r="Z69" i="4"/>
  <c r="W70" i="4"/>
  <c r="X70" i="4"/>
  <c r="Y70" i="4"/>
  <c r="Z70" i="4"/>
  <c r="W71" i="4"/>
  <c r="X71" i="4"/>
  <c r="Y71" i="4"/>
  <c r="Z71" i="4"/>
  <c r="W72" i="4"/>
  <c r="X72" i="4"/>
  <c r="Y72" i="4"/>
  <c r="Z72" i="4"/>
  <c r="W73" i="4"/>
  <c r="X73" i="4"/>
  <c r="Y73" i="4"/>
  <c r="Z73" i="4"/>
  <c r="W74" i="4"/>
  <c r="X74" i="4"/>
  <c r="Y74" i="4"/>
  <c r="Z74" i="4"/>
  <c r="W75" i="4"/>
  <c r="X75" i="4"/>
  <c r="Y75" i="4"/>
  <c r="Z75" i="4"/>
  <c r="W76" i="4"/>
  <c r="X76" i="4"/>
  <c r="Y76" i="4"/>
  <c r="Z76" i="4"/>
  <c r="W77" i="4"/>
  <c r="X77" i="4"/>
  <c r="Y77" i="4"/>
  <c r="Z77" i="4"/>
  <c r="W78" i="4"/>
  <c r="X78" i="4"/>
  <c r="Y78" i="4"/>
  <c r="Z78" i="4"/>
  <c r="W79" i="4"/>
  <c r="X79" i="4"/>
  <c r="Y79" i="4"/>
  <c r="Z79" i="4"/>
  <c r="W80" i="4"/>
  <c r="X80" i="4"/>
  <c r="Y80" i="4"/>
  <c r="Z80" i="4"/>
  <c r="W81" i="4"/>
  <c r="X81" i="4"/>
  <c r="Y81" i="4"/>
  <c r="Z81" i="4"/>
  <c r="W82" i="4"/>
  <c r="X82" i="4"/>
  <c r="Y82" i="4"/>
  <c r="Z82" i="4"/>
  <c r="W83" i="4"/>
  <c r="X83" i="4"/>
  <c r="Y83" i="4"/>
  <c r="Z83" i="4"/>
  <c r="W84" i="4"/>
  <c r="X84" i="4"/>
  <c r="Y84" i="4"/>
  <c r="Z84" i="4"/>
  <c r="W85" i="4"/>
  <c r="X85" i="4"/>
  <c r="Y85" i="4"/>
  <c r="Z85" i="4"/>
  <c r="W86" i="4"/>
  <c r="X86" i="4"/>
  <c r="Y86" i="4"/>
  <c r="Z86" i="4"/>
  <c r="W87" i="4"/>
  <c r="X87" i="4"/>
  <c r="Y87" i="4"/>
  <c r="Z87" i="4"/>
  <c r="W88" i="4"/>
  <c r="X88" i="4"/>
  <c r="Y88" i="4"/>
  <c r="Z88" i="4"/>
  <c r="W89" i="4"/>
  <c r="X89" i="4"/>
  <c r="Y89" i="4"/>
  <c r="Z89" i="4"/>
  <c r="W90" i="4"/>
  <c r="X90" i="4"/>
  <c r="Y90" i="4"/>
  <c r="Z90" i="4"/>
  <c r="W91" i="4"/>
  <c r="X91" i="4"/>
  <c r="Y91" i="4"/>
  <c r="Z91" i="4"/>
  <c r="W92" i="4"/>
  <c r="X92" i="4"/>
  <c r="Y92" i="4"/>
  <c r="Z92" i="4"/>
  <c r="W93" i="4"/>
  <c r="X93" i="4"/>
  <c r="Y93" i="4"/>
  <c r="Z93" i="4"/>
  <c r="W94" i="4"/>
  <c r="X94" i="4"/>
  <c r="Y94" i="4"/>
  <c r="Z94" i="4"/>
  <c r="W95" i="4"/>
  <c r="X95" i="4"/>
  <c r="Y95" i="4"/>
  <c r="Z95" i="4"/>
  <c r="W96" i="4"/>
  <c r="X96" i="4"/>
  <c r="Y96" i="4"/>
  <c r="Z96" i="4"/>
  <c r="W97" i="4"/>
  <c r="X97" i="4"/>
  <c r="Y97" i="4"/>
  <c r="Z97" i="4"/>
  <c r="W98" i="4"/>
  <c r="X98" i="4"/>
  <c r="Y98" i="4"/>
  <c r="Z98" i="4"/>
  <c r="W99" i="4"/>
  <c r="X99" i="4"/>
  <c r="Y99" i="4"/>
  <c r="Z99" i="4"/>
  <c r="W100" i="4"/>
  <c r="X100" i="4"/>
  <c r="Y100" i="4"/>
  <c r="Z100" i="4"/>
  <c r="W101" i="4"/>
  <c r="X101" i="4"/>
  <c r="Y101" i="4"/>
  <c r="Z101" i="4"/>
  <c r="W102" i="4"/>
  <c r="X102" i="4"/>
  <c r="Y102" i="4"/>
  <c r="Z102" i="4"/>
  <c r="W103" i="4"/>
  <c r="X103" i="4"/>
  <c r="Y103" i="4"/>
  <c r="Z103" i="4"/>
  <c r="W104" i="4"/>
  <c r="X104" i="4"/>
  <c r="Y104" i="4"/>
  <c r="Z104" i="4"/>
  <c r="W105" i="4"/>
  <c r="X105" i="4"/>
  <c r="Y105" i="4"/>
  <c r="Z105" i="4"/>
  <c r="W106" i="4"/>
  <c r="X106" i="4"/>
  <c r="Y106" i="4"/>
  <c r="Z106" i="4"/>
  <c r="W107" i="4"/>
  <c r="X107" i="4"/>
  <c r="Y107" i="4"/>
  <c r="Z107" i="4"/>
  <c r="W108" i="4"/>
  <c r="X108" i="4"/>
  <c r="Y108" i="4"/>
  <c r="Z108" i="4"/>
  <c r="W109" i="4"/>
  <c r="X109" i="4"/>
  <c r="Y109" i="4"/>
  <c r="Z109" i="4"/>
  <c r="W110" i="4"/>
  <c r="X110" i="4"/>
  <c r="Y110" i="4"/>
  <c r="Z110" i="4"/>
  <c r="W111" i="4"/>
  <c r="X111" i="4"/>
  <c r="Y111" i="4"/>
  <c r="Z111" i="4"/>
  <c r="W112" i="4"/>
  <c r="X112" i="4"/>
  <c r="Y112" i="4"/>
  <c r="Z112" i="4"/>
  <c r="W113" i="4"/>
  <c r="X113" i="4"/>
  <c r="Y113" i="4"/>
  <c r="Z113" i="4"/>
  <c r="W114" i="4"/>
  <c r="X114" i="4"/>
  <c r="Y114" i="4"/>
  <c r="Z114" i="4"/>
  <c r="W115" i="4"/>
  <c r="X115" i="4"/>
  <c r="Y115" i="4"/>
  <c r="Z115" i="4"/>
  <c r="W116" i="4"/>
  <c r="X116" i="4"/>
  <c r="Y116" i="4"/>
  <c r="Z116" i="4"/>
  <c r="W117" i="4"/>
  <c r="X117" i="4"/>
  <c r="Y117" i="4"/>
  <c r="Z117" i="4"/>
  <c r="W118" i="4"/>
  <c r="X118" i="4"/>
  <c r="Y118" i="4"/>
  <c r="Z118" i="4"/>
  <c r="W119" i="4"/>
  <c r="X119" i="4"/>
  <c r="Y119" i="4"/>
  <c r="Z119" i="4"/>
  <c r="W120" i="4"/>
  <c r="X120" i="4"/>
  <c r="Y120" i="4"/>
  <c r="Z120" i="4"/>
  <c r="W121" i="4"/>
  <c r="X121" i="4"/>
  <c r="Y121" i="4"/>
  <c r="Z121" i="4"/>
  <c r="W122" i="4"/>
  <c r="X122" i="4"/>
  <c r="Y122" i="4"/>
  <c r="Z122" i="4"/>
  <c r="W123" i="4"/>
  <c r="X123" i="4"/>
  <c r="Y123" i="4"/>
  <c r="Z123" i="4"/>
  <c r="W124" i="4"/>
  <c r="X124" i="4"/>
  <c r="Y124" i="4"/>
  <c r="Z124" i="4"/>
  <c r="W125" i="4"/>
  <c r="X125" i="4"/>
  <c r="Y125" i="4"/>
  <c r="Z125" i="4"/>
  <c r="W126" i="4"/>
  <c r="X126" i="4"/>
  <c r="Y126" i="4"/>
  <c r="Z126" i="4"/>
  <c r="W127" i="4"/>
  <c r="X127" i="4"/>
  <c r="Y127" i="4"/>
  <c r="Z127" i="4"/>
  <c r="W128" i="4"/>
  <c r="X128" i="4"/>
  <c r="Y128" i="4"/>
  <c r="Z128" i="4"/>
  <c r="W129" i="4"/>
  <c r="X129" i="4"/>
  <c r="Y129" i="4"/>
  <c r="Z129" i="4"/>
  <c r="W130" i="4"/>
  <c r="X130" i="4"/>
  <c r="Y130" i="4"/>
  <c r="Z130" i="4"/>
  <c r="W131" i="4"/>
  <c r="X131" i="4"/>
  <c r="Y131" i="4"/>
  <c r="Z131" i="4"/>
  <c r="W132" i="4"/>
  <c r="X132" i="4"/>
  <c r="Y132" i="4"/>
  <c r="Z132" i="4"/>
  <c r="W133" i="4"/>
  <c r="X133" i="4"/>
  <c r="Y133" i="4"/>
  <c r="Z133" i="4"/>
  <c r="W134" i="4"/>
  <c r="X134" i="4"/>
  <c r="Y134" i="4"/>
  <c r="Z134" i="4"/>
  <c r="W135" i="4"/>
  <c r="X135" i="4"/>
  <c r="Y135" i="4"/>
  <c r="Z135" i="4"/>
  <c r="W136" i="4"/>
  <c r="X136" i="4"/>
  <c r="Y136" i="4"/>
  <c r="Z136" i="4"/>
  <c r="W137" i="4"/>
  <c r="X137" i="4"/>
  <c r="Y137" i="4"/>
  <c r="Z137" i="4"/>
  <c r="W138" i="4"/>
  <c r="X138" i="4"/>
  <c r="Y138" i="4"/>
  <c r="Z138" i="4"/>
  <c r="W139" i="4"/>
  <c r="X139" i="4"/>
  <c r="Y139" i="4"/>
  <c r="Z139" i="4"/>
  <c r="W140" i="4"/>
  <c r="X140" i="4"/>
  <c r="Y140" i="4"/>
  <c r="Z140" i="4"/>
  <c r="W141" i="4"/>
  <c r="X141" i="4"/>
  <c r="Y141" i="4"/>
  <c r="Z141" i="4"/>
  <c r="W142" i="4"/>
  <c r="X142" i="4"/>
  <c r="Y142" i="4"/>
  <c r="Z142" i="4"/>
  <c r="W143" i="4"/>
  <c r="X143" i="4"/>
  <c r="Y143" i="4"/>
  <c r="Z143" i="4"/>
  <c r="W144" i="4"/>
  <c r="X144" i="4"/>
  <c r="Y144" i="4"/>
  <c r="Z144" i="4"/>
  <c r="W145" i="4"/>
  <c r="X145" i="4"/>
  <c r="Y145" i="4"/>
  <c r="Z145" i="4"/>
  <c r="W146" i="4"/>
  <c r="X146" i="4"/>
  <c r="Y146" i="4"/>
  <c r="Z146" i="4"/>
  <c r="W147" i="4"/>
  <c r="X147" i="4"/>
  <c r="Y147" i="4"/>
  <c r="Z147" i="4"/>
  <c r="W148" i="4"/>
  <c r="X148" i="4"/>
  <c r="Y148" i="4"/>
  <c r="Z148" i="4"/>
  <c r="W149" i="4"/>
  <c r="X149" i="4"/>
  <c r="Y149" i="4"/>
  <c r="Z149" i="4"/>
  <c r="W150" i="4"/>
  <c r="X150" i="4"/>
  <c r="Y150" i="4"/>
  <c r="Z150" i="4"/>
  <c r="W151" i="4"/>
  <c r="X151" i="4"/>
  <c r="Y151" i="4"/>
  <c r="Z151" i="4"/>
  <c r="W152" i="4"/>
  <c r="X152" i="4"/>
  <c r="Y152" i="4"/>
  <c r="Z152" i="4"/>
  <c r="W153" i="4"/>
  <c r="X153" i="4"/>
  <c r="Y153" i="4"/>
  <c r="Z153" i="4"/>
  <c r="W154" i="4"/>
  <c r="X154" i="4"/>
  <c r="Y154" i="4"/>
  <c r="Z154" i="4"/>
  <c r="W155" i="4"/>
  <c r="X155" i="4"/>
  <c r="Y155" i="4"/>
  <c r="Z155" i="4"/>
  <c r="W156" i="4"/>
  <c r="X156" i="4"/>
  <c r="Y156" i="4"/>
  <c r="Z156" i="4"/>
  <c r="W157" i="4"/>
  <c r="X157" i="4"/>
  <c r="Y157" i="4"/>
  <c r="Z157" i="4"/>
  <c r="W158" i="4"/>
  <c r="X158" i="4"/>
  <c r="Y158" i="4"/>
  <c r="Z158" i="4"/>
  <c r="W159" i="4"/>
  <c r="X159" i="4"/>
  <c r="Y159" i="4"/>
  <c r="Z159" i="4"/>
  <c r="W160" i="4"/>
  <c r="X160" i="4"/>
  <c r="Y160" i="4"/>
  <c r="Z160" i="4"/>
  <c r="W161" i="4"/>
  <c r="X161" i="4"/>
  <c r="Y161" i="4"/>
  <c r="Z161" i="4"/>
  <c r="W162" i="4"/>
  <c r="X162" i="4"/>
  <c r="Y162" i="4"/>
  <c r="Z162" i="4"/>
  <c r="W163" i="4"/>
  <c r="X163" i="4"/>
  <c r="Y163" i="4"/>
  <c r="Z163" i="4"/>
  <c r="W164" i="4"/>
  <c r="X164" i="4"/>
  <c r="Y164" i="4"/>
  <c r="Z164" i="4"/>
  <c r="W165" i="4"/>
  <c r="X165" i="4"/>
  <c r="Y165" i="4"/>
  <c r="Z165" i="4"/>
  <c r="W166" i="4"/>
  <c r="X166" i="4"/>
  <c r="Y166" i="4"/>
  <c r="Z166" i="4"/>
  <c r="W167" i="4"/>
  <c r="X167" i="4"/>
  <c r="Y167" i="4"/>
  <c r="Z167" i="4"/>
  <c r="W168" i="4"/>
  <c r="X168" i="4"/>
  <c r="Y168" i="4"/>
  <c r="Z168" i="4"/>
  <c r="W169" i="4"/>
  <c r="X169" i="4"/>
  <c r="Y169" i="4"/>
  <c r="Z169" i="4"/>
  <c r="W170" i="4"/>
  <c r="X170" i="4"/>
  <c r="Y170" i="4"/>
  <c r="Z170" i="4"/>
  <c r="W171" i="4"/>
  <c r="X171" i="4"/>
  <c r="Y171" i="4"/>
  <c r="Z171" i="4"/>
  <c r="W172" i="4"/>
  <c r="X172" i="4"/>
  <c r="Y172" i="4"/>
  <c r="Z172" i="4"/>
  <c r="W173" i="4"/>
  <c r="X173" i="4"/>
  <c r="Y173" i="4"/>
  <c r="Z173" i="4"/>
  <c r="W174" i="4"/>
  <c r="X174" i="4"/>
  <c r="Y174" i="4"/>
  <c r="Z174" i="4"/>
  <c r="W175" i="4"/>
  <c r="X175" i="4"/>
  <c r="Y175" i="4"/>
  <c r="Z175" i="4"/>
  <c r="W176" i="4"/>
  <c r="X176" i="4"/>
  <c r="Y176" i="4"/>
  <c r="Z176" i="4"/>
  <c r="W177" i="4"/>
  <c r="X177" i="4"/>
  <c r="Y177" i="4"/>
  <c r="Z177" i="4"/>
  <c r="W178" i="4"/>
  <c r="X178" i="4"/>
  <c r="Y178" i="4"/>
  <c r="Z178" i="4"/>
  <c r="W179" i="4"/>
  <c r="X179" i="4"/>
  <c r="Y179" i="4"/>
  <c r="Z179" i="4"/>
  <c r="W180" i="4"/>
  <c r="X180" i="4"/>
  <c r="Y180" i="4"/>
  <c r="Z180" i="4"/>
  <c r="W181" i="4"/>
  <c r="X181" i="4"/>
  <c r="Y181" i="4"/>
  <c r="Z181" i="4"/>
  <c r="W182" i="4"/>
  <c r="X182" i="4"/>
  <c r="Y182" i="4"/>
  <c r="Z182" i="4"/>
  <c r="W183" i="4"/>
  <c r="X183" i="4"/>
  <c r="Y183" i="4"/>
  <c r="Z183" i="4"/>
  <c r="W184" i="4"/>
  <c r="X184" i="4"/>
  <c r="Y184" i="4"/>
  <c r="Z184" i="4"/>
  <c r="W185" i="4"/>
  <c r="X185" i="4"/>
  <c r="Y185" i="4"/>
  <c r="Z185" i="4"/>
  <c r="W186" i="4"/>
  <c r="X186" i="4"/>
  <c r="Y186" i="4"/>
  <c r="Z186" i="4"/>
  <c r="W187" i="4"/>
  <c r="X187" i="4"/>
  <c r="Y187" i="4"/>
  <c r="Z187" i="4"/>
  <c r="W188" i="4"/>
  <c r="X188" i="4"/>
  <c r="Y188" i="4"/>
  <c r="Z188" i="4"/>
  <c r="W189" i="4"/>
  <c r="X189" i="4"/>
  <c r="Y189" i="4"/>
  <c r="Z189" i="4"/>
  <c r="W190" i="4"/>
  <c r="X190" i="4"/>
  <c r="Y190" i="4"/>
  <c r="Z190" i="4"/>
  <c r="W191" i="4"/>
  <c r="X191" i="4"/>
  <c r="Y191" i="4"/>
  <c r="Z191" i="4"/>
  <c r="W192" i="4"/>
  <c r="X192" i="4"/>
  <c r="Y192" i="4"/>
  <c r="Z192" i="4"/>
  <c r="W193" i="4"/>
  <c r="X193" i="4"/>
  <c r="Y193" i="4"/>
  <c r="Z193" i="4"/>
  <c r="W194" i="4"/>
  <c r="X194" i="4"/>
  <c r="Y194" i="4"/>
  <c r="Z194" i="4"/>
  <c r="W195" i="4"/>
  <c r="X195" i="4"/>
  <c r="Y195" i="4"/>
  <c r="Z195" i="4"/>
  <c r="W196" i="4"/>
  <c r="X196" i="4"/>
  <c r="Y196" i="4"/>
  <c r="Z196" i="4"/>
  <c r="W197" i="4"/>
  <c r="X197" i="4"/>
  <c r="Y197" i="4"/>
  <c r="Z197" i="4"/>
  <c r="W198" i="4"/>
  <c r="X198" i="4"/>
  <c r="Y198" i="4"/>
  <c r="Z198" i="4"/>
  <c r="W199" i="4"/>
  <c r="X199" i="4"/>
  <c r="Y199" i="4"/>
  <c r="Z199" i="4"/>
  <c r="W200" i="4"/>
  <c r="X200" i="4"/>
  <c r="Y200" i="4"/>
  <c r="Z200" i="4"/>
  <c r="W201" i="4"/>
  <c r="X201" i="4"/>
  <c r="Y201" i="4"/>
  <c r="Z201" i="4"/>
  <c r="W202" i="4"/>
  <c r="X202" i="4"/>
  <c r="Y202" i="4"/>
  <c r="Z202" i="4"/>
  <c r="W203" i="4"/>
  <c r="X203" i="4"/>
  <c r="Y203" i="4"/>
  <c r="Z203" i="4"/>
  <c r="W204" i="4"/>
  <c r="X204" i="4"/>
  <c r="Y204" i="4"/>
  <c r="Z204" i="4"/>
  <c r="W205" i="4"/>
  <c r="X205" i="4"/>
  <c r="Y205" i="4"/>
  <c r="Z205" i="4"/>
  <c r="W206" i="4"/>
  <c r="X206" i="4"/>
  <c r="Y206" i="4"/>
  <c r="Z206" i="4"/>
  <c r="W207" i="4"/>
  <c r="X207" i="4"/>
  <c r="Y207" i="4"/>
  <c r="Z207" i="4"/>
  <c r="W208" i="4"/>
  <c r="X208" i="4"/>
  <c r="Y208" i="4"/>
  <c r="Z208" i="4"/>
  <c r="W209" i="4"/>
  <c r="X209" i="4"/>
  <c r="Y209" i="4"/>
  <c r="Z209" i="4"/>
  <c r="W210" i="4"/>
  <c r="X210" i="4"/>
  <c r="Y210" i="4"/>
  <c r="Z210" i="4"/>
  <c r="W211" i="4"/>
  <c r="X211" i="4"/>
  <c r="Y211" i="4"/>
  <c r="Z211" i="4"/>
  <c r="W212" i="4"/>
  <c r="X212" i="4"/>
  <c r="Y212" i="4"/>
  <c r="Z212" i="4"/>
  <c r="W213" i="4"/>
  <c r="X213" i="4"/>
  <c r="Y213" i="4"/>
  <c r="Z213" i="4"/>
  <c r="W214" i="4"/>
  <c r="X214" i="4"/>
  <c r="Y214" i="4"/>
  <c r="Z214" i="4"/>
  <c r="W215" i="4"/>
  <c r="X215" i="4"/>
  <c r="Y215" i="4"/>
  <c r="Z215" i="4"/>
  <c r="W216" i="4"/>
  <c r="X216" i="4"/>
  <c r="Y216" i="4"/>
  <c r="Z216" i="4"/>
  <c r="W217" i="4"/>
  <c r="X217" i="4"/>
  <c r="Y217" i="4"/>
  <c r="Z217" i="4"/>
  <c r="W218" i="4"/>
  <c r="X218" i="4"/>
  <c r="Y218" i="4"/>
  <c r="Z218" i="4"/>
  <c r="W219" i="4"/>
  <c r="X219" i="4"/>
  <c r="Y219" i="4"/>
  <c r="Z219" i="4"/>
  <c r="W220" i="4"/>
  <c r="X220" i="4"/>
  <c r="Y220" i="4"/>
  <c r="Z220" i="4"/>
  <c r="W221" i="4"/>
  <c r="X221" i="4"/>
  <c r="Y221" i="4"/>
  <c r="Z221" i="4"/>
  <c r="W222" i="4"/>
  <c r="X222" i="4"/>
  <c r="Y222" i="4"/>
  <c r="Z222" i="4"/>
  <c r="W223" i="4"/>
  <c r="X223" i="4"/>
  <c r="Y223" i="4"/>
  <c r="Z223" i="4"/>
  <c r="W224" i="4"/>
  <c r="X224" i="4"/>
  <c r="Y224" i="4"/>
  <c r="Z224" i="4"/>
  <c r="W225" i="4"/>
  <c r="X225" i="4"/>
  <c r="Y225" i="4"/>
  <c r="Z225" i="4"/>
  <c r="W226" i="4"/>
  <c r="X226" i="4"/>
  <c r="Y226" i="4"/>
  <c r="Z226" i="4"/>
  <c r="W227" i="4"/>
  <c r="X227" i="4"/>
  <c r="Y227" i="4"/>
  <c r="Z227" i="4"/>
  <c r="W228" i="4"/>
  <c r="X228" i="4"/>
  <c r="Y228" i="4"/>
  <c r="Z228" i="4"/>
  <c r="W229" i="4"/>
  <c r="X229" i="4"/>
  <c r="Y229" i="4"/>
  <c r="Z229" i="4"/>
  <c r="W230" i="4"/>
  <c r="X230" i="4"/>
  <c r="Y230" i="4"/>
  <c r="Z230" i="4"/>
  <c r="W231" i="4"/>
  <c r="X231" i="4"/>
  <c r="Y231" i="4"/>
  <c r="Z231" i="4"/>
  <c r="W232" i="4"/>
  <c r="X232" i="4"/>
  <c r="Y232" i="4"/>
  <c r="Z232" i="4"/>
  <c r="W233" i="4"/>
  <c r="X233" i="4"/>
  <c r="Y233" i="4"/>
  <c r="Z233" i="4"/>
  <c r="W234" i="4"/>
  <c r="X234" i="4"/>
  <c r="Y234" i="4"/>
  <c r="Z234" i="4"/>
  <c r="W235" i="4"/>
  <c r="X235" i="4"/>
  <c r="Y235" i="4"/>
  <c r="Z235" i="4"/>
  <c r="W236" i="4"/>
  <c r="X236" i="4"/>
  <c r="Y236" i="4"/>
  <c r="Z236" i="4"/>
  <c r="W237" i="4"/>
  <c r="X237" i="4"/>
  <c r="Y237" i="4"/>
  <c r="Z237" i="4"/>
  <c r="W238" i="4"/>
  <c r="X238" i="4"/>
  <c r="Y238" i="4"/>
  <c r="Z238" i="4"/>
  <c r="W239" i="4"/>
  <c r="X239" i="4"/>
  <c r="Y239" i="4"/>
  <c r="Z239" i="4"/>
  <c r="W240" i="4"/>
  <c r="X240" i="4"/>
  <c r="Y240" i="4"/>
  <c r="Z240" i="4"/>
  <c r="W241" i="4"/>
  <c r="X241" i="4"/>
  <c r="Y241" i="4"/>
  <c r="Z241" i="4"/>
  <c r="W242" i="4"/>
  <c r="X242" i="4"/>
  <c r="Y242" i="4"/>
  <c r="Z242" i="4"/>
  <c r="W243" i="4"/>
  <c r="X243" i="4"/>
  <c r="Y243" i="4"/>
  <c r="Z243" i="4"/>
  <c r="W244" i="4"/>
  <c r="X244" i="4"/>
  <c r="Y244" i="4"/>
  <c r="Z244" i="4"/>
  <c r="W245" i="4"/>
  <c r="X245" i="4"/>
  <c r="Y245" i="4"/>
  <c r="Z245" i="4"/>
  <c r="W246" i="4"/>
  <c r="X246" i="4"/>
  <c r="Y246" i="4"/>
  <c r="Z246" i="4"/>
  <c r="W247" i="4"/>
  <c r="X247" i="4"/>
  <c r="Y247" i="4"/>
  <c r="Z247" i="4"/>
  <c r="W248" i="4"/>
  <c r="X248" i="4"/>
  <c r="Y248" i="4"/>
  <c r="Z248" i="4"/>
  <c r="W249" i="4"/>
  <c r="X249" i="4"/>
  <c r="Y249" i="4"/>
  <c r="Z249" i="4"/>
  <c r="W250" i="4"/>
  <c r="X250" i="4"/>
  <c r="Y250" i="4"/>
  <c r="Z250" i="4"/>
  <c r="W251" i="4"/>
  <c r="X251" i="4"/>
  <c r="Y251" i="4"/>
  <c r="Z251" i="4"/>
  <c r="W252" i="4"/>
  <c r="X252" i="4"/>
  <c r="Y252" i="4"/>
  <c r="Z252" i="4"/>
  <c r="W253" i="4"/>
  <c r="X253" i="4"/>
  <c r="Y253" i="4"/>
  <c r="Z253" i="4"/>
  <c r="W254" i="4"/>
  <c r="X254" i="4"/>
  <c r="Y254" i="4"/>
  <c r="Z254" i="4"/>
  <c r="W255" i="4"/>
  <c r="X255" i="4"/>
  <c r="Y255" i="4"/>
  <c r="Z255" i="4"/>
  <c r="W256" i="4"/>
  <c r="X256" i="4"/>
  <c r="Y256" i="4"/>
  <c r="Z256" i="4"/>
  <c r="W257" i="4"/>
  <c r="X257" i="4"/>
  <c r="Y257" i="4"/>
  <c r="Z257" i="4"/>
  <c r="W258" i="4"/>
  <c r="X258" i="4"/>
  <c r="Y258" i="4"/>
  <c r="Z258" i="4"/>
  <c r="W259" i="4"/>
  <c r="X259" i="4"/>
  <c r="Y259" i="4"/>
  <c r="Z259" i="4"/>
  <c r="W260" i="4"/>
  <c r="X260" i="4"/>
  <c r="Y260" i="4"/>
  <c r="Z260" i="4"/>
  <c r="W261" i="4"/>
  <c r="X261" i="4"/>
  <c r="Y261" i="4"/>
  <c r="Z261" i="4"/>
  <c r="W262" i="4"/>
  <c r="X262" i="4"/>
  <c r="Y262" i="4"/>
  <c r="Z262" i="4"/>
  <c r="W263" i="4"/>
  <c r="X263" i="4"/>
  <c r="Y263" i="4"/>
  <c r="Z263" i="4"/>
  <c r="W264" i="4"/>
  <c r="X264" i="4"/>
  <c r="Y264" i="4"/>
  <c r="Z264" i="4"/>
  <c r="W265" i="4"/>
  <c r="X265" i="4"/>
  <c r="Y265" i="4"/>
  <c r="Z265" i="4"/>
  <c r="W266" i="4"/>
  <c r="X266" i="4"/>
  <c r="Y266" i="4"/>
  <c r="Z266" i="4"/>
  <c r="W267" i="4"/>
  <c r="X267" i="4"/>
  <c r="Y267" i="4"/>
  <c r="Z267" i="4"/>
  <c r="W268" i="4"/>
  <c r="X268" i="4"/>
  <c r="Y268" i="4"/>
  <c r="Z268" i="4"/>
  <c r="W269" i="4"/>
  <c r="X269" i="4"/>
  <c r="Y269" i="4"/>
  <c r="Z269" i="4"/>
  <c r="W270" i="4"/>
  <c r="X270" i="4"/>
  <c r="Y270" i="4"/>
  <c r="Z270" i="4"/>
  <c r="W271" i="4"/>
  <c r="X271" i="4"/>
  <c r="Y271" i="4"/>
  <c r="Z271" i="4"/>
  <c r="W272" i="4"/>
  <c r="X272" i="4"/>
  <c r="Y272" i="4"/>
  <c r="Z272" i="4"/>
  <c r="W273" i="4"/>
  <c r="X273" i="4"/>
  <c r="Y273" i="4"/>
  <c r="Z273" i="4"/>
  <c r="W274" i="4"/>
  <c r="X274" i="4"/>
  <c r="Y274" i="4"/>
  <c r="Z274" i="4"/>
  <c r="W275" i="4"/>
  <c r="X275" i="4"/>
  <c r="Y275" i="4"/>
  <c r="Z275" i="4"/>
  <c r="W276" i="4"/>
  <c r="X276" i="4"/>
  <c r="Y276" i="4"/>
  <c r="Z276" i="4"/>
  <c r="W277" i="4"/>
  <c r="X277" i="4"/>
  <c r="Y277" i="4"/>
  <c r="Z277" i="4"/>
  <c r="W278" i="4"/>
  <c r="X278" i="4"/>
  <c r="Y278" i="4"/>
  <c r="Z278" i="4"/>
  <c r="W279" i="4"/>
  <c r="X279" i="4"/>
  <c r="Y279" i="4"/>
  <c r="Z279" i="4"/>
  <c r="W280" i="4"/>
  <c r="X280" i="4"/>
  <c r="Y280" i="4"/>
  <c r="Z280" i="4"/>
  <c r="W281" i="4"/>
  <c r="X281" i="4"/>
  <c r="Y281" i="4"/>
  <c r="Z281" i="4"/>
  <c r="W282" i="4"/>
  <c r="X282" i="4"/>
  <c r="Y282" i="4"/>
  <c r="Z282" i="4"/>
  <c r="W283" i="4"/>
  <c r="X283" i="4"/>
  <c r="Y283" i="4"/>
  <c r="Z283" i="4"/>
  <c r="W284" i="4"/>
  <c r="X284" i="4"/>
  <c r="Y284" i="4"/>
  <c r="Z284" i="4"/>
  <c r="W285" i="4"/>
  <c r="X285" i="4"/>
  <c r="Y285" i="4"/>
  <c r="Z285" i="4"/>
  <c r="W286" i="4"/>
  <c r="X286" i="4"/>
  <c r="Y286" i="4"/>
  <c r="Z286" i="4"/>
  <c r="W287" i="4"/>
  <c r="X287" i="4"/>
  <c r="Y287" i="4"/>
  <c r="Z287" i="4"/>
  <c r="W288" i="4"/>
  <c r="X288" i="4"/>
  <c r="Y288" i="4"/>
  <c r="Z288" i="4"/>
  <c r="W289" i="4"/>
  <c r="X289" i="4"/>
  <c r="Y289" i="4"/>
  <c r="Z289" i="4"/>
  <c r="W290" i="4"/>
  <c r="X290" i="4"/>
  <c r="Y290" i="4"/>
  <c r="Z290" i="4"/>
  <c r="W291" i="4"/>
  <c r="X291" i="4"/>
  <c r="Y291" i="4"/>
  <c r="Z291" i="4"/>
  <c r="W292" i="4"/>
  <c r="X292" i="4"/>
  <c r="Y292" i="4"/>
  <c r="Z292" i="4"/>
  <c r="W293" i="4"/>
  <c r="X293" i="4"/>
  <c r="Y293" i="4"/>
  <c r="Z293" i="4"/>
  <c r="W294" i="4"/>
  <c r="X294" i="4"/>
  <c r="Y294" i="4"/>
  <c r="Z294" i="4"/>
  <c r="W295" i="4"/>
  <c r="X295" i="4"/>
  <c r="Y295" i="4"/>
  <c r="Z295" i="4"/>
  <c r="W296" i="4"/>
  <c r="X296" i="4"/>
  <c r="Y296" i="4"/>
  <c r="Z296" i="4"/>
  <c r="W297" i="4"/>
  <c r="X297" i="4"/>
  <c r="Y297" i="4"/>
  <c r="Z297" i="4"/>
  <c r="W298" i="4"/>
  <c r="X298" i="4"/>
  <c r="Y298" i="4"/>
  <c r="Z298" i="4"/>
  <c r="X299" i="4"/>
  <c r="Y299" i="4"/>
  <c r="Z299" i="4"/>
  <c r="W300" i="4"/>
  <c r="X300" i="4"/>
  <c r="Y300" i="4"/>
  <c r="Z300" i="4"/>
  <c r="W301" i="4"/>
  <c r="X301" i="4"/>
  <c r="Y301" i="4"/>
  <c r="Z301" i="4"/>
  <c r="W302" i="4"/>
  <c r="X302" i="4"/>
  <c r="Y302" i="4"/>
  <c r="Z302" i="4"/>
  <c r="W303" i="4"/>
  <c r="X303" i="4"/>
  <c r="Y303" i="4"/>
  <c r="Z303" i="4"/>
  <c r="W304" i="4"/>
  <c r="X304" i="4"/>
  <c r="Y304" i="4"/>
  <c r="Z304" i="4"/>
  <c r="W305" i="4"/>
  <c r="X305" i="4"/>
  <c r="Y305" i="4"/>
  <c r="Z305" i="4"/>
  <c r="W306" i="4"/>
  <c r="X306" i="4"/>
  <c r="Y306" i="4"/>
  <c r="Z306" i="4"/>
  <c r="W307" i="4"/>
  <c r="X307" i="4"/>
  <c r="Y307" i="4"/>
  <c r="Z307" i="4"/>
  <c r="W308" i="4"/>
  <c r="X308" i="4"/>
  <c r="Y308" i="4"/>
  <c r="Z308" i="4"/>
  <c r="W309" i="4"/>
  <c r="X309" i="4"/>
  <c r="Y309" i="4"/>
  <c r="Z309" i="4"/>
  <c r="W310" i="4"/>
  <c r="X310" i="4"/>
  <c r="Y310" i="4"/>
  <c r="Z310" i="4"/>
  <c r="W311" i="4"/>
  <c r="X311" i="4"/>
  <c r="Y311" i="4"/>
  <c r="Z311" i="4"/>
  <c r="W312" i="4"/>
  <c r="X312" i="4"/>
  <c r="Y312" i="4"/>
  <c r="Z312" i="4"/>
  <c r="W313" i="4"/>
  <c r="X313" i="4"/>
  <c r="Y313" i="4"/>
  <c r="Z313" i="4"/>
  <c r="W314" i="4"/>
  <c r="X314" i="4"/>
  <c r="Y314" i="4"/>
  <c r="Z314" i="4"/>
  <c r="W315" i="4"/>
  <c r="X315" i="4"/>
  <c r="Y315" i="4"/>
  <c r="Z315" i="4"/>
  <c r="W316" i="4"/>
  <c r="X316" i="4"/>
  <c r="Y316" i="4"/>
  <c r="Z316" i="4"/>
  <c r="W317" i="4"/>
  <c r="X317" i="4"/>
  <c r="Y317" i="4"/>
  <c r="Z317" i="4"/>
  <c r="W318" i="4"/>
  <c r="X318" i="4"/>
  <c r="Y318" i="4"/>
  <c r="Z318" i="4"/>
  <c r="W319" i="4"/>
  <c r="X319" i="4"/>
  <c r="Y319" i="4"/>
  <c r="Z319" i="4"/>
  <c r="W320" i="4"/>
  <c r="X320" i="4"/>
  <c r="Y320" i="4"/>
  <c r="Z320" i="4"/>
  <c r="W321" i="4"/>
  <c r="X321" i="4"/>
  <c r="Y321" i="4"/>
  <c r="Z321" i="4"/>
  <c r="W322" i="4"/>
  <c r="X322" i="4"/>
  <c r="Y322" i="4"/>
  <c r="Z322" i="4"/>
  <c r="W323" i="4"/>
  <c r="X323" i="4"/>
  <c r="Y323" i="4"/>
  <c r="Z323" i="4"/>
  <c r="W324" i="4"/>
  <c r="X324" i="4"/>
  <c r="Y324" i="4"/>
  <c r="Z324" i="4"/>
  <c r="W325" i="4"/>
  <c r="X325" i="4"/>
  <c r="Y325" i="4"/>
  <c r="Z325" i="4"/>
  <c r="W326" i="4"/>
  <c r="X326" i="4"/>
  <c r="Y326" i="4"/>
  <c r="Z326" i="4"/>
  <c r="W327" i="4"/>
  <c r="X327" i="4"/>
  <c r="Y327" i="4"/>
  <c r="Z327" i="4"/>
  <c r="W328" i="4"/>
  <c r="X328" i="4"/>
  <c r="Y328" i="4"/>
  <c r="Z328" i="4"/>
  <c r="W329" i="4"/>
  <c r="X329" i="4"/>
  <c r="Y329" i="4"/>
  <c r="Z329" i="4"/>
  <c r="W330" i="4"/>
  <c r="X330" i="4"/>
  <c r="Y330" i="4"/>
  <c r="Z330" i="4"/>
  <c r="W331" i="4"/>
  <c r="X331" i="4"/>
  <c r="Y331" i="4"/>
  <c r="Z331" i="4"/>
  <c r="W332" i="4"/>
  <c r="X332" i="4"/>
  <c r="Y332" i="4"/>
  <c r="Z332" i="4"/>
  <c r="W333" i="4"/>
  <c r="X333" i="4"/>
  <c r="Y333" i="4"/>
  <c r="Z333" i="4"/>
  <c r="W334" i="4"/>
  <c r="X334" i="4"/>
  <c r="Y334" i="4"/>
  <c r="Z334" i="4"/>
  <c r="W335" i="4"/>
  <c r="X335" i="4"/>
  <c r="Y335" i="4"/>
  <c r="Z335" i="4"/>
  <c r="W336" i="4"/>
  <c r="X336" i="4"/>
  <c r="Y336" i="4"/>
  <c r="Z336" i="4"/>
  <c r="W337" i="4"/>
  <c r="X337" i="4"/>
  <c r="Y337" i="4"/>
  <c r="Z337" i="4"/>
  <c r="W338" i="4"/>
  <c r="X338" i="4"/>
  <c r="Y338" i="4"/>
  <c r="Z338" i="4"/>
  <c r="W339" i="4"/>
  <c r="X339" i="4"/>
  <c r="Y339" i="4"/>
  <c r="Z339" i="4"/>
  <c r="W340" i="4"/>
  <c r="X340" i="4"/>
  <c r="Y340" i="4"/>
  <c r="Z340" i="4"/>
  <c r="W341" i="4"/>
  <c r="X341" i="4"/>
  <c r="Y341" i="4"/>
  <c r="Z341" i="4"/>
  <c r="W342" i="4"/>
  <c r="X342" i="4"/>
  <c r="Y342" i="4"/>
  <c r="Z342" i="4"/>
  <c r="W343" i="4"/>
  <c r="X343" i="4"/>
  <c r="Y343" i="4"/>
  <c r="Z343" i="4"/>
  <c r="W344" i="4"/>
  <c r="X344" i="4"/>
  <c r="Y344" i="4"/>
  <c r="Z344" i="4"/>
  <c r="W345" i="4"/>
  <c r="X345" i="4"/>
  <c r="Y345" i="4"/>
  <c r="Z345" i="4"/>
  <c r="W346" i="4"/>
  <c r="X346" i="4"/>
  <c r="Y346" i="4"/>
  <c r="Z346" i="4"/>
  <c r="W347" i="4"/>
  <c r="X347" i="4"/>
  <c r="Y347" i="4"/>
  <c r="Z347" i="4"/>
  <c r="W348" i="4"/>
  <c r="X348" i="4"/>
  <c r="Y348" i="4"/>
  <c r="Z348" i="4"/>
  <c r="W349" i="4"/>
  <c r="X349" i="4"/>
  <c r="Y349" i="4"/>
  <c r="Z349" i="4"/>
  <c r="W350" i="4"/>
  <c r="X350" i="4"/>
  <c r="Y350" i="4"/>
  <c r="Z350" i="4"/>
  <c r="W351" i="4"/>
  <c r="X351" i="4"/>
  <c r="Y351" i="4"/>
  <c r="Z351" i="4"/>
  <c r="W352" i="4"/>
  <c r="X352" i="4"/>
  <c r="Y352" i="4"/>
  <c r="Z352" i="4"/>
  <c r="W353" i="4"/>
  <c r="X353" i="4"/>
  <c r="Y353" i="4"/>
  <c r="Z353" i="4"/>
  <c r="W354" i="4"/>
  <c r="X354" i="4"/>
  <c r="Y354" i="4"/>
  <c r="Z354" i="4"/>
  <c r="W355" i="4"/>
  <c r="X355" i="4"/>
  <c r="Y355" i="4"/>
  <c r="Z355" i="4"/>
  <c r="W356" i="4"/>
  <c r="X356" i="4"/>
  <c r="Y356" i="4"/>
  <c r="Z356" i="4"/>
  <c r="W357" i="4"/>
  <c r="X357" i="4"/>
  <c r="Y357" i="4"/>
  <c r="Z357" i="4"/>
  <c r="W358" i="4"/>
  <c r="X358" i="4"/>
  <c r="Y358" i="4"/>
  <c r="Z358" i="4"/>
  <c r="W359" i="4"/>
  <c r="X359" i="4"/>
  <c r="Y359" i="4"/>
  <c r="Z359" i="4"/>
  <c r="W360" i="4"/>
  <c r="X360" i="4"/>
  <c r="Y360" i="4"/>
  <c r="Z360" i="4"/>
  <c r="W361" i="4"/>
  <c r="X361" i="4"/>
  <c r="Y361" i="4"/>
  <c r="Z361" i="4"/>
  <c r="W362" i="4"/>
  <c r="X362" i="4"/>
  <c r="Y362" i="4"/>
  <c r="Z362" i="4"/>
  <c r="W363" i="4"/>
  <c r="X363" i="4"/>
  <c r="Y363" i="4"/>
  <c r="Z363" i="4"/>
  <c r="W364" i="4"/>
  <c r="X364" i="4"/>
  <c r="Y364" i="4"/>
  <c r="Z364" i="4"/>
  <c r="W365" i="4"/>
  <c r="X365" i="4"/>
  <c r="Y365" i="4"/>
  <c r="Z365" i="4"/>
  <c r="W366" i="4"/>
  <c r="X366" i="4"/>
  <c r="Y366" i="4"/>
  <c r="Z366" i="4"/>
  <c r="W367" i="4"/>
  <c r="X367" i="4"/>
  <c r="Y367" i="4"/>
  <c r="Z367" i="4"/>
  <c r="W368" i="4"/>
  <c r="X368" i="4"/>
  <c r="Y368" i="4"/>
  <c r="Z368" i="4"/>
  <c r="W369" i="4"/>
  <c r="X369" i="4"/>
  <c r="Y369" i="4"/>
  <c r="Z369" i="4"/>
  <c r="W370" i="4"/>
  <c r="X370" i="4"/>
  <c r="Y370" i="4"/>
  <c r="Z370" i="4"/>
  <c r="W371" i="4"/>
  <c r="X371" i="4"/>
  <c r="Y371" i="4"/>
  <c r="Z371" i="4"/>
  <c r="W372" i="4"/>
  <c r="X372" i="4"/>
  <c r="Y372" i="4"/>
  <c r="Z372" i="4"/>
  <c r="W373" i="4"/>
  <c r="X373" i="4"/>
  <c r="Y373" i="4"/>
  <c r="Z373" i="4"/>
  <c r="W374" i="4"/>
  <c r="X374" i="4"/>
  <c r="Y374" i="4"/>
  <c r="Z374" i="4"/>
  <c r="W375" i="4"/>
  <c r="X375" i="4"/>
  <c r="Y375" i="4"/>
  <c r="Z375" i="4"/>
  <c r="W376" i="4"/>
  <c r="X376" i="4"/>
  <c r="Y376" i="4"/>
  <c r="Z376" i="4"/>
  <c r="W377" i="4"/>
  <c r="X377" i="4"/>
  <c r="Y377" i="4"/>
  <c r="Z377" i="4"/>
  <c r="W378" i="4"/>
  <c r="X378" i="4"/>
  <c r="Y378" i="4"/>
  <c r="Z378" i="4"/>
  <c r="W379" i="4"/>
  <c r="X379" i="4"/>
  <c r="Y379" i="4"/>
  <c r="Z379" i="4"/>
  <c r="W380" i="4"/>
  <c r="X380" i="4"/>
  <c r="Y380" i="4"/>
  <c r="Z380" i="4"/>
  <c r="W381" i="4"/>
  <c r="X381" i="4"/>
  <c r="Y381" i="4"/>
  <c r="Z381" i="4"/>
  <c r="W382" i="4"/>
  <c r="X382" i="4"/>
  <c r="Y382" i="4"/>
  <c r="Z382" i="4"/>
  <c r="W383" i="4"/>
  <c r="X383" i="4"/>
  <c r="Y383" i="4"/>
  <c r="Z383" i="4"/>
  <c r="W384" i="4"/>
  <c r="X384" i="4"/>
  <c r="Y384" i="4"/>
  <c r="Z384" i="4"/>
  <c r="W385" i="4"/>
  <c r="X385" i="4"/>
  <c r="Y385" i="4"/>
  <c r="Z385" i="4"/>
  <c r="W386" i="4"/>
  <c r="X386" i="4"/>
  <c r="Y386" i="4"/>
  <c r="Z386" i="4"/>
  <c r="W387" i="4"/>
  <c r="X387" i="4"/>
  <c r="Y387" i="4"/>
  <c r="Z387" i="4"/>
  <c r="W388" i="4"/>
  <c r="X388" i="4"/>
  <c r="Y388" i="4"/>
  <c r="Z388" i="4"/>
  <c r="W389" i="4"/>
  <c r="X389" i="4"/>
  <c r="Y389" i="4"/>
  <c r="Z389" i="4"/>
  <c r="W390" i="4"/>
  <c r="X390" i="4"/>
  <c r="Y390" i="4"/>
  <c r="Z390" i="4"/>
  <c r="W391" i="4"/>
  <c r="X391" i="4"/>
  <c r="Y391" i="4"/>
  <c r="Z391" i="4"/>
  <c r="W392" i="4"/>
  <c r="X392" i="4"/>
  <c r="Y392" i="4"/>
  <c r="Z392" i="4"/>
  <c r="W393" i="4"/>
  <c r="X393" i="4"/>
  <c r="Y393" i="4"/>
  <c r="Z393" i="4"/>
  <c r="W394" i="4"/>
  <c r="X394" i="4"/>
  <c r="Y394" i="4"/>
  <c r="Z394" i="4"/>
  <c r="W395" i="4"/>
  <c r="X395" i="4"/>
  <c r="Y395" i="4"/>
  <c r="Z395" i="4"/>
  <c r="W396" i="4"/>
  <c r="X396" i="4"/>
  <c r="Y396" i="4"/>
  <c r="Z396" i="4"/>
  <c r="W397" i="4"/>
  <c r="X397" i="4"/>
  <c r="Y397" i="4"/>
  <c r="Z397" i="4"/>
  <c r="W398" i="4"/>
  <c r="X398" i="4"/>
  <c r="Y398" i="4"/>
  <c r="Z398" i="4"/>
  <c r="W399" i="4"/>
  <c r="X399" i="4"/>
  <c r="Y399" i="4"/>
  <c r="Z399" i="4"/>
  <c r="W400" i="4"/>
  <c r="X400" i="4"/>
  <c r="Y400" i="4"/>
  <c r="Z400" i="4"/>
  <c r="W401" i="4"/>
  <c r="X401" i="4"/>
  <c r="Y401" i="4"/>
  <c r="Z401" i="4"/>
  <c r="W402" i="4"/>
  <c r="X402" i="4"/>
  <c r="Y402" i="4"/>
  <c r="Z402" i="4"/>
  <c r="W403" i="4"/>
  <c r="X403" i="4"/>
  <c r="Y403" i="4"/>
  <c r="Z403" i="4"/>
  <c r="W404" i="4"/>
  <c r="X404" i="4"/>
  <c r="Y404" i="4"/>
  <c r="Z404" i="4"/>
  <c r="W405" i="4"/>
  <c r="X405" i="4"/>
  <c r="Y405" i="4"/>
  <c r="Z405" i="4"/>
  <c r="W406" i="4"/>
  <c r="X406" i="4"/>
  <c r="Y406" i="4"/>
  <c r="Z406" i="4"/>
  <c r="W407" i="4"/>
  <c r="X407" i="4"/>
  <c r="Y407" i="4"/>
  <c r="Z407" i="4"/>
  <c r="W408" i="4"/>
  <c r="X408" i="4"/>
  <c r="Y408" i="4"/>
  <c r="Z408" i="4"/>
  <c r="W409" i="4"/>
  <c r="X409" i="4"/>
  <c r="Y409" i="4"/>
  <c r="Z409" i="4"/>
  <c r="W410" i="4"/>
  <c r="X410" i="4"/>
  <c r="Y410" i="4"/>
  <c r="Z410" i="4"/>
  <c r="W411" i="4"/>
  <c r="X411" i="4"/>
  <c r="Y411" i="4"/>
  <c r="Z411" i="4"/>
  <c r="W412" i="4"/>
  <c r="X412" i="4"/>
  <c r="Y412" i="4"/>
  <c r="Z412" i="4"/>
  <c r="W413" i="4"/>
  <c r="X413" i="4"/>
  <c r="Y413" i="4"/>
  <c r="Z413" i="4"/>
  <c r="W414" i="4"/>
  <c r="X414" i="4"/>
  <c r="Y414" i="4"/>
  <c r="Z414" i="4"/>
  <c r="W415" i="4"/>
  <c r="X415" i="4"/>
  <c r="Y415" i="4"/>
  <c r="Z415" i="4"/>
  <c r="W416" i="4"/>
  <c r="X416" i="4"/>
  <c r="Y416" i="4"/>
  <c r="Z416" i="4"/>
  <c r="W417" i="4"/>
  <c r="X417" i="4"/>
  <c r="Y417" i="4"/>
  <c r="Z417" i="4"/>
  <c r="W418" i="4"/>
  <c r="X418" i="4"/>
  <c r="Y418" i="4"/>
  <c r="Z418" i="4"/>
  <c r="W419" i="4"/>
  <c r="X419" i="4"/>
  <c r="Y419" i="4"/>
  <c r="Z419" i="4"/>
  <c r="W420" i="4"/>
  <c r="X420" i="4"/>
  <c r="Y420" i="4"/>
  <c r="Z420" i="4"/>
  <c r="W421" i="4"/>
  <c r="X421" i="4"/>
  <c r="Y421" i="4"/>
  <c r="Z421" i="4"/>
  <c r="W422" i="4"/>
  <c r="X422" i="4"/>
  <c r="Y422" i="4"/>
  <c r="Z422" i="4"/>
  <c r="W423" i="4"/>
  <c r="X423" i="4"/>
  <c r="Y423" i="4"/>
  <c r="Z423" i="4"/>
  <c r="W424" i="4"/>
  <c r="X424" i="4"/>
  <c r="Y424" i="4"/>
  <c r="Z424" i="4"/>
  <c r="W425" i="4"/>
  <c r="X425" i="4"/>
  <c r="Y425" i="4"/>
  <c r="Z425" i="4"/>
  <c r="W426" i="4"/>
  <c r="X426" i="4"/>
  <c r="Y426" i="4"/>
  <c r="Z426" i="4"/>
  <c r="W427" i="4"/>
  <c r="X427" i="4"/>
  <c r="Y427" i="4"/>
  <c r="Z427" i="4"/>
  <c r="W428" i="4"/>
  <c r="X428" i="4"/>
  <c r="Y428" i="4"/>
  <c r="Z428" i="4"/>
  <c r="W429" i="4"/>
  <c r="X429" i="4"/>
  <c r="Y429" i="4"/>
  <c r="Z429" i="4"/>
  <c r="W430" i="4"/>
  <c r="X430" i="4"/>
  <c r="Y430" i="4"/>
  <c r="Z430" i="4"/>
  <c r="W431" i="4"/>
  <c r="X431" i="4"/>
  <c r="Y431" i="4"/>
  <c r="Z431" i="4"/>
  <c r="W432" i="4"/>
  <c r="X432" i="4"/>
  <c r="Y432" i="4"/>
  <c r="Z432" i="4"/>
  <c r="W433" i="4"/>
  <c r="X433" i="4"/>
  <c r="Y433" i="4"/>
  <c r="Z433" i="4"/>
  <c r="W434" i="4"/>
  <c r="X434" i="4"/>
  <c r="Y434" i="4"/>
  <c r="Z434" i="4"/>
  <c r="W435" i="4"/>
  <c r="X435" i="4"/>
  <c r="Y435" i="4"/>
  <c r="Z435" i="4"/>
  <c r="W436" i="4"/>
  <c r="X436" i="4"/>
  <c r="Y436" i="4"/>
  <c r="Z436" i="4"/>
  <c r="W437" i="4"/>
  <c r="X437" i="4"/>
  <c r="Y437" i="4"/>
  <c r="Z437" i="4"/>
  <c r="W438" i="4"/>
  <c r="X438" i="4"/>
  <c r="Y438" i="4"/>
  <c r="Z438" i="4"/>
  <c r="W439" i="4"/>
  <c r="X439" i="4"/>
  <c r="Y439" i="4"/>
  <c r="Z439" i="4"/>
  <c r="W440" i="4"/>
  <c r="X440" i="4"/>
  <c r="Y440" i="4"/>
  <c r="Z440" i="4"/>
  <c r="W441" i="4"/>
  <c r="X441" i="4"/>
  <c r="Y441" i="4"/>
  <c r="Z441" i="4"/>
  <c r="W442" i="4"/>
  <c r="X442" i="4"/>
  <c r="Y442" i="4"/>
  <c r="Z442" i="4"/>
  <c r="W443" i="4"/>
  <c r="X443" i="4"/>
  <c r="Y443" i="4"/>
  <c r="Z443" i="4"/>
  <c r="W444" i="4"/>
  <c r="X444" i="4"/>
  <c r="Y444" i="4"/>
  <c r="Z444" i="4"/>
  <c r="W445" i="4"/>
  <c r="X445" i="4"/>
  <c r="Y445" i="4"/>
  <c r="Z445" i="4"/>
  <c r="W446" i="4"/>
  <c r="X446" i="4"/>
  <c r="Y446" i="4"/>
  <c r="Z446" i="4"/>
  <c r="W447" i="4"/>
  <c r="X447" i="4"/>
  <c r="Y447" i="4"/>
  <c r="Z447" i="4"/>
  <c r="W448" i="4"/>
  <c r="X448" i="4"/>
  <c r="Y448" i="4"/>
  <c r="Z448" i="4"/>
  <c r="W449" i="4"/>
  <c r="X449" i="4"/>
  <c r="Y449" i="4"/>
  <c r="Z449" i="4"/>
  <c r="W450" i="4"/>
  <c r="X450" i="4"/>
  <c r="Y450" i="4"/>
  <c r="Z450" i="4"/>
  <c r="W451" i="4"/>
  <c r="X451" i="4"/>
  <c r="Y451" i="4"/>
  <c r="Z451" i="4"/>
  <c r="W452" i="4"/>
  <c r="X452" i="4"/>
  <c r="Y452" i="4"/>
  <c r="Z452" i="4"/>
  <c r="W453" i="4"/>
  <c r="X453" i="4"/>
  <c r="Y453" i="4"/>
  <c r="Z453" i="4"/>
  <c r="W454" i="4"/>
  <c r="X454" i="4"/>
  <c r="Y454" i="4"/>
  <c r="Z454" i="4"/>
  <c r="W455" i="4"/>
  <c r="X455" i="4"/>
  <c r="Y455" i="4"/>
  <c r="Z455" i="4"/>
  <c r="W456" i="4"/>
  <c r="X456" i="4"/>
  <c r="Y456" i="4"/>
  <c r="Z456" i="4"/>
  <c r="W457" i="4"/>
  <c r="X457" i="4"/>
  <c r="Y457" i="4"/>
  <c r="Z457" i="4"/>
  <c r="W458" i="4"/>
  <c r="X458" i="4"/>
  <c r="Y458" i="4"/>
  <c r="Z458" i="4"/>
  <c r="W459" i="4"/>
  <c r="X459" i="4"/>
  <c r="Y459" i="4"/>
  <c r="Z459" i="4"/>
  <c r="W460" i="4"/>
  <c r="X460" i="4"/>
  <c r="Y460" i="4"/>
  <c r="Z460" i="4"/>
  <c r="W461" i="4"/>
  <c r="X461" i="4"/>
  <c r="Y461" i="4"/>
  <c r="Z461" i="4"/>
  <c r="W462" i="4"/>
  <c r="X462" i="4"/>
  <c r="Y462" i="4"/>
  <c r="Z462" i="4"/>
  <c r="W463" i="4"/>
  <c r="X463" i="4"/>
  <c r="Y463" i="4"/>
  <c r="Z463" i="4"/>
  <c r="W464" i="4"/>
  <c r="X464" i="4"/>
  <c r="Y464" i="4"/>
  <c r="Z464" i="4"/>
  <c r="W465" i="4"/>
  <c r="X465" i="4"/>
  <c r="Y465" i="4"/>
  <c r="Z465" i="4"/>
  <c r="W466" i="4"/>
  <c r="X466" i="4"/>
  <c r="Y466" i="4"/>
  <c r="Z466" i="4"/>
  <c r="W467" i="4"/>
  <c r="X467" i="4"/>
  <c r="Y467" i="4"/>
  <c r="Z467" i="4"/>
  <c r="W468" i="4"/>
  <c r="X468" i="4"/>
  <c r="Y468" i="4"/>
  <c r="Z468" i="4"/>
  <c r="W469" i="4"/>
  <c r="X469" i="4"/>
  <c r="Y469" i="4"/>
  <c r="Z469" i="4"/>
  <c r="W470" i="4"/>
  <c r="X470" i="4"/>
  <c r="Y470" i="4"/>
  <c r="Z470" i="4"/>
  <c r="W471" i="4"/>
  <c r="X471" i="4"/>
  <c r="Y471" i="4"/>
  <c r="Z471" i="4"/>
  <c r="W472" i="4"/>
  <c r="X472" i="4"/>
  <c r="Y472" i="4"/>
  <c r="Z472" i="4"/>
  <c r="W473" i="4"/>
  <c r="X473" i="4"/>
  <c r="Y473" i="4"/>
  <c r="Z473" i="4"/>
  <c r="W474" i="4"/>
  <c r="X474" i="4"/>
  <c r="Y474" i="4"/>
  <c r="Z474" i="4"/>
  <c r="W475" i="4"/>
  <c r="X475" i="4"/>
  <c r="Y475" i="4"/>
  <c r="Z475" i="4"/>
  <c r="W476" i="4"/>
  <c r="X476" i="4"/>
  <c r="Y476" i="4"/>
  <c r="Z476" i="4"/>
  <c r="W477" i="4"/>
  <c r="X477" i="4"/>
  <c r="Y477" i="4"/>
  <c r="Z477" i="4"/>
  <c r="W478" i="4"/>
  <c r="X478" i="4"/>
  <c r="Y478" i="4"/>
  <c r="Z478" i="4"/>
  <c r="W479" i="4"/>
  <c r="X479" i="4"/>
  <c r="Y479" i="4"/>
  <c r="Z479" i="4"/>
  <c r="W480" i="4"/>
  <c r="X480" i="4"/>
  <c r="Y480" i="4"/>
  <c r="Z480" i="4"/>
  <c r="W481" i="4"/>
  <c r="X481" i="4"/>
  <c r="Y481" i="4"/>
  <c r="Z481" i="4"/>
  <c r="W482" i="4"/>
  <c r="X482" i="4"/>
  <c r="Y482" i="4"/>
  <c r="Z482" i="4"/>
  <c r="W483" i="4"/>
  <c r="X483" i="4"/>
  <c r="Y483" i="4"/>
  <c r="Z483" i="4"/>
  <c r="W484" i="4"/>
  <c r="X484" i="4"/>
  <c r="Y484" i="4"/>
  <c r="Z484" i="4"/>
  <c r="W485" i="4"/>
  <c r="X485" i="4"/>
  <c r="Y485" i="4"/>
  <c r="Z485" i="4"/>
  <c r="W486" i="4"/>
  <c r="X486" i="4"/>
  <c r="Y486" i="4"/>
  <c r="Z486" i="4"/>
  <c r="W487" i="4"/>
  <c r="X487" i="4"/>
  <c r="Y487" i="4"/>
  <c r="Z487" i="4"/>
  <c r="W488" i="4"/>
  <c r="X488" i="4"/>
  <c r="Y488" i="4"/>
  <c r="Z488" i="4"/>
  <c r="W489" i="4"/>
  <c r="X489" i="4"/>
  <c r="Y489" i="4"/>
  <c r="Z489" i="4"/>
  <c r="W490" i="4"/>
  <c r="X490" i="4"/>
  <c r="Y490" i="4"/>
  <c r="Z490" i="4"/>
  <c r="W491" i="4"/>
  <c r="X491" i="4"/>
  <c r="Y491" i="4"/>
  <c r="Z491" i="4"/>
  <c r="W492" i="4"/>
  <c r="X492" i="4"/>
  <c r="Y492" i="4"/>
  <c r="Z492" i="4"/>
  <c r="W493" i="4"/>
  <c r="X493" i="4"/>
  <c r="Y493" i="4"/>
  <c r="Z493" i="4"/>
  <c r="W494" i="4"/>
  <c r="X494" i="4"/>
  <c r="Y494" i="4"/>
  <c r="Z494" i="4"/>
  <c r="W495" i="4"/>
  <c r="X495" i="4"/>
  <c r="Y495" i="4"/>
  <c r="Z495" i="4"/>
  <c r="W496" i="4"/>
  <c r="X496" i="4"/>
  <c r="Y496" i="4"/>
  <c r="Z496" i="4"/>
  <c r="W497" i="4"/>
  <c r="X497" i="4"/>
  <c r="Y497" i="4"/>
  <c r="Z497" i="4"/>
  <c r="W498" i="4"/>
  <c r="X498" i="4"/>
  <c r="Y498" i="4"/>
  <c r="Z498" i="4"/>
  <c r="W499" i="4"/>
  <c r="X499" i="4"/>
  <c r="Y499" i="4"/>
  <c r="Z499" i="4"/>
  <c r="W500" i="4"/>
  <c r="X500" i="4"/>
  <c r="Y500" i="4"/>
  <c r="Z500" i="4"/>
  <c r="W501" i="4"/>
  <c r="X501" i="4"/>
  <c r="Y501" i="4"/>
  <c r="Z501" i="4"/>
  <c r="W502" i="4"/>
  <c r="X502" i="4"/>
  <c r="Y502" i="4"/>
  <c r="Z502" i="4"/>
  <c r="W503" i="4"/>
  <c r="X503" i="4"/>
  <c r="Y503" i="4"/>
  <c r="Z503" i="4"/>
  <c r="W504" i="4"/>
  <c r="X504" i="4"/>
  <c r="Y504" i="4"/>
  <c r="Z504" i="4"/>
  <c r="W505" i="4"/>
  <c r="X505" i="4"/>
  <c r="Y505" i="4"/>
  <c r="Z505" i="4"/>
  <c r="W506" i="4"/>
  <c r="X506" i="4"/>
  <c r="Y506" i="4"/>
  <c r="Z506" i="4"/>
  <c r="W507" i="4"/>
  <c r="X507" i="4"/>
  <c r="Y507" i="4"/>
  <c r="Z507" i="4"/>
  <c r="W508" i="4"/>
  <c r="X508" i="4"/>
  <c r="Y508" i="4"/>
  <c r="Z508" i="4"/>
  <c r="W509" i="4"/>
  <c r="X509" i="4"/>
  <c r="Y509" i="4"/>
  <c r="Z509" i="4"/>
  <c r="W510" i="4"/>
  <c r="X510" i="4"/>
  <c r="Y510" i="4"/>
  <c r="Z510" i="4"/>
  <c r="W511" i="4"/>
  <c r="X511" i="4"/>
  <c r="Y511" i="4"/>
  <c r="Z511" i="4"/>
  <c r="W512" i="4"/>
  <c r="X512" i="4"/>
  <c r="Y512" i="4"/>
  <c r="Z512" i="4"/>
  <c r="W513" i="4"/>
  <c r="X513" i="4"/>
  <c r="Y513" i="4"/>
  <c r="Z513" i="4"/>
  <c r="W514" i="4"/>
  <c r="X514" i="4"/>
  <c r="Y514" i="4"/>
  <c r="Z514" i="4"/>
  <c r="W515" i="4"/>
  <c r="X515" i="4"/>
  <c r="Y515" i="4"/>
  <c r="Z515" i="4"/>
  <c r="W516" i="4"/>
  <c r="X516" i="4"/>
  <c r="Y516" i="4"/>
  <c r="Z516" i="4"/>
  <c r="W517" i="4"/>
  <c r="X517" i="4"/>
  <c r="Y517" i="4"/>
  <c r="Z517" i="4"/>
  <c r="W518" i="4"/>
  <c r="X518" i="4"/>
  <c r="Y518" i="4"/>
  <c r="Z518" i="4"/>
  <c r="W519" i="4"/>
  <c r="X519" i="4"/>
  <c r="Y519" i="4"/>
  <c r="Z519" i="4"/>
  <c r="W520" i="4"/>
  <c r="X520" i="4"/>
  <c r="Y520" i="4"/>
  <c r="Z520" i="4"/>
  <c r="W521" i="4"/>
  <c r="X521" i="4"/>
  <c r="Y521" i="4"/>
  <c r="Z521" i="4"/>
  <c r="W522" i="4"/>
  <c r="X522" i="4"/>
  <c r="Y522" i="4"/>
  <c r="Z522" i="4"/>
  <c r="W523" i="4"/>
  <c r="X523" i="4"/>
  <c r="Y523" i="4"/>
  <c r="Z523" i="4"/>
  <c r="W524" i="4"/>
  <c r="X524" i="4"/>
  <c r="Y524" i="4"/>
  <c r="Z524" i="4"/>
  <c r="W525" i="4"/>
  <c r="X525" i="4"/>
  <c r="Y525" i="4"/>
  <c r="Z525" i="4"/>
  <c r="W526" i="4"/>
  <c r="X526" i="4"/>
  <c r="Y526" i="4"/>
  <c r="Z526" i="4"/>
  <c r="W527" i="4"/>
  <c r="X527" i="4"/>
  <c r="Y527" i="4"/>
  <c r="Z527" i="4"/>
  <c r="W528" i="4"/>
  <c r="X528" i="4"/>
  <c r="Y528" i="4"/>
  <c r="Z528" i="4"/>
  <c r="W529" i="4"/>
  <c r="X529" i="4"/>
  <c r="Y529" i="4"/>
  <c r="Z529" i="4"/>
  <c r="W530" i="4"/>
  <c r="X530" i="4"/>
  <c r="Y530" i="4"/>
  <c r="Z530" i="4"/>
  <c r="W531" i="4"/>
  <c r="X531" i="4"/>
  <c r="Y531" i="4"/>
  <c r="Z531" i="4"/>
  <c r="W532" i="4"/>
  <c r="X532" i="4"/>
  <c r="Y532" i="4"/>
  <c r="Z532" i="4"/>
  <c r="W533" i="4"/>
  <c r="X533" i="4"/>
  <c r="Y533" i="4"/>
  <c r="Z533" i="4"/>
  <c r="W534" i="4"/>
  <c r="X534" i="4"/>
  <c r="Y534" i="4"/>
  <c r="Z534" i="4"/>
  <c r="W535" i="4"/>
  <c r="X535" i="4"/>
  <c r="Y535" i="4"/>
  <c r="Z535" i="4"/>
  <c r="W536" i="4"/>
  <c r="X536" i="4"/>
  <c r="Y536" i="4"/>
  <c r="Z536" i="4"/>
  <c r="W537" i="4"/>
  <c r="X537" i="4"/>
  <c r="Y537" i="4"/>
  <c r="Z537" i="4"/>
  <c r="W538" i="4"/>
  <c r="X538" i="4"/>
  <c r="Y538" i="4"/>
  <c r="Z538" i="4"/>
  <c r="W539" i="4"/>
  <c r="X539" i="4"/>
  <c r="Y539" i="4"/>
  <c r="Z539" i="4"/>
  <c r="W540" i="4"/>
  <c r="X540" i="4"/>
  <c r="Y540" i="4"/>
  <c r="Z540" i="4"/>
  <c r="W541" i="4"/>
  <c r="X541" i="4"/>
  <c r="Y541" i="4"/>
  <c r="Z541" i="4"/>
  <c r="W542" i="4"/>
  <c r="X542" i="4"/>
  <c r="Y542" i="4"/>
  <c r="Z542" i="4"/>
  <c r="W543" i="4"/>
  <c r="X543" i="4"/>
  <c r="Y543" i="4"/>
  <c r="Z543" i="4"/>
  <c r="W544" i="4"/>
  <c r="X544" i="4"/>
  <c r="Y544" i="4"/>
  <c r="Z544" i="4"/>
  <c r="W545" i="4"/>
  <c r="X545" i="4"/>
  <c r="Y545" i="4"/>
  <c r="Z545" i="4"/>
  <c r="W546" i="4"/>
  <c r="X546" i="4"/>
  <c r="Y546" i="4"/>
  <c r="Z546" i="4"/>
  <c r="W547" i="4"/>
  <c r="X547" i="4"/>
  <c r="Y547" i="4"/>
  <c r="Z547" i="4"/>
  <c r="W548" i="4"/>
  <c r="X548" i="4"/>
  <c r="Y548" i="4"/>
  <c r="Z548" i="4"/>
  <c r="W549" i="4"/>
  <c r="X549" i="4"/>
  <c r="Y549" i="4"/>
  <c r="Z549" i="4"/>
  <c r="W550" i="4"/>
  <c r="X550" i="4"/>
  <c r="Y550" i="4"/>
  <c r="Z550" i="4"/>
  <c r="W551" i="4"/>
  <c r="X551" i="4"/>
  <c r="Y551" i="4"/>
  <c r="Z551" i="4"/>
  <c r="W552" i="4"/>
  <c r="X552" i="4"/>
  <c r="Y552" i="4"/>
  <c r="Z552" i="4"/>
  <c r="W553" i="4"/>
  <c r="X553" i="4"/>
  <c r="Y553" i="4"/>
  <c r="Z553" i="4"/>
  <c r="W554" i="4"/>
  <c r="X554" i="4"/>
  <c r="Y554" i="4"/>
  <c r="Z554" i="4"/>
  <c r="W555" i="4"/>
  <c r="X555" i="4"/>
  <c r="Y555" i="4"/>
  <c r="Z555" i="4"/>
  <c r="W556" i="4"/>
  <c r="X556" i="4"/>
  <c r="Y556" i="4"/>
  <c r="Z556" i="4"/>
  <c r="W557" i="4"/>
  <c r="X557" i="4"/>
  <c r="Y557" i="4"/>
  <c r="Z557" i="4"/>
  <c r="W558" i="4"/>
  <c r="X558" i="4"/>
  <c r="Y558" i="4"/>
  <c r="Z558" i="4"/>
  <c r="W559" i="4"/>
  <c r="X559" i="4"/>
  <c r="Y559" i="4"/>
  <c r="Z559" i="4"/>
  <c r="W560" i="4"/>
  <c r="X560" i="4"/>
  <c r="Y560" i="4"/>
  <c r="Z560" i="4"/>
  <c r="W561" i="4"/>
  <c r="X561" i="4"/>
  <c r="Y561" i="4"/>
  <c r="Z561" i="4"/>
  <c r="W562" i="4"/>
  <c r="X562" i="4"/>
  <c r="Y562" i="4"/>
  <c r="Z562" i="4"/>
  <c r="W563" i="4"/>
  <c r="X563" i="4"/>
  <c r="Y563" i="4"/>
  <c r="Z563" i="4"/>
  <c r="AX567" i="1"/>
  <c r="AG306" i="4" l="1"/>
  <c r="AA306" i="4"/>
  <c r="V306" i="4"/>
  <c r="U306" i="4"/>
  <c r="T306" i="4"/>
  <c r="S306" i="4"/>
  <c r="R306" i="4"/>
  <c r="Q306" i="4"/>
  <c r="BD310" i="1"/>
  <c r="L310" i="1" s="1"/>
  <c r="H76" i="24" s="1"/>
  <c r="AR310" i="1"/>
  <c r="AS310" i="1" s="1"/>
  <c r="AM310" i="1"/>
  <c r="AG310" i="1"/>
  <c r="AH310" i="1" s="1"/>
  <c r="BD309" i="1"/>
  <c r="AX309" i="1"/>
  <c r="AR309" i="1"/>
  <c r="AS309" i="1" s="1"/>
  <c r="AO309" i="1"/>
  <c r="AM309" i="1"/>
  <c r="AG309" i="1"/>
  <c r="AH309" i="1" s="1"/>
  <c r="F112" i="24"/>
  <c r="F106" i="24"/>
  <c r="F137" i="24"/>
  <c r="F134" i="24"/>
  <c r="AX310" i="1" l="1"/>
  <c r="K310" i="1" s="1"/>
  <c r="G76" i="24" s="1"/>
  <c r="AZ303" i="1"/>
  <c r="V11" i="4"/>
  <c r="V12" i="4"/>
  <c r="V13" i="4"/>
  <c r="V14" i="4"/>
  <c r="V15" i="4"/>
  <c r="V16" i="4"/>
  <c r="V17" i="4"/>
  <c r="V18" i="4"/>
  <c r="V19" i="4"/>
  <c r="V20" i="4"/>
  <c r="V21" i="4"/>
  <c r="V22" i="4"/>
  <c r="V23" i="4"/>
  <c r="V24" i="4"/>
  <c r="V25" i="4"/>
  <c r="V26" i="4"/>
  <c r="V27" i="4"/>
  <c r="V28" i="4"/>
  <c r="V29" i="4"/>
  <c r="V30" i="4"/>
  <c r="V31" i="4"/>
  <c r="V32" i="4"/>
  <c r="V33" i="4"/>
  <c r="V34" i="4"/>
  <c r="V35" i="4"/>
  <c r="V36" i="4"/>
  <c r="V37" i="4"/>
  <c r="V38" i="4"/>
  <c r="V39" i="4"/>
  <c r="V40" i="4"/>
  <c r="V41" i="4"/>
  <c r="V42" i="4"/>
  <c r="V43" i="4"/>
  <c r="V44" i="4"/>
  <c r="V45" i="4"/>
  <c r="V46" i="4"/>
  <c r="V47" i="4"/>
  <c r="V48" i="4"/>
  <c r="V49" i="4"/>
  <c r="V50" i="4"/>
  <c r="V51" i="4"/>
  <c r="V52" i="4"/>
  <c r="V53" i="4"/>
  <c r="V54" i="4"/>
  <c r="V55" i="4"/>
  <c r="V56" i="4"/>
  <c r="V57" i="4"/>
  <c r="V58" i="4"/>
  <c r="V59" i="4"/>
  <c r="V60" i="4"/>
  <c r="V61" i="4"/>
  <c r="V62" i="4"/>
  <c r="V63" i="4"/>
  <c r="V64" i="4"/>
  <c r="V65" i="4"/>
  <c r="V66" i="4"/>
  <c r="V67" i="4"/>
  <c r="V68" i="4"/>
  <c r="V69" i="4"/>
  <c r="V70" i="4"/>
  <c r="V71" i="4"/>
  <c r="V72" i="4"/>
  <c r="V73" i="4"/>
  <c r="V74" i="4"/>
  <c r="V75" i="4"/>
  <c r="V76" i="4"/>
  <c r="V77" i="4"/>
  <c r="V78" i="4"/>
  <c r="V79" i="4"/>
  <c r="V80" i="4"/>
  <c r="V81" i="4"/>
  <c r="V82" i="4"/>
  <c r="V83" i="4"/>
  <c r="V84" i="4"/>
  <c r="V85" i="4"/>
  <c r="V86" i="4"/>
  <c r="V87" i="4"/>
  <c r="V88" i="4"/>
  <c r="V89" i="4"/>
  <c r="V90" i="4"/>
  <c r="V91" i="4"/>
  <c r="V92" i="4"/>
  <c r="V93" i="4"/>
  <c r="V94" i="4"/>
  <c r="V95" i="4"/>
  <c r="V96" i="4"/>
  <c r="V97" i="4"/>
  <c r="V98" i="4"/>
  <c r="V99" i="4"/>
  <c r="V100" i="4"/>
  <c r="V101" i="4"/>
  <c r="V102" i="4"/>
  <c r="V103" i="4"/>
  <c r="V104" i="4"/>
  <c r="V105" i="4"/>
  <c r="V106" i="4"/>
  <c r="V107" i="4"/>
  <c r="V108" i="4"/>
  <c r="V109" i="4"/>
  <c r="V110" i="4"/>
  <c r="V111" i="4"/>
  <c r="V112" i="4"/>
  <c r="V113" i="4"/>
  <c r="V114" i="4"/>
  <c r="V115" i="4"/>
  <c r="V116" i="4"/>
  <c r="V117" i="4"/>
  <c r="V118" i="4"/>
  <c r="V119" i="4"/>
  <c r="V120" i="4"/>
  <c r="V121" i="4"/>
  <c r="V122" i="4"/>
  <c r="V123" i="4"/>
  <c r="V124" i="4"/>
  <c r="V125" i="4"/>
  <c r="V126" i="4"/>
  <c r="V127" i="4"/>
  <c r="V128" i="4"/>
  <c r="V129" i="4"/>
  <c r="V130" i="4"/>
  <c r="V131" i="4"/>
  <c r="V132" i="4"/>
  <c r="V133" i="4"/>
  <c r="V134" i="4"/>
  <c r="V135" i="4"/>
  <c r="V136" i="4"/>
  <c r="V137" i="4"/>
  <c r="V138" i="4"/>
  <c r="V139" i="4"/>
  <c r="V140" i="4"/>
  <c r="V141" i="4"/>
  <c r="V142" i="4"/>
  <c r="V143" i="4"/>
  <c r="V144" i="4"/>
  <c r="V145" i="4"/>
  <c r="V146" i="4"/>
  <c r="V147" i="4"/>
  <c r="V148" i="4"/>
  <c r="V149" i="4"/>
  <c r="V150" i="4"/>
  <c r="V151" i="4"/>
  <c r="V152" i="4"/>
  <c r="V153" i="4"/>
  <c r="V154" i="4"/>
  <c r="V155" i="4"/>
  <c r="V156" i="4"/>
  <c r="V157" i="4"/>
  <c r="V158" i="4"/>
  <c r="V159" i="4"/>
  <c r="V160" i="4"/>
  <c r="V161" i="4"/>
  <c r="V162" i="4"/>
  <c r="V163" i="4"/>
  <c r="V164" i="4"/>
  <c r="V165" i="4"/>
  <c r="V166" i="4"/>
  <c r="V167" i="4"/>
  <c r="V168" i="4"/>
  <c r="V169" i="4"/>
  <c r="V170" i="4"/>
  <c r="V171" i="4"/>
  <c r="V172" i="4"/>
  <c r="V173" i="4"/>
  <c r="V174" i="4"/>
  <c r="V175" i="4"/>
  <c r="V176" i="4"/>
  <c r="V177" i="4"/>
  <c r="V178" i="4"/>
  <c r="V179" i="4"/>
  <c r="V180" i="4"/>
  <c r="V181" i="4"/>
  <c r="V182" i="4"/>
  <c r="V183" i="4"/>
  <c r="V184" i="4"/>
  <c r="V185" i="4"/>
  <c r="V186" i="4"/>
  <c r="V187" i="4"/>
  <c r="V188" i="4"/>
  <c r="V189" i="4"/>
  <c r="V190" i="4"/>
  <c r="V191" i="4"/>
  <c r="V192" i="4"/>
  <c r="V193" i="4"/>
  <c r="V194" i="4"/>
  <c r="V195" i="4"/>
  <c r="V196" i="4"/>
  <c r="V197" i="4"/>
  <c r="V198" i="4"/>
  <c r="V199" i="4"/>
  <c r="V200" i="4"/>
  <c r="V201" i="4"/>
  <c r="V202" i="4"/>
  <c r="V203" i="4"/>
  <c r="V204" i="4"/>
  <c r="V205" i="4"/>
  <c r="V206" i="4"/>
  <c r="V207" i="4"/>
  <c r="V208" i="4"/>
  <c r="V209" i="4"/>
  <c r="V210" i="4"/>
  <c r="V211" i="4"/>
  <c r="V212" i="4"/>
  <c r="V213" i="4"/>
  <c r="V214" i="4"/>
  <c r="V215" i="4"/>
  <c r="V216" i="4"/>
  <c r="V217" i="4"/>
  <c r="V218" i="4"/>
  <c r="V219" i="4"/>
  <c r="V220" i="4"/>
  <c r="V221" i="4"/>
  <c r="V222" i="4"/>
  <c r="V223" i="4"/>
  <c r="V224" i="4"/>
  <c r="V225" i="4"/>
  <c r="V226" i="4"/>
  <c r="V227" i="4"/>
  <c r="V228" i="4"/>
  <c r="V229" i="4"/>
  <c r="V230" i="4"/>
  <c r="V231" i="4"/>
  <c r="V232" i="4"/>
  <c r="V233" i="4"/>
  <c r="V234" i="4"/>
  <c r="V235" i="4"/>
  <c r="V236" i="4"/>
  <c r="V237" i="4"/>
  <c r="V238" i="4"/>
  <c r="V239" i="4"/>
  <c r="V240" i="4"/>
  <c r="V241" i="4"/>
  <c r="V242" i="4"/>
  <c r="V243" i="4"/>
  <c r="V244" i="4"/>
  <c r="V245" i="4"/>
  <c r="V246" i="4"/>
  <c r="V247" i="4"/>
  <c r="V248" i="4"/>
  <c r="V249" i="4"/>
  <c r="V250" i="4"/>
  <c r="V251" i="4"/>
  <c r="V252" i="4"/>
  <c r="V253" i="4"/>
  <c r="V254" i="4"/>
  <c r="V255" i="4"/>
  <c r="V256" i="4"/>
  <c r="V257" i="4"/>
  <c r="V258" i="4"/>
  <c r="V259" i="4"/>
  <c r="V260" i="4"/>
  <c r="V261" i="4"/>
  <c r="V262" i="4"/>
  <c r="V263" i="4"/>
  <c r="V264" i="4"/>
  <c r="V265" i="4"/>
  <c r="V266" i="4"/>
  <c r="V267" i="4"/>
  <c r="V268" i="4"/>
  <c r="V269" i="4"/>
  <c r="V270" i="4"/>
  <c r="V271" i="4"/>
  <c r="V272" i="4"/>
  <c r="V273" i="4"/>
  <c r="V274" i="4"/>
  <c r="V275" i="4"/>
  <c r="V276" i="4"/>
  <c r="V277" i="4"/>
  <c r="V278" i="4"/>
  <c r="V279" i="4"/>
  <c r="V280" i="4"/>
  <c r="V281" i="4"/>
  <c r="V282" i="4"/>
  <c r="V283" i="4"/>
  <c r="V284" i="4"/>
  <c r="V285" i="4"/>
  <c r="V286" i="4"/>
  <c r="V287" i="4"/>
  <c r="V288" i="4"/>
  <c r="V289" i="4"/>
  <c r="V290" i="4"/>
  <c r="V291" i="4"/>
  <c r="V292" i="4"/>
  <c r="V293" i="4"/>
  <c r="V294" i="4"/>
  <c r="V295" i="4"/>
  <c r="V296" i="4"/>
  <c r="V297" i="4"/>
  <c r="V298" i="4"/>
  <c r="V299" i="4"/>
  <c r="V300" i="4"/>
  <c r="V301" i="4"/>
  <c r="V302" i="4"/>
  <c r="V303" i="4"/>
  <c r="V304" i="4"/>
  <c r="V305" i="4"/>
  <c r="V307" i="4"/>
  <c r="V308" i="4"/>
  <c r="V309" i="4"/>
  <c r="V310" i="4"/>
  <c r="V311" i="4"/>
  <c r="V312" i="4"/>
  <c r="V313" i="4"/>
  <c r="V314" i="4"/>
  <c r="V315" i="4"/>
  <c r="V316" i="4"/>
  <c r="V317" i="4"/>
  <c r="V318" i="4"/>
  <c r="V319" i="4"/>
  <c r="V320" i="4"/>
  <c r="V321" i="4"/>
  <c r="V322" i="4"/>
  <c r="V323" i="4"/>
  <c r="V324" i="4"/>
  <c r="V325" i="4"/>
  <c r="V326" i="4"/>
  <c r="V327" i="4"/>
  <c r="V328" i="4"/>
  <c r="V329" i="4"/>
  <c r="V330" i="4"/>
  <c r="V331" i="4"/>
  <c r="V332" i="4"/>
  <c r="V333" i="4"/>
  <c r="V334" i="4"/>
  <c r="V335" i="4"/>
  <c r="V336" i="4"/>
  <c r="V337" i="4"/>
  <c r="V338" i="4"/>
  <c r="V339" i="4"/>
  <c r="V340" i="4"/>
  <c r="V341" i="4"/>
  <c r="V342" i="4"/>
  <c r="V343" i="4"/>
  <c r="V344" i="4"/>
  <c r="V345" i="4"/>
  <c r="V346" i="4"/>
  <c r="V347" i="4"/>
  <c r="V348" i="4"/>
  <c r="V349" i="4"/>
  <c r="V350" i="4"/>
  <c r="V351" i="4"/>
  <c r="V352" i="4"/>
  <c r="V353" i="4"/>
  <c r="V354" i="4"/>
  <c r="V355" i="4"/>
  <c r="V356" i="4"/>
  <c r="V357" i="4"/>
  <c r="V358" i="4"/>
  <c r="V359" i="4"/>
  <c r="V360" i="4"/>
  <c r="V361" i="4"/>
  <c r="V362" i="4"/>
  <c r="V363" i="4"/>
  <c r="V364" i="4"/>
  <c r="V365" i="4"/>
  <c r="V366" i="4"/>
  <c r="V367" i="4"/>
  <c r="V368" i="4"/>
  <c r="V369" i="4"/>
  <c r="V370" i="4"/>
  <c r="V371" i="4"/>
  <c r="V372" i="4"/>
  <c r="V373" i="4"/>
  <c r="V374" i="4"/>
  <c r="V375" i="4"/>
  <c r="V376" i="4"/>
  <c r="V377" i="4"/>
  <c r="V378" i="4"/>
  <c r="V379" i="4"/>
  <c r="V380" i="4"/>
  <c r="V381" i="4"/>
  <c r="V382" i="4"/>
  <c r="V383" i="4"/>
  <c r="V384" i="4"/>
  <c r="V385" i="4"/>
  <c r="V386" i="4"/>
  <c r="V387" i="4"/>
  <c r="V388" i="4"/>
  <c r="V389" i="4"/>
  <c r="V390" i="4"/>
  <c r="V391" i="4"/>
  <c r="V392" i="4"/>
  <c r="V393" i="4"/>
  <c r="V394" i="4"/>
  <c r="V395" i="4"/>
  <c r="V396" i="4"/>
  <c r="V397" i="4"/>
  <c r="V398" i="4"/>
  <c r="V399" i="4"/>
  <c r="V400" i="4"/>
  <c r="V401" i="4"/>
  <c r="V402" i="4"/>
  <c r="V403" i="4"/>
  <c r="V404" i="4"/>
  <c r="V405" i="4"/>
  <c r="V406" i="4"/>
  <c r="V407" i="4"/>
  <c r="V408" i="4"/>
  <c r="V409" i="4"/>
  <c r="V410" i="4"/>
  <c r="V411" i="4"/>
  <c r="V412" i="4"/>
  <c r="V413" i="4"/>
  <c r="V414" i="4"/>
  <c r="V415" i="4"/>
  <c r="V416" i="4"/>
  <c r="V417" i="4"/>
  <c r="V418" i="4"/>
  <c r="V419" i="4"/>
  <c r="V420" i="4"/>
  <c r="V421" i="4"/>
  <c r="V422" i="4"/>
  <c r="V423" i="4"/>
  <c r="V424" i="4"/>
  <c r="V425" i="4"/>
  <c r="V426" i="4"/>
  <c r="V427" i="4"/>
  <c r="V428" i="4"/>
  <c r="V429" i="4"/>
  <c r="V430" i="4"/>
  <c r="V431" i="4"/>
  <c r="V432" i="4"/>
  <c r="V433" i="4"/>
  <c r="V434" i="4"/>
  <c r="V435" i="4"/>
  <c r="V436" i="4"/>
  <c r="V437" i="4"/>
  <c r="V438" i="4"/>
  <c r="V439" i="4"/>
  <c r="V440" i="4"/>
  <c r="V441" i="4"/>
  <c r="V442" i="4"/>
  <c r="V443" i="4"/>
  <c r="V444" i="4"/>
  <c r="V445" i="4"/>
  <c r="V446" i="4"/>
  <c r="V447" i="4"/>
  <c r="V448" i="4"/>
  <c r="V449" i="4"/>
  <c r="V450" i="4"/>
  <c r="V451" i="4"/>
  <c r="V452" i="4"/>
  <c r="V453" i="4"/>
  <c r="V454" i="4"/>
  <c r="V455" i="4"/>
  <c r="V456" i="4"/>
  <c r="V457" i="4"/>
  <c r="V458" i="4"/>
  <c r="V459" i="4"/>
  <c r="V460" i="4"/>
  <c r="V461" i="4"/>
  <c r="V462" i="4"/>
  <c r="V463" i="4"/>
  <c r="V464" i="4"/>
  <c r="V465" i="4"/>
  <c r="V466" i="4"/>
  <c r="V467" i="4"/>
  <c r="V468" i="4"/>
  <c r="V469" i="4"/>
  <c r="V470" i="4"/>
  <c r="V471" i="4"/>
  <c r="V472" i="4"/>
  <c r="V473" i="4"/>
  <c r="V474" i="4"/>
  <c r="V475" i="4"/>
  <c r="V476" i="4"/>
  <c r="V477" i="4"/>
  <c r="V478" i="4"/>
  <c r="V479" i="4"/>
  <c r="V480" i="4"/>
  <c r="V481" i="4"/>
  <c r="V482" i="4"/>
  <c r="V483" i="4"/>
  <c r="V484" i="4"/>
  <c r="V485" i="4"/>
  <c r="V486" i="4"/>
  <c r="V487" i="4"/>
  <c r="V488" i="4"/>
  <c r="V489" i="4"/>
  <c r="V490" i="4"/>
  <c r="V491" i="4"/>
  <c r="V492" i="4"/>
  <c r="V493" i="4"/>
  <c r="V494" i="4"/>
  <c r="V495" i="4"/>
  <c r="V496" i="4"/>
  <c r="V497" i="4"/>
  <c r="V498" i="4"/>
  <c r="V499" i="4"/>
  <c r="V500" i="4"/>
  <c r="V501" i="4"/>
  <c r="V502" i="4"/>
  <c r="V503" i="4"/>
  <c r="V504" i="4"/>
  <c r="V505" i="4"/>
  <c r="V506" i="4"/>
  <c r="V507" i="4"/>
  <c r="V508" i="4"/>
  <c r="V509" i="4"/>
  <c r="V510" i="4"/>
  <c r="V511" i="4"/>
  <c r="V512" i="4"/>
  <c r="V513" i="4"/>
  <c r="V514" i="4"/>
  <c r="V515" i="4"/>
  <c r="V516" i="4"/>
  <c r="V517" i="4"/>
  <c r="V518" i="4"/>
  <c r="V519" i="4"/>
  <c r="V520" i="4"/>
  <c r="V521" i="4"/>
  <c r="V522" i="4"/>
  <c r="V523" i="4"/>
  <c r="V524" i="4"/>
  <c r="V525" i="4"/>
  <c r="V526" i="4"/>
  <c r="V527" i="4"/>
  <c r="V528" i="4"/>
  <c r="V529" i="4"/>
  <c r="V530" i="4"/>
  <c r="V531" i="4"/>
  <c r="V532" i="4"/>
  <c r="V533" i="4"/>
  <c r="V534" i="4"/>
  <c r="V535" i="4"/>
  <c r="V536" i="4"/>
  <c r="V537" i="4"/>
  <c r="V538" i="4"/>
  <c r="V539" i="4"/>
  <c r="V540" i="4"/>
  <c r="V541" i="4"/>
  <c r="V542" i="4"/>
  <c r="V543" i="4"/>
  <c r="V544" i="4"/>
  <c r="V545" i="4"/>
  <c r="V546" i="4"/>
  <c r="V547" i="4"/>
  <c r="V548" i="4"/>
  <c r="V549" i="4"/>
  <c r="V550" i="4"/>
  <c r="V551" i="4"/>
  <c r="V552" i="4"/>
  <c r="V553" i="4"/>
  <c r="V554" i="4"/>
  <c r="V555" i="4"/>
  <c r="V556" i="4"/>
  <c r="V557" i="4"/>
  <c r="V558" i="4"/>
  <c r="V559" i="4"/>
  <c r="V560" i="4"/>
  <c r="V561" i="4"/>
  <c r="V562" i="4"/>
  <c r="V563" i="4"/>
  <c r="W10" i="4"/>
  <c r="X10" i="4"/>
  <c r="Y10" i="4"/>
  <c r="Z10" i="4"/>
  <c r="U553" i="4"/>
  <c r="U539" i="4"/>
  <c r="U538" i="4"/>
  <c r="U532" i="4"/>
  <c r="U531" i="4"/>
  <c r="U524" i="4"/>
  <c r="U411" i="4"/>
  <c r="U331" i="4"/>
  <c r="U330" i="4"/>
  <c r="U329" i="4"/>
  <c r="U184" i="4"/>
  <c r="U65" i="4"/>
  <c r="U57" i="4"/>
  <c r="AT20" i="1"/>
  <c r="V10" i="4"/>
  <c r="R11" i="4"/>
  <c r="S11" i="4"/>
  <c r="T11" i="4"/>
  <c r="R12" i="4"/>
  <c r="S12" i="4"/>
  <c r="T12" i="4"/>
  <c r="R13" i="4"/>
  <c r="S13" i="4"/>
  <c r="T13" i="4"/>
  <c r="R14" i="4"/>
  <c r="S14" i="4"/>
  <c r="T14" i="4"/>
  <c r="R15" i="4"/>
  <c r="S15" i="4"/>
  <c r="T15" i="4"/>
  <c r="R16" i="4"/>
  <c r="S16" i="4"/>
  <c r="T16" i="4"/>
  <c r="R17" i="4"/>
  <c r="S17" i="4"/>
  <c r="T17" i="4"/>
  <c r="R18" i="4"/>
  <c r="S18" i="4"/>
  <c r="T18" i="4"/>
  <c r="R19" i="4"/>
  <c r="S19" i="4"/>
  <c r="T19" i="4"/>
  <c r="R20" i="4"/>
  <c r="S20" i="4"/>
  <c r="T20" i="4"/>
  <c r="R21" i="4"/>
  <c r="S21" i="4"/>
  <c r="T21" i="4"/>
  <c r="R22" i="4"/>
  <c r="S22" i="4"/>
  <c r="T22" i="4"/>
  <c r="R23" i="4"/>
  <c r="S23" i="4"/>
  <c r="T23" i="4"/>
  <c r="R24" i="4"/>
  <c r="S24" i="4"/>
  <c r="T24" i="4"/>
  <c r="R25" i="4"/>
  <c r="S25" i="4"/>
  <c r="T25" i="4"/>
  <c r="R26" i="4"/>
  <c r="S26" i="4"/>
  <c r="T26" i="4"/>
  <c r="R27" i="4"/>
  <c r="S27" i="4"/>
  <c r="T27" i="4"/>
  <c r="R28" i="4"/>
  <c r="S28" i="4"/>
  <c r="T28" i="4"/>
  <c r="R29" i="4"/>
  <c r="S29" i="4"/>
  <c r="T29" i="4"/>
  <c r="R30" i="4"/>
  <c r="S30" i="4"/>
  <c r="T30" i="4"/>
  <c r="R31" i="4"/>
  <c r="S31" i="4"/>
  <c r="T31" i="4"/>
  <c r="R32" i="4"/>
  <c r="S32" i="4"/>
  <c r="T32" i="4"/>
  <c r="R33" i="4"/>
  <c r="S33" i="4"/>
  <c r="T33" i="4"/>
  <c r="R34" i="4"/>
  <c r="S34" i="4"/>
  <c r="T34" i="4"/>
  <c r="R35" i="4"/>
  <c r="S35" i="4"/>
  <c r="T35" i="4"/>
  <c r="R36" i="4"/>
  <c r="S36" i="4"/>
  <c r="T36" i="4"/>
  <c r="R37" i="4"/>
  <c r="S37" i="4"/>
  <c r="T37" i="4"/>
  <c r="R38" i="4"/>
  <c r="S38" i="4"/>
  <c r="T38" i="4"/>
  <c r="R39" i="4"/>
  <c r="S39" i="4"/>
  <c r="T39" i="4"/>
  <c r="R40" i="4"/>
  <c r="S40" i="4"/>
  <c r="T40" i="4"/>
  <c r="R41" i="4"/>
  <c r="S41" i="4"/>
  <c r="T41" i="4"/>
  <c r="R42" i="4"/>
  <c r="S42" i="4"/>
  <c r="T42" i="4"/>
  <c r="R43" i="4"/>
  <c r="S43" i="4"/>
  <c r="T43" i="4"/>
  <c r="R44" i="4"/>
  <c r="S44" i="4"/>
  <c r="T44" i="4"/>
  <c r="R45" i="4"/>
  <c r="S45" i="4"/>
  <c r="T45" i="4"/>
  <c r="R46" i="4"/>
  <c r="S46" i="4"/>
  <c r="T46" i="4"/>
  <c r="R47" i="4"/>
  <c r="S47" i="4"/>
  <c r="T47" i="4"/>
  <c r="R48" i="4"/>
  <c r="S48" i="4"/>
  <c r="T48" i="4"/>
  <c r="R49" i="4"/>
  <c r="S49" i="4"/>
  <c r="T49" i="4"/>
  <c r="R50" i="4"/>
  <c r="S50" i="4"/>
  <c r="T50" i="4"/>
  <c r="R51" i="4"/>
  <c r="S51" i="4"/>
  <c r="T51" i="4"/>
  <c r="R52" i="4"/>
  <c r="S52" i="4"/>
  <c r="T52" i="4"/>
  <c r="R53" i="4"/>
  <c r="S53" i="4"/>
  <c r="T53" i="4"/>
  <c r="R54" i="4"/>
  <c r="S54" i="4"/>
  <c r="T54" i="4"/>
  <c r="R55" i="4"/>
  <c r="S55" i="4"/>
  <c r="T55" i="4"/>
  <c r="R56" i="4"/>
  <c r="S56" i="4"/>
  <c r="T56" i="4"/>
  <c r="R57" i="4"/>
  <c r="S57" i="4"/>
  <c r="T57" i="4"/>
  <c r="R58" i="4"/>
  <c r="S58" i="4"/>
  <c r="T58" i="4"/>
  <c r="R59" i="4"/>
  <c r="S59" i="4"/>
  <c r="T59" i="4"/>
  <c r="R60" i="4"/>
  <c r="S60" i="4"/>
  <c r="T60" i="4"/>
  <c r="R61" i="4"/>
  <c r="S61" i="4"/>
  <c r="T61" i="4"/>
  <c r="R62" i="4"/>
  <c r="S62" i="4"/>
  <c r="T62" i="4"/>
  <c r="R63" i="4"/>
  <c r="S63" i="4"/>
  <c r="T63" i="4"/>
  <c r="R64" i="4"/>
  <c r="S64" i="4"/>
  <c r="T64" i="4"/>
  <c r="R65" i="4"/>
  <c r="S65" i="4"/>
  <c r="T65" i="4"/>
  <c r="R66" i="4"/>
  <c r="S66" i="4"/>
  <c r="T66" i="4"/>
  <c r="R67" i="4"/>
  <c r="S67" i="4"/>
  <c r="T67" i="4"/>
  <c r="R68" i="4"/>
  <c r="S68" i="4"/>
  <c r="T68" i="4"/>
  <c r="R69" i="4"/>
  <c r="S69" i="4"/>
  <c r="T69" i="4"/>
  <c r="R70" i="4"/>
  <c r="S70" i="4"/>
  <c r="T70" i="4"/>
  <c r="R71" i="4"/>
  <c r="S71" i="4"/>
  <c r="T71" i="4"/>
  <c r="R72" i="4"/>
  <c r="S72" i="4"/>
  <c r="T72" i="4"/>
  <c r="R73" i="4"/>
  <c r="S73" i="4"/>
  <c r="T73" i="4"/>
  <c r="R74" i="4"/>
  <c r="S74" i="4"/>
  <c r="T74" i="4"/>
  <c r="R75" i="4"/>
  <c r="S75" i="4"/>
  <c r="T75" i="4"/>
  <c r="R76" i="4"/>
  <c r="S76" i="4"/>
  <c r="T76" i="4"/>
  <c r="R77" i="4"/>
  <c r="S77" i="4"/>
  <c r="T77" i="4"/>
  <c r="R78" i="4"/>
  <c r="S78" i="4"/>
  <c r="T78" i="4"/>
  <c r="R79" i="4"/>
  <c r="S79" i="4"/>
  <c r="T79" i="4"/>
  <c r="R80" i="4"/>
  <c r="S80" i="4"/>
  <c r="T80" i="4"/>
  <c r="R81" i="4"/>
  <c r="S81" i="4"/>
  <c r="T81" i="4"/>
  <c r="R82" i="4"/>
  <c r="S82" i="4"/>
  <c r="T82" i="4"/>
  <c r="R83" i="4"/>
  <c r="S83" i="4"/>
  <c r="T83" i="4"/>
  <c r="R84" i="4"/>
  <c r="S84" i="4"/>
  <c r="T84" i="4"/>
  <c r="R85" i="4"/>
  <c r="S85" i="4"/>
  <c r="T85" i="4"/>
  <c r="R86" i="4"/>
  <c r="S86" i="4"/>
  <c r="T86" i="4"/>
  <c r="R87" i="4"/>
  <c r="S87" i="4"/>
  <c r="T87" i="4"/>
  <c r="R88" i="4"/>
  <c r="S88" i="4"/>
  <c r="T88" i="4"/>
  <c r="R89" i="4"/>
  <c r="S89" i="4"/>
  <c r="T89" i="4"/>
  <c r="R90" i="4"/>
  <c r="S90" i="4"/>
  <c r="T90" i="4"/>
  <c r="R91" i="4"/>
  <c r="S91" i="4"/>
  <c r="T91" i="4"/>
  <c r="R92" i="4"/>
  <c r="S92" i="4"/>
  <c r="T92" i="4"/>
  <c r="R93" i="4"/>
  <c r="S93" i="4"/>
  <c r="T93" i="4"/>
  <c r="R94" i="4"/>
  <c r="S94" i="4"/>
  <c r="T94" i="4"/>
  <c r="R95" i="4"/>
  <c r="S95" i="4"/>
  <c r="T95" i="4"/>
  <c r="R96" i="4"/>
  <c r="S96" i="4"/>
  <c r="T96" i="4"/>
  <c r="R97" i="4"/>
  <c r="S97" i="4"/>
  <c r="T97" i="4"/>
  <c r="R98" i="4"/>
  <c r="S98" i="4"/>
  <c r="T98" i="4"/>
  <c r="R99" i="4"/>
  <c r="S99" i="4"/>
  <c r="T99" i="4"/>
  <c r="R100" i="4"/>
  <c r="S100" i="4"/>
  <c r="T100" i="4"/>
  <c r="R101" i="4"/>
  <c r="S101" i="4"/>
  <c r="T101" i="4"/>
  <c r="R102" i="4"/>
  <c r="S102" i="4"/>
  <c r="T102" i="4"/>
  <c r="R103" i="4"/>
  <c r="S103" i="4"/>
  <c r="T103" i="4"/>
  <c r="R104" i="4"/>
  <c r="S104" i="4"/>
  <c r="T104" i="4"/>
  <c r="R105" i="4"/>
  <c r="S105" i="4"/>
  <c r="T105" i="4"/>
  <c r="R106" i="4"/>
  <c r="S106" i="4"/>
  <c r="T106" i="4"/>
  <c r="R107" i="4"/>
  <c r="S107" i="4"/>
  <c r="T107" i="4"/>
  <c r="R108" i="4"/>
  <c r="S108" i="4"/>
  <c r="T108" i="4"/>
  <c r="R109" i="4"/>
  <c r="S109" i="4"/>
  <c r="T109" i="4"/>
  <c r="R110" i="4"/>
  <c r="S110" i="4"/>
  <c r="T110" i="4"/>
  <c r="R111" i="4"/>
  <c r="S111" i="4"/>
  <c r="T111" i="4"/>
  <c r="R112" i="4"/>
  <c r="S112" i="4"/>
  <c r="T112" i="4"/>
  <c r="R113" i="4"/>
  <c r="S113" i="4"/>
  <c r="T113" i="4"/>
  <c r="R114" i="4"/>
  <c r="S114" i="4"/>
  <c r="T114" i="4"/>
  <c r="R115" i="4"/>
  <c r="S115" i="4"/>
  <c r="T115" i="4"/>
  <c r="R116" i="4"/>
  <c r="S116" i="4"/>
  <c r="T116" i="4"/>
  <c r="R117" i="4"/>
  <c r="S117" i="4"/>
  <c r="T117" i="4"/>
  <c r="R118" i="4"/>
  <c r="S118" i="4"/>
  <c r="T118" i="4"/>
  <c r="R119" i="4"/>
  <c r="S119" i="4"/>
  <c r="T119" i="4"/>
  <c r="R120" i="4"/>
  <c r="S120" i="4"/>
  <c r="T120" i="4"/>
  <c r="R121" i="4"/>
  <c r="S121" i="4"/>
  <c r="T121" i="4"/>
  <c r="R122" i="4"/>
  <c r="S122" i="4"/>
  <c r="T122" i="4"/>
  <c r="R123" i="4"/>
  <c r="S123" i="4"/>
  <c r="T123" i="4"/>
  <c r="R124" i="4"/>
  <c r="S124" i="4"/>
  <c r="T124" i="4"/>
  <c r="R125" i="4"/>
  <c r="S125" i="4"/>
  <c r="T125" i="4"/>
  <c r="R126" i="4"/>
  <c r="S126" i="4"/>
  <c r="T126" i="4"/>
  <c r="R127" i="4"/>
  <c r="S127" i="4"/>
  <c r="T127" i="4"/>
  <c r="R128" i="4"/>
  <c r="S128" i="4"/>
  <c r="T128" i="4"/>
  <c r="R129" i="4"/>
  <c r="S129" i="4"/>
  <c r="T129" i="4"/>
  <c r="R130" i="4"/>
  <c r="S130" i="4"/>
  <c r="T130" i="4"/>
  <c r="R131" i="4"/>
  <c r="S131" i="4"/>
  <c r="T131" i="4"/>
  <c r="R132" i="4"/>
  <c r="S132" i="4"/>
  <c r="T132" i="4"/>
  <c r="R133" i="4"/>
  <c r="S133" i="4"/>
  <c r="T133" i="4"/>
  <c r="R134" i="4"/>
  <c r="S134" i="4"/>
  <c r="T134" i="4"/>
  <c r="R135" i="4"/>
  <c r="S135" i="4"/>
  <c r="T135" i="4"/>
  <c r="R136" i="4"/>
  <c r="S136" i="4"/>
  <c r="T136" i="4"/>
  <c r="R137" i="4"/>
  <c r="S137" i="4"/>
  <c r="T137" i="4"/>
  <c r="R138" i="4"/>
  <c r="S138" i="4"/>
  <c r="T138" i="4"/>
  <c r="R139" i="4"/>
  <c r="S139" i="4"/>
  <c r="T139" i="4"/>
  <c r="R140" i="4"/>
  <c r="S140" i="4"/>
  <c r="T140" i="4"/>
  <c r="R141" i="4"/>
  <c r="S141" i="4"/>
  <c r="T141" i="4"/>
  <c r="R142" i="4"/>
  <c r="S142" i="4"/>
  <c r="T142" i="4"/>
  <c r="R143" i="4"/>
  <c r="S143" i="4"/>
  <c r="T143" i="4"/>
  <c r="R144" i="4"/>
  <c r="S144" i="4"/>
  <c r="T144" i="4"/>
  <c r="R145" i="4"/>
  <c r="S145" i="4"/>
  <c r="T145" i="4"/>
  <c r="R146" i="4"/>
  <c r="S146" i="4"/>
  <c r="T146" i="4"/>
  <c r="R147" i="4"/>
  <c r="S147" i="4"/>
  <c r="T147" i="4"/>
  <c r="R148" i="4"/>
  <c r="S148" i="4"/>
  <c r="T148" i="4"/>
  <c r="R149" i="4"/>
  <c r="S149" i="4"/>
  <c r="T149" i="4"/>
  <c r="R150" i="4"/>
  <c r="S150" i="4"/>
  <c r="T150" i="4"/>
  <c r="R151" i="4"/>
  <c r="S151" i="4"/>
  <c r="T151" i="4"/>
  <c r="R152" i="4"/>
  <c r="S152" i="4"/>
  <c r="T152" i="4"/>
  <c r="R153" i="4"/>
  <c r="S153" i="4"/>
  <c r="T153" i="4"/>
  <c r="R154" i="4"/>
  <c r="S154" i="4"/>
  <c r="T154" i="4"/>
  <c r="R155" i="4"/>
  <c r="S155" i="4"/>
  <c r="T155" i="4"/>
  <c r="R156" i="4"/>
  <c r="S156" i="4"/>
  <c r="T156" i="4"/>
  <c r="R157" i="4"/>
  <c r="S157" i="4"/>
  <c r="T157" i="4"/>
  <c r="R158" i="4"/>
  <c r="S158" i="4"/>
  <c r="T158" i="4"/>
  <c r="R159" i="4"/>
  <c r="S159" i="4"/>
  <c r="T159" i="4"/>
  <c r="R160" i="4"/>
  <c r="S160" i="4"/>
  <c r="T160" i="4"/>
  <c r="R161" i="4"/>
  <c r="S161" i="4"/>
  <c r="T161" i="4"/>
  <c r="R162" i="4"/>
  <c r="S162" i="4"/>
  <c r="T162" i="4"/>
  <c r="R163" i="4"/>
  <c r="S163" i="4"/>
  <c r="T163" i="4"/>
  <c r="R164" i="4"/>
  <c r="S164" i="4"/>
  <c r="T164" i="4"/>
  <c r="R165" i="4"/>
  <c r="S165" i="4"/>
  <c r="T165" i="4"/>
  <c r="R166" i="4"/>
  <c r="S166" i="4"/>
  <c r="T166" i="4"/>
  <c r="R167" i="4"/>
  <c r="S167" i="4"/>
  <c r="T167" i="4"/>
  <c r="R168" i="4"/>
  <c r="S168" i="4"/>
  <c r="T168" i="4"/>
  <c r="R169" i="4"/>
  <c r="S169" i="4"/>
  <c r="T169" i="4"/>
  <c r="R170" i="4"/>
  <c r="S170" i="4"/>
  <c r="T170" i="4"/>
  <c r="R171" i="4"/>
  <c r="S171" i="4"/>
  <c r="T171" i="4"/>
  <c r="R172" i="4"/>
  <c r="S172" i="4"/>
  <c r="T172" i="4"/>
  <c r="R173" i="4"/>
  <c r="S173" i="4"/>
  <c r="T173" i="4"/>
  <c r="R174" i="4"/>
  <c r="S174" i="4"/>
  <c r="T174" i="4"/>
  <c r="R175" i="4"/>
  <c r="S175" i="4"/>
  <c r="T175" i="4"/>
  <c r="R176" i="4"/>
  <c r="S176" i="4"/>
  <c r="T176" i="4"/>
  <c r="R177" i="4"/>
  <c r="S177" i="4"/>
  <c r="T177" i="4"/>
  <c r="R178" i="4"/>
  <c r="S178" i="4"/>
  <c r="T178" i="4"/>
  <c r="R179" i="4"/>
  <c r="S179" i="4"/>
  <c r="T179" i="4"/>
  <c r="R180" i="4"/>
  <c r="S180" i="4"/>
  <c r="T180" i="4"/>
  <c r="R181" i="4"/>
  <c r="S181" i="4"/>
  <c r="T181" i="4"/>
  <c r="R182" i="4"/>
  <c r="S182" i="4"/>
  <c r="T182" i="4"/>
  <c r="R183" i="4"/>
  <c r="S183" i="4"/>
  <c r="T183" i="4"/>
  <c r="R184" i="4"/>
  <c r="S184" i="4"/>
  <c r="T184" i="4"/>
  <c r="R185" i="4"/>
  <c r="S185" i="4"/>
  <c r="T185" i="4"/>
  <c r="R186" i="4"/>
  <c r="S186" i="4"/>
  <c r="T186" i="4"/>
  <c r="R187" i="4"/>
  <c r="S187" i="4"/>
  <c r="T187" i="4"/>
  <c r="R188" i="4"/>
  <c r="S188" i="4"/>
  <c r="T188" i="4"/>
  <c r="R189" i="4"/>
  <c r="S189" i="4"/>
  <c r="T189" i="4"/>
  <c r="R190" i="4"/>
  <c r="S190" i="4"/>
  <c r="T190" i="4"/>
  <c r="R191" i="4"/>
  <c r="S191" i="4"/>
  <c r="T191" i="4"/>
  <c r="R192" i="4"/>
  <c r="S192" i="4"/>
  <c r="T192" i="4"/>
  <c r="R193" i="4"/>
  <c r="S193" i="4"/>
  <c r="T193" i="4"/>
  <c r="R194" i="4"/>
  <c r="S194" i="4"/>
  <c r="T194" i="4"/>
  <c r="R195" i="4"/>
  <c r="S195" i="4"/>
  <c r="T195" i="4"/>
  <c r="R196" i="4"/>
  <c r="S196" i="4"/>
  <c r="T196" i="4"/>
  <c r="R197" i="4"/>
  <c r="S197" i="4"/>
  <c r="T197" i="4"/>
  <c r="R198" i="4"/>
  <c r="S198" i="4"/>
  <c r="T198" i="4"/>
  <c r="R199" i="4"/>
  <c r="S199" i="4"/>
  <c r="T199" i="4"/>
  <c r="R200" i="4"/>
  <c r="S200" i="4"/>
  <c r="T200" i="4"/>
  <c r="R201" i="4"/>
  <c r="S201" i="4"/>
  <c r="T201" i="4"/>
  <c r="R202" i="4"/>
  <c r="S202" i="4"/>
  <c r="T202" i="4"/>
  <c r="R203" i="4"/>
  <c r="S203" i="4"/>
  <c r="T203" i="4"/>
  <c r="R204" i="4"/>
  <c r="S204" i="4"/>
  <c r="T204" i="4"/>
  <c r="R205" i="4"/>
  <c r="S205" i="4"/>
  <c r="T205" i="4"/>
  <c r="R206" i="4"/>
  <c r="S206" i="4"/>
  <c r="T206" i="4"/>
  <c r="R207" i="4"/>
  <c r="S207" i="4"/>
  <c r="T207" i="4"/>
  <c r="R208" i="4"/>
  <c r="S208" i="4"/>
  <c r="T208" i="4"/>
  <c r="R209" i="4"/>
  <c r="S209" i="4"/>
  <c r="T209" i="4"/>
  <c r="R210" i="4"/>
  <c r="S210" i="4"/>
  <c r="T210" i="4"/>
  <c r="R211" i="4"/>
  <c r="S211" i="4"/>
  <c r="T211" i="4"/>
  <c r="R212" i="4"/>
  <c r="S212" i="4"/>
  <c r="T212" i="4"/>
  <c r="R213" i="4"/>
  <c r="S213" i="4"/>
  <c r="T213" i="4"/>
  <c r="R214" i="4"/>
  <c r="S214" i="4"/>
  <c r="T214" i="4"/>
  <c r="R215" i="4"/>
  <c r="S215" i="4"/>
  <c r="T215" i="4"/>
  <c r="R216" i="4"/>
  <c r="S216" i="4"/>
  <c r="T216" i="4"/>
  <c r="R217" i="4"/>
  <c r="S217" i="4"/>
  <c r="T217" i="4"/>
  <c r="R218" i="4"/>
  <c r="S218" i="4"/>
  <c r="T218" i="4"/>
  <c r="R219" i="4"/>
  <c r="S219" i="4"/>
  <c r="T219" i="4"/>
  <c r="R220" i="4"/>
  <c r="S220" i="4"/>
  <c r="T220" i="4"/>
  <c r="R221" i="4"/>
  <c r="S221" i="4"/>
  <c r="T221" i="4"/>
  <c r="R222" i="4"/>
  <c r="S222" i="4"/>
  <c r="T222" i="4"/>
  <c r="R223" i="4"/>
  <c r="S223" i="4"/>
  <c r="T223" i="4"/>
  <c r="R224" i="4"/>
  <c r="S224" i="4"/>
  <c r="T224" i="4"/>
  <c r="R225" i="4"/>
  <c r="S225" i="4"/>
  <c r="T225" i="4"/>
  <c r="R226" i="4"/>
  <c r="S226" i="4"/>
  <c r="T226" i="4"/>
  <c r="R227" i="4"/>
  <c r="S227" i="4"/>
  <c r="T227" i="4"/>
  <c r="R228" i="4"/>
  <c r="S228" i="4"/>
  <c r="T228" i="4"/>
  <c r="R229" i="4"/>
  <c r="S229" i="4"/>
  <c r="T229" i="4"/>
  <c r="R230" i="4"/>
  <c r="S230" i="4"/>
  <c r="T230" i="4"/>
  <c r="R231" i="4"/>
  <c r="S231" i="4"/>
  <c r="T231" i="4"/>
  <c r="R232" i="4"/>
  <c r="S232" i="4"/>
  <c r="T232" i="4"/>
  <c r="R233" i="4"/>
  <c r="S233" i="4"/>
  <c r="T233" i="4"/>
  <c r="R234" i="4"/>
  <c r="S234" i="4"/>
  <c r="T234" i="4"/>
  <c r="R235" i="4"/>
  <c r="S235" i="4"/>
  <c r="T235" i="4"/>
  <c r="R236" i="4"/>
  <c r="S236" i="4"/>
  <c r="T236" i="4"/>
  <c r="R237" i="4"/>
  <c r="S237" i="4"/>
  <c r="T237" i="4"/>
  <c r="R238" i="4"/>
  <c r="S238" i="4"/>
  <c r="T238" i="4"/>
  <c r="R239" i="4"/>
  <c r="S239" i="4"/>
  <c r="T239" i="4"/>
  <c r="R240" i="4"/>
  <c r="S240" i="4"/>
  <c r="T240" i="4"/>
  <c r="R241" i="4"/>
  <c r="S241" i="4"/>
  <c r="T241" i="4"/>
  <c r="R242" i="4"/>
  <c r="S242" i="4"/>
  <c r="T242" i="4"/>
  <c r="R243" i="4"/>
  <c r="S243" i="4"/>
  <c r="T243" i="4"/>
  <c r="R244" i="4"/>
  <c r="S244" i="4"/>
  <c r="T244" i="4"/>
  <c r="R245" i="4"/>
  <c r="S245" i="4"/>
  <c r="T245" i="4"/>
  <c r="R246" i="4"/>
  <c r="S246" i="4"/>
  <c r="T246" i="4"/>
  <c r="R247" i="4"/>
  <c r="S247" i="4"/>
  <c r="T247" i="4"/>
  <c r="R248" i="4"/>
  <c r="S248" i="4"/>
  <c r="T248" i="4"/>
  <c r="R249" i="4"/>
  <c r="S249" i="4"/>
  <c r="T249" i="4"/>
  <c r="R250" i="4"/>
  <c r="S250" i="4"/>
  <c r="T250" i="4"/>
  <c r="R251" i="4"/>
  <c r="S251" i="4"/>
  <c r="T251" i="4"/>
  <c r="R252" i="4"/>
  <c r="S252" i="4"/>
  <c r="T252" i="4"/>
  <c r="R253" i="4"/>
  <c r="S253" i="4"/>
  <c r="T253" i="4"/>
  <c r="R254" i="4"/>
  <c r="S254" i="4"/>
  <c r="T254" i="4"/>
  <c r="R255" i="4"/>
  <c r="S255" i="4"/>
  <c r="T255" i="4"/>
  <c r="R256" i="4"/>
  <c r="S256" i="4"/>
  <c r="T256" i="4"/>
  <c r="R257" i="4"/>
  <c r="S257" i="4"/>
  <c r="T257" i="4"/>
  <c r="R258" i="4"/>
  <c r="S258" i="4"/>
  <c r="T258" i="4"/>
  <c r="R259" i="4"/>
  <c r="S259" i="4"/>
  <c r="T259" i="4"/>
  <c r="R260" i="4"/>
  <c r="S260" i="4"/>
  <c r="T260" i="4"/>
  <c r="R261" i="4"/>
  <c r="S261" i="4"/>
  <c r="T261" i="4"/>
  <c r="R262" i="4"/>
  <c r="S262" i="4"/>
  <c r="T262" i="4"/>
  <c r="R263" i="4"/>
  <c r="S263" i="4"/>
  <c r="T263" i="4"/>
  <c r="R264" i="4"/>
  <c r="S264" i="4"/>
  <c r="T264" i="4"/>
  <c r="R265" i="4"/>
  <c r="S265" i="4"/>
  <c r="T265" i="4"/>
  <c r="R266" i="4"/>
  <c r="S266" i="4"/>
  <c r="T266" i="4"/>
  <c r="R267" i="4"/>
  <c r="S267" i="4"/>
  <c r="T267" i="4"/>
  <c r="R268" i="4"/>
  <c r="S268" i="4"/>
  <c r="T268" i="4"/>
  <c r="R269" i="4"/>
  <c r="S269" i="4"/>
  <c r="T269" i="4"/>
  <c r="R270" i="4"/>
  <c r="S270" i="4"/>
  <c r="T270" i="4"/>
  <c r="R271" i="4"/>
  <c r="S271" i="4"/>
  <c r="T271" i="4"/>
  <c r="R272" i="4"/>
  <c r="S272" i="4"/>
  <c r="T272" i="4"/>
  <c r="R273" i="4"/>
  <c r="S273" i="4"/>
  <c r="T273" i="4"/>
  <c r="R274" i="4"/>
  <c r="S274" i="4"/>
  <c r="T274" i="4"/>
  <c r="R275" i="4"/>
  <c r="S275" i="4"/>
  <c r="T275" i="4"/>
  <c r="R276" i="4"/>
  <c r="S276" i="4"/>
  <c r="T276" i="4"/>
  <c r="R277" i="4"/>
  <c r="S277" i="4"/>
  <c r="T277" i="4"/>
  <c r="R278" i="4"/>
  <c r="S278" i="4"/>
  <c r="T278" i="4"/>
  <c r="R279" i="4"/>
  <c r="S279" i="4"/>
  <c r="T279" i="4"/>
  <c r="R280" i="4"/>
  <c r="S280" i="4"/>
  <c r="T280" i="4"/>
  <c r="R281" i="4"/>
  <c r="S281" i="4"/>
  <c r="T281" i="4"/>
  <c r="R282" i="4"/>
  <c r="S282" i="4"/>
  <c r="T282" i="4"/>
  <c r="R283" i="4"/>
  <c r="S283" i="4"/>
  <c r="T283" i="4"/>
  <c r="R284" i="4"/>
  <c r="S284" i="4"/>
  <c r="T284" i="4"/>
  <c r="R285" i="4"/>
  <c r="S285" i="4"/>
  <c r="T285" i="4"/>
  <c r="R286" i="4"/>
  <c r="S286" i="4"/>
  <c r="T286" i="4"/>
  <c r="R287" i="4"/>
  <c r="S287" i="4"/>
  <c r="T287" i="4"/>
  <c r="R288" i="4"/>
  <c r="S288" i="4"/>
  <c r="T288" i="4"/>
  <c r="R289" i="4"/>
  <c r="S289" i="4"/>
  <c r="T289" i="4"/>
  <c r="R290" i="4"/>
  <c r="S290" i="4"/>
  <c r="T290" i="4"/>
  <c r="R291" i="4"/>
  <c r="S291" i="4"/>
  <c r="T291" i="4"/>
  <c r="R292" i="4"/>
  <c r="S292" i="4"/>
  <c r="T292" i="4"/>
  <c r="R293" i="4"/>
  <c r="S293" i="4"/>
  <c r="T293" i="4"/>
  <c r="R294" i="4"/>
  <c r="S294" i="4"/>
  <c r="T294" i="4"/>
  <c r="R295" i="4"/>
  <c r="S295" i="4"/>
  <c r="T295" i="4"/>
  <c r="R296" i="4"/>
  <c r="S296" i="4"/>
  <c r="T296" i="4"/>
  <c r="R297" i="4"/>
  <c r="S297" i="4"/>
  <c r="T297" i="4"/>
  <c r="R298" i="4"/>
  <c r="S298" i="4"/>
  <c r="T298" i="4"/>
  <c r="R299" i="4"/>
  <c r="S299" i="4"/>
  <c r="T299" i="4"/>
  <c r="R300" i="4"/>
  <c r="S300" i="4"/>
  <c r="T300" i="4"/>
  <c r="R301" i="4"/>
  <c r="S301" i="4"/>
  <c r="T301" i="4"/>
  <c r="R302" i="4"/>
  <c r="S302" i="4"/>
  <c r="T302" i="4"/>
  <c r="R303" i="4"/>
  <c r="S303" i="4"/>
  <c r="T303" i="4"/>
  <c r="R304" i="4"/>
  <c r="S304" i="4"/>
  <c r="T304" i="4"/>
  <c r="R305" i="4"/>
  <c r="S305" i="4"/>
  <c r="T305" i="4"/>
  <c r="R307" i="4"/>
  <c r="S307" i="4"/>
  <c r="T307" i="4"/>
  <c r="R308" i="4"/>
  <c r="S308" i="4"/>
  <c r="T308" i="4"/>
  <c r="R309" i="4"/>
  <c r="S309" i="4"/>
  <c r="T309" i="4"/>
  <c r="R310" i="4"/>
  <c r="S310" i="4"/>
  <c r="T310" i="4"/>
  <c r="R311" i="4"/>
  <c r="S311" i="4"/>
  <c r="T311" i="4"/>
  <c r="R312" i="4"/>
  <c r="S312" i="4"/>
  <c r="T312" i="4"/>
  <c r="R313" i="4"/>
  <c r="S313" i="4"/>
  <c r="T313" i="4"/>
  <c r="R314" i="4"/>
  <c r="S314" i="4"/>
  <c r="T314" i="4"/>
  <c r="R315" i="4"/>
  <c r="S315" i="4"/>
  <c r="T315" i="4"/>
  <c r="R316" i="4"/>
  <c r="S316" i="4"/>
  <c r="T316" i="4"/>
  <c r="R317" i="4"/>
  <c r="S317" i="4"/>
  <c r="T317" i="4"/>
  <c r="R318" i="4"/>
  <c r="S318" i="4"/>
  <c r="T318" i="4"/>
  <c r="R319" i="4"/>
  <c r="S319" i="4"/>
  <c r="T319" i="4"/>
  <c r="R320" i="4"/>
  <c r="S320" i="4"/>
  <c r="T320" i="4"/>
  <c r="R321" i="4"/>
  <c r="S321" i="4"/>
  <c r="T321" i="4"/>
  <c r="R322" i="4"/>
  <c r="S322" i="4"/>
  <c r="T322" i="4"/>
  <c r="R323" i="4"/>
  <c r="S323" i="4"/>
  <c r="T323" i="4"/>
  <c r="R324" i="4"/>
  <c r="S324" i="4"/>
  <c r="T324" i="4"/>
  <c r="R325" i="4"/>
  <c r="S325" i="4"/>
  <c r="T325" i="4"/>
  <c r="R326" i="4"/>
  <c r="S326" i="4"/>
  <c r="T326" i="4"/>
  <c r="R327" i="4"/>
  <c r="S327" i="4"/>
  <c r="T327" i="4"/>
  <c r="R328" i="4"/>
  <c r="S328" i="4"/>
  <c r="T328" i="4"/>
  <c r="R329" i="4"/>
  <c r="S329" i="4"/>
  <c r="T329" i="4"/>
  <c r="R330" i="4"/>
  <c r="S330" i="4"/>
  <c r="T330" i="4"/>
  <c r="R331" i="4"/>
  <c r="S331" i="4"/>
  <c r="T331" i="4"/>
  <c r="R332" i="4"/>
  <c r="S332" i="4"/>
  <c r="T332" i="4"/>
  <c r="R333" i="4"/>
  <c r="S333" i="4"/>
  <c r="T333" i="4"/>
  <c r="R334" i="4"/>
  <c r="S334" i="4"/>
  <c r="T334" i="4"/>
  <c r="R335" i="4"/>
  <c r="S335" i="4"/>
  <c r="T335" i="4"/>
  <c r="R336" i="4"/>
  <c r="S336" i="4"/>
  <c r="T336" i="4"/>
  <c r="R337" i="4"/>
  <c r="S337" i="4"/>
  <c r="T337" i="4"/>
  <c r="R338" i="4"/>
  <c r="S338" i="4"/>
  <c r="T338" i="4"/>
  <c r="R339" i="4"/>
  <c r="S339" i="4"/>
  <c r="T339" i="4"/>
  <c r="R340" i="4"/>
  <c r="S340" i="4"/>
  <c r="T340" i="4"/>
  <c r="R341" i="4"/>
  <c r="S341" i="4"/>
  <c r="T341" i="4"/>
  <c r="R342" i="4"/>
  <c r="S342" i="4"/>
  <c r="T342" i="4"/>
  <c r="R343" i="4"/>
  <c r="S343" i="4"/>
  <c r="T343" i="4"/>
  <c r="R344" i="4"/>
  <c r="S344" i="4"/>
  <c r="T344" i="4"/>
  <c r="R345" i="4"/>
  <c r="S345" i="4"/>
  <c r="T345" i="4"/>
  <c r="R346" i="4"/>
  <c r="S346" i="4"/>
  <c r="T346" i="4"/>
  <c r="R347" i="4"/>
  <c r="S347" i="4"/>
  <c r="T347" i="4"/>
  <c r="R348" i="4"/>
  <c r="S348" i="4"/>
  <c r="T348" i="4"/>
  <c r="R349" i="4"/>
  <c r="S349" i="4"/>
  <c r="T349" i="4"/>
  <c r="R350" i="4"/>
  <c r="S350" i="4"/>
  <c r="T350" i="4"/>
  <c r="R351" i="4"/>
  <c r="S351" i="4"/>
  <c r="T351" i="4"/>
  <c r="R352" i="4"/>
  <c r="S352" i="4"/>
  <c r="T352" i="4"/>
  <c r="R353" i="4"/>
  <c r="S353" i="4"/>
  <c r="T353" i="4"/>
  <c r="R354" i="4"/>
  <c r="S354" i="4"/>
  <c r="T354" i="4"/>
  <c r="R355" i="4"/>
  <c r="S355" i="4"/>
  <c r="T355" i="4"/>
  <c r="R356" i="4"/>
  <c r="S356" i="4"/>
  <c r="T356" i="4"/>
  <c r="R357" i="4"/>
  <c r="S357" i="4"/>
  <c r="T357" i="4"/>
  <c r="R358" i="4"/>
  <c r="S358" i="4"/>
  <c r="T358" i="4"/>
  <c r="R359" i="4"/>
  <c r="S359" i="4"/>
  <c r="T359" i="4"/>
  <c r="R360" i="4"/>
  <c r="S360" i="4"/>
  <c r="T360" i="4"/>
  <c r="R361" i="4"/>
  <c r="S361" i="4"/>
  <c r="T361" i="4"/>
  <c r="R362" i="4"/>
  <c r="S362" i="4"/>
  <c r="T362" i="4"/>
  <c r="R363" i="4"/>
  <c r="S363" i="4"/>
  <c r="T363" i="4"/>
  <c r="R364" i="4"/>
  <c r="S364" i="4"/>
  <c r="T364" i="4"/>
  <c r="R365" i="4"/>
  <c r="S365" i="4"/>
  <c r="T365" i="4"/>
  <c r="R366" i="4"/>
  <c r="S366" i="4"/>
  <c r="T366" i="4"/>
  <c r="R367" i="4"/>
  <c r="S367" i="4"/>
  <c r="T367" i="4"/>
  <c r="R368" i="4"/>
  <c r="S368" i="4"/>
  <c r="T368" i="4"/>
  <c r="R369" i="4"/>
  <c r="S369" i="4"/>
  <c r="T369" i="4"/>
  <c r="R370" i="4"/>
  <c r="S370" i="4"/>
  <c r="T370" i="4"/>
  <c r="R371" i="4"/>
  <c r="S371" i="4"/>
  <c r="T371" i="4"/>
  <c r="R372" i="4"/>
  <c r="S372" i="4"/>
  <c r="T372" i="4"/>
  <c r="R373" i="4"/>
  <c r="S373" i="4"/>
  <c r="T373" i="4"/>
  <c r="R374" i="4"/>
  <c r="S374" i="4"/>
  <c r="T374" i="4"/>
  <c r="R375" i="4"/>
  <c r="S375" i="4"/>
  <c r="T375" i="4"/>
  <c r="R376" i="4"/>
  <c r="S376" i="4"/>
  <c r="T376" i="4"/>
  <c r="R377" i="4"/>
  <c r="S377" i="4"/>
  <c r="T377" i="4"/>
  <c r="R378" i="4"/>
  <c r="S378" i="4"/>
  <c r="T378" i="4"/>
  <c r="R379" i="4"/>
  <c r="S379" i="4"/>
  <c r="T379" i="4"/>
  <c r="R380" i="4"/>
  <c r="S380" i="4"/>
  <c r="T380" i="4"/>
  <c r="R381" i="4"/>
  <c r="S381" i="4"/>
  <c r="T381" i="4"/>
  <c r="R382" i="4"/>
  <c r="S382" i="4"/>
  <c r="T382" i="4"/>
  <c r="R383" i="4"/>
  <c r="S383" i="4"/>
  <c r="T383" i="4"/>
  <c r="R384" i="4"/>
  <c r="S384" i="4"/>
  <c r="T384" i="4"/>
  <c r="R385" i="4"/>
  <c r="S385" i="4"/>
  <c r="T385" i="4"/>
  <c r="R386" i="4"/>
  <c r="S386" i="4"/>
  <c r="T386" i="4"/>
  <c r="R387" i="4"/>
  <c r="S387" i="4"/>
  <c r="T387" i="4"/>
  <c r="R388" i="4"/>
  <c r="S388" i="4"/>
  <c r="T388" i="4"/>
  <c r="R389" i="4"/>
  <c r="S389" i="4"/>
  <c r="T389" i="4"/>
  <c r="R390" i="4"/>
  <c r="S390" i="4"/>
  <c r="T390" i="4"/>
  <c r="R391" i="4"/>
  <c r="S391" i="4"/>
  <c r="T391" i="4"/>
  <c r="R392" i="4"/>
  <c r="S392" i="4"/>
  <c r="T392" i="4"/>
  <c r="R393" i="4"/>
  <c r="S393" i="4"/>
  <c r="T393" i="4"/>
  <c r="R394" i="4"/>
  <c r="S394" i="4"/>
  <c r="T394" i="4"/>
  <c r="R395" i="4"/>
  <c r="S395" i="4"/>
  <c r="T395" i="4"/>
  <c r="R396" i="4"/>
  <c r="S396" i="4"/>
  <c r="T396" i="4"/>
  <c r="R397" i="4"/>
  <c r="S397" i="4"/>
  <c r="T397" i="4"/>
  <c r="R398" i="4"/>
  <c r="S398" i="4"/>
  <c r="T398" i="4"/>
  <c r="R399" i="4"/>
  <c r="S399" i="4"/>
  <c r="T399" i="4"/>
  <c r="R400" i="4"/>
  <c r="S400" i="4"/>
  <c r="T400" i="4"/>
  <c r="R401" i="4"/>
  <c r="S401" i="4"/>
  <c r="T401" i="4"/>
  <c r="R402" i="4"/>
  <c r="S402" i="4"/>
  <c r="T402" i="4"/>
  <c r="R403" i="4"/>
  <c r="S403" i="4"/>
  <c r="T403" i="4"/>
  <c r="R404" i="4"/>
  <c r="S404" i="4"/>
  <c r="T404" i="4"/>
  <c r="R405" i="4"/>
  <c r="S405" i="4"/>
  <c r="T405" i="4"/>
  <c r="R406" i="4"/>
  <c r="S406" i="4"/>
  <c r="T406" i="4"/>
  <c r="R407" i="4"/>
  <c r="S407" i="4"/>
  <c r="T407" i="4"/>
  <c r="R408" i="4"/>
  <c r="S408" i="4"/>
  <c r="T408" i="4"/>
  <c r="R409" i="4"/>
  <c r="S409" i="4"/>
  <c r="T409" i="4"/>
  <c r="R410" i="4"/>
  <c r="S410" i="4"/>
  <c r="T410" i="4"/>
  <c r="R411" i="4"/>
  <c r="S411" i="4"/>
  <c r="T411" i="4"/>
  <c r="R412" i="4"/>
  <c r="S412" i="4"/>
  <c r="T412" i="4"/>
  <c r="R413" i="4"/>
  <c r="S413" i="4"/>
  <c r="T413" i="4"/>
  <c r="R414" i="4"/>
  <c r="S414" i="4"/>
  <c r="T414" i="4"/>
  <c r="R415" i="4"/>
  <c r="S415" i="4"/>
  <c r="T415" i="4"/>
  <c r="R416" i="4"/>
  <c r="S416" i="4"/>
  <c r="T416" i="4"/>
  <c r="R417" i="4"/>
  <c r="S417" i="4"/>
  <c r="T417" i="4"/>
  <c r="R418" i="4"/>
  <c r="S418" i="4"/>
  <c r="T418" i="4"/>
  <c r="R419" i="4"/>
  <c r="S419" i="4"/>
  <c r="T419" i="4"/>
  <c r="R420" i="4"/>
  <c r="S420" i="4"/>
  <c r="T420" i="4"/>
  <c r="R421" i="4"/>
  <c r="S421" i="4"/>
  <c r="T421" i="4"/>
  <c r="R422" i="4"/>
  <c r="S422" i="4"/>
  <c r="T422" i="4"/>
  <c r="R423" i="4"/>
  <c r="S423" i="4"/>
  <c r="T423" i="4"/>
  <c r="R424" i="4"/>
  <c r="S424" i="4"/>
  <c r="T424" i="4"/>
  <c r="R425" i="4"/>
  <c r="S425" i="4"/>
  <c r="T425" i="4"/>
  <c r="R426" i="4"/>
  <c r="S426" i="4"/>
  <c r="T426" i="4"/>
  <c r="R427" i="4"/>
  <c r="S427" i="4"/>
  <c r="T427" i="4"/>
  <c r="R428" i="4"/>
  <c r="S428" i="4"/>
  <c r="T428" i="4"/>
  <c r="R429" i="4"/>
  <c r="S429" i="4"/>
  <c r="T429" i="4"/>
  <c r="R430" i="4"/>
  <c r="S430" i="4"/>
  <c r="T430" i="4"/>
  <c r="R431" i="4"/>
  <c r="S431" i="4"/>
  <c r="T431" i="4"/>
  <c r="R432" i="4"/>
  <c r="S432" i="4"/>
  <c r="T432" i="4"/>
  <c r="R433" i="4"/>
  <c r="S433" i="4"/>
  <c r="T433" i="4"/>
  <c r="R434" i="4"/>
  <c r="S434" i="4"/>
  <c r="T434" i="4"/>
  <c r="R435" i="4"/>
  <c r="S435" i="4"/>
  <c r="T435" i="4"/>
  <c r="R436" i="4"/>
  <c r="S436" i="4"/>
  <c r="T436" i="4"/>
  <c r="R437" i="4"/>
  <c r="S437" i="4"/>
  <c r="T437" i="4"/>
  <c r="R438" i="4"/>
  <c r="S438" i="4"/>
  <c r="T438" i="4"/>
  <c r="R439" i="4"/>
  <c r="S439" i="4"/>
  <c r="T439" i="4"/>
  <c r="R440" i="4"/>
  <c r="S440" i="4"/>
  <c r="T440" i="4"/>
  <c r="R441" i="4"/>
  <c r="S441" i="4"/>
  <c r="T441" i="4"/>
  <c r="R442" i="4"/>
  <c r="S442" i="4"/>
  <c r="T442" i="4"/>
  <c r="R443" i="4"/>
  <c r="S443" i="4"/>
  <c r="T443" i="4"/>
  <c r="R444" i="4"/>
  <c r="S444" i="4"/>
  <c r="T444" i="4"/>
  <c r="R445" i="4"/>
  <c r="S445" i="4"/>
  <c r="T445" i="4"/>
  <c r="R446" i="4"/>
  <c r="S446" i="4"/>
  <c r="T446" i="4"/>
  <c r="R447" i="4"/>
  <c r="S447" i="4"/>
  <c r="T447" i="4"/>
  <c r="R448" i="4"/>
  <c r="S448" i="4"/>
  <c r="T448" i="4"/>
  <c r="R449" i="4"/>
  <c r="S449" i="4"/>
  <c r="T449" i="4"/>
  <c r="R450" i="4"/>
  <c r="S450" i="4"/>
  <c r="T450" i="4"/>
  <c r="R451" i="4"/>
  <c r="S451" i="4"/>
  <c r="T451" i="4"/>
  <c r="R452" i="4"/>
  <c r="S452" i="4"/>
  <c r="T452" i="4"/>
  <c r="R453" i="4"/>
  <c r="S453" i="4"/>
  <c r="T453" i="4"/>
  <c r="R454" i="4"/>
  <c r="S454" i="4"/>
  <c r="T454" i="4"/>
  <c r="R455" i="4"/>
  <c r="S455" i="4"/>
  <c r="T455" i="4"/>
  <c r="R456" i="4"/>
  <c r="S456" i="4"/>
  <c r="T456" i="4"/>
  <c r="R457" i="4"/>
  <c r="S457" i="4"/>
  <c r="T457" i="4"/>
  <c r="R458" i="4"/>
  <c r="S458" i="4"/>
  <c r="T458" i="4"/>
  <c r="R459" i="4"/>
  <c r="S459" i="4"/>
  <c r="T459" i="4"/>
  <c r="R460" i="4"/>
  <c r="S460" i="4"/>
  <c r="T460" i="4"/>
  <c r="R461" i="4"/>
  <c r="S461" i="4"/>
  <c r="T461" i="4"/>
  <c r="R462" i="4"/>
  <c r="S462" i="4"/>
  <c r="T462" i="4"/>
  <c r="R463" i="4"/>
  <c r="S463" i="4"/>
  <c r="T463" i="4"/>
  <c r="R464" i="4"/>
  <c r="S464" i="4"/>
  <c r="T464" i="4"/>
  <c r="R465" i="4"/>
  <c r="S465" i="4"/>
  <c r="T465" i="4"/>
  <c r="R466" i="4"/>
  <c r="S466" i="4"/>
  <c r="T466" i="4"/>
  <c r="R467" i="4"/>
  <c r="S467" i="4"/>
  <c r="T467" i="4"/>
  <c r="R468" i="4"/>
  <c r="S468" i="4"/>
  <c r="T468" i="4"/>
  <c r="R469" i="4"/>
  <c r="S469" i="4"/>
  <c r="T469" i="4"/>
  <c r="R470" i="4"/>
  <c r="S470" i="4"/>
  <c r="T470" i="4"/>
  <c r="R471" i="4"/>
  <c r="S471" i="4"/>
  <c r="T471" i="4"/>
  <c r="R472" i="4"/>
  <c r="S472" i="4"/>
  <c r="T472" i="4"/>
  <c r="R473" i="4"/>
  <c r="S473" i="4"/>
  <c r="T473" i="4"/>
  <c r="R474" i="4"/>
  <c r="S474" i="4"/>
  <c r="T474" i="4"/>
  <c r="R475" i="4"/>
  <c r="S475" i="4"/>
  <c r="T475" i="4"/>
  <c r="R476" i="4"/>
  <c r="S476" i="4"/>
  <c r="T476" i="4"/>
  <c r="R477" i="4"/>
  <c r="S477" i="4"/>
  <c r="T477" i="4"/>
  <c r="R478" i="4"/>
  <c r="S478" i="4"/>
  <c r="T478" i="4"/>
  <c r="R479" i="4"/>
  <c r="S479" i="4"/>
  <c r="T479" i="4"/>
  <c r="R480" i="4"/>
  <c r="S480" i="4"/>
  <c r="T480" i="4"/>
  <c r="R481" i="4"/>
  <c r="S481" i="4"/>
  <c r="T481" i="4"/>
  <c r="R482" i="4"/>
  <c r="S482" i="4"/>
  <c r="T482" i="4"/>
  <c r="R483" i="4"/>
  <c r="S483" i="4"/>
  <c r="T483" i="4"/>
  <c r="R484" i="4"/>
  <c r="S484" i="4"/>
  <c r="T484" i="4"/>
  <c r="R485" i="4"/>
  <c r="S485" i="4"/>
  <c r="T485" i="4"/>
  <c r="R486" i="4"/>
  <c r="S486" i="4"/>
  <c r="T486" i="4"/>
  <c r="R487" i="4"/>
  <c r="S487" i="4"/>
  <c r="T487" i="4"/>
  <c r="R488" i="4"/>
  <c r="S488" i="4"/>
  <c r="T488" i="4"/>
  <c r="R489" i="4"/>
  <c r="S489" i="4"/>
  <c r="T489" i="4"/>
  <c r="R490" i="4"/>
  <c r="S490" i="4"/>
  <c r="T490" i="4"/>
  <c r="R491" i="4"/>
  <c r="S491" i="4"/>
  <c r="T491" i="4"/>
  <c r="R492" i="4"/>
  <c r="S492" i="4"/>
  <c r="T492" i="4"/>
  <c r="R493" i="4"/>
  <c r="S493" i="4"/>
  <c r="T493" i="4"/>
  <c r="R494" i="4"/>
  <c r="S494" i="4"/>
  <c r="T494" i="4"/>
  <c r="R495" i="4"/>
  <c r="S495" i="4"/>
  <c r="T495" i="4"/>
  <c r="R496" i="4"/>
  <c r="S496" i="4"/>
  <c r="T496" i="4"/>
  <c r="R497" i="4"/>
  <c r="S497" i="4"/>
  <c r="T497" i="4"/>
  <c r="R498" i="4"/>
  <c r="S498" i="4"/>
  <c r="T498" i="4"/>
  <c r="R499" i="4"/>
  <c r="S499" i="4"/>
  <c r="T499" i="4"/>
  <c r="R500" i="4"/>
  <c r="S500" i="4"/>
  <c r="T500" i="4"/>
  <c r="R501" i="4"/>
  <c r="S501" i="4"/>
  <c r="T501" i="4"/>
  <c r="R502" i="4"/>
  <c r="S502" i="4"/>
  <c r="T502" i="4"/>
  <c r="R503" i="4"/>
  <c r="S503" i="4"/>
  <c r="T503" i="4"/>
  <c r="R504" i="4"/>
  <c r="S504" i="4"/>
  <c r="T504" i="4"/>
  <c r="R505" i="4"/>
  <c r="S505" i="4"/>
  <c r="T505" i="4"/>
  <c r="R506" i="4"/>
  <c r="S506" i="4"/>
  <c r="T506" i="4"/>
  <c r="R507" i="4"/>
  <c r="S507" i="4"/>
  <c r="T507" i="4"/>
  <c r="R508" i="4"/>
  <c r="S508" i="4"/>
  <c r="T508" i="4"/>
  <c r="R509" i="4"/>
  <c r="S509" i="4"/>
  <c r="T509" i="4"/>
  <c r="R510" i="4"/>
  <c r="S510" i="4"/>
  <c r="T510" i="4"/>
  <c r="R511" i="4"/>
  <c r="S511" i="4"/>
  <c r="T511" i="4"/>
  <c r="R512" i="4"/>
  <c r="S512" i="4"/>
  <c r="T512" i="4"/>
  <c r="R513" i="4"/>
  <c r="S513" i="4"/>
  <c r="T513" i="4"/>
  <c r="R514" i="4"/>
  <c r="S514" i="4"/>
  <c r="T514" i="4"/>
  <c r="R515" i="4"/>
  <c r="S515" i="4"/>
  <c r="T515" i="4"/>
  <c r="R516" i="4"/>
  <c r="S516" i="4"/>
  <c r="T516" i="4"/>
  <c r="R517" i="4"/>
  <c r="S517" i="4"/>
  <c r="T517" i="4"/>
  <c r="R518" i="4"/>
  <c r="S518" i="4"/>
  <c r="T518" i="4"/>
  <c r="R519" i="4"/>
  <c r="S519" i="4"/>
  <c r="T519" i="4"/>
  <c r="R520" i="4"/>
  <c r="S520" i="4"/>
  <c r="T520" i="4"/>
  <c r="R521" i="4"/>
  <c r="S521" i="4"/>
  <c r="T521" i="4"/>
  <c r="R522" i="4"/>
  <c r="S522" i="4"/>
  <c r="T522" i="4"/>
  <c r="R523" i="4"/>
  <c r="S523" i="4"/>
  <c r="T523" i="4"/>
  <c r="R524" i="4"/>
  <c r="S524" i="4"/>
  <c r="T524" i="4"/>
  <c r="R525" i="4"/>
  <c r="S525" i="4"/>
  <c r="T525" i="4"/>
  <c r="R526" i="4"/>
  <c r="S526" i="4"/>
  <c r="T526" i="4"/>
  <c r="R527" i="4"/>
  <c r="S527" i="4"/>
  <c r="T527" i="4"/>
  <c r="R528" i="4"/>
  <c r="S528" i="4"/>
  <c r="T528" i="4"/>
  <c r="R529" i="4"/>
  <c r="S529" i="4"/>
  <c r="T529" i="4"/>
  <c r="R530" i="4"/>
  <c r="S530" i="4"/>
  <c r="T530" i="4"/>
  <c r="R531" i="4"/>
  <c r="S531" i="4"/>
  <c r="T531" i="4"/>
  <c r="R532" i="4"/>
  <c r="S532" i="4"/>
  <c r="T532" i="4"/>
  <c r="R533" i="4"/>
  <c r="S533" i="4"/>
  <c r="T533" i="4"/>
  <c r="R534" i="4"/>
  <c r="S534" i="4"/>
  <c r="T534" i="4"/>
  <c r="R535" i="4"/>
  <c r="S535" i="4"/>
  <c r="T535" i="4"/>
  <c r="R536" i="4"/>
  <c r="S536" i="4"/>
  <c r="T536" i="4"/>
  <c r="R537" i="4"/>
  <c r="S537" i="4"/>
  <c r="T537" i="4"/>
  <c r="R538" i="4"/>
  <c r="S538" i="4"/>
  <c r="T538" i="4"/>
  <c r="R539" i="4"/>
  <c r="S539" i="4"/>
  <c r="T539" i="4"/>
  <c r="R540" i="4"/>
  <c r="S540" i="4"/>
  <c r="T540" i="4"/>
  <c r="R541" i="4"/>
  <c r="S541" i="4"/>
  <c r="T541" i="4"/>
  <c r="R542" i="4"/>
  <c r="S542" i="4"/>
  <c r="T542" i="4"/>
  <c r="R543" i="4"/>
  <c r="S543" i="4"/>
  <c r="T543" i="4"/>
  <c r="R544" i="4"/>
  <c r="S544" i="4"/>
  <c r="T544" i="4"/>
  <c r="R545" i="4"/>
  <c r="S545" i="4"/>
  <c r="T545" i="4"/>
  <c r="R546" i="4"/>
  <c r="S546" i="4"/>
  <c r="T546" i="4"/>
  <c r="R547" i="4"/>
  <c r="S547" i="4"/>
  <c r="T547" i="4"/>
  <c r="R548" i="4"/>
  <c r="S548" i="4"/>
  <c r="T548" i="4"/>
  <c r="R549" i="4"/>
  <c r="S549" i="4"/>
  <c r="T549" i="4"/>
  <c r="R550" i="4"/>
  <c r="S550" i="4"/>
  <c r="T550" i="4"/>
  <c r="R551" i="4"/>
  <c r="S551" i="4"/>
  <c r="T551" i="4"/>
  <c r="R552" i="4"/>
  <c r="S552" i="4"/>
  <c r="T552" i="4"/>
  <c r="R553" i="4"/>
  <c r="S553" i="4"/>
  <c r="T553" i="4"/>
  <c r="R554" i="4"/>
  <c r="S554" i="4"/>
  <c r="T554" i="4"/>
  <c r="R555" i="4"/>
  <c r="S555" i="4"/>
  <c r="T555" i="4"/>
  <c r="R556" i="4"/>
  <c r="S556" i="4"/>
  <c r="T556" i="4"/>
  <c r="R557" i="4"/>
  <c r="S557" i="4"/>
  <c r="T557" i="4"/>
  <c r="R558" i="4"/>
  <c r="S558" i="4"/>
  <c r="T558" i="4"/>
  <c r="R559" i="4"/>
  <c r="S559" i="4"/>
  <c r="T559" i="4"/>
  <c r="R560" i="4"/>
  <c r="S560" i="4"/>
  <c r="T560" i="4"/>
  <c r="R561" i="4"/>
  <c r="S561" i="4"/>
  <c r="T561" i="4"/>
  <c r="R562" i="4"/>
  <c r="S562" i="4"/>
  <c r="T562" i="4"/>
  <c r="R563" i="4"/>
  <c r="S563" i="4"/>
  <c r="T563" i="4"/>
  <c r="R10" i="4"/>
  <c r="S10" i="4"/>
  <c r="T10" i="4"/>
  <c r="AT303" i="1" l="1"/>
  <c r="W299" i="4"/>
  <c r="Q16" i="4"/>
  <c r="AX20" i="1"/>
  <c r="AX96" i="1"/>
  <c r="Q92" i="4" l="1"/>
  <c r="BD551" i="1"/>
  <c r="AA547" i="4" s="1"/>
  <c r="AM551" i="1"/>
  <c r="U547" i="4" s="1"/>
  <c r="AX551" i="1"/>
  <c r="Q547" i="4" l="1"/>
  <c r="Q563" i="4"/>
  <c r="AT566" i="1"/>
  <c r="AT565" i="1"/>
  <c r="AT564" i="1"/>
  <c r="Q305" i="4"/>
  <c r="AX246" i="1"/>
  <c r="AX245" i="1"/>
  <c r="AT39" i="1"/>
  <c r="AT38" i="1"/>
  <c r="AT37" i="1"/>
  <c r="AT36" i="1"/>
  <c r="AT35" i="1"/>
  <c r="AT34" i="1"/>
  <c r="AT33" i="1"/>
  <c r="AT32" i="1"/>
  <c r="AT31" i="1"/>
  <c r="AT30" i="1"/>
  <c r="AT29" i="1"/>
  <c r="AT28" i="1"/>
  <c r="AT27" i="1"/>
  <c r="AT26" i="1"/>
  <c r="AT25" i="1"/>
  <c r="AT24" i="1"/>
  <c r="AT23" i="1"/>
  <c r="AT21" i="1"/>
  <c r="AT19" i="1"/>
  <c r="AT18" i="1"/>
  <c r="AT17" i="1"/>
  <c r="AT16" i="1"/>
  <c r="AT15" i="1"/>
  <c r="Q19" i="4" l="1"/>
  <c r="AX23" i="1"/>
  <c r="Q27" i="4"/>
  <c r="AX31" i="1"/>
  <c r="Q35" i="4"/>
  <c r="AX39" i="1"/>
  <c r="Q47" i="4"/>
  <c r="AX51" i="1"/>
  <c r="Q55" i="4"/>
  <c r="AX59" i="1"/>
  <c r="Q59" i="4"/>
  <c r="AX63" i="1"/>
  <c r="Q71" i="4"/>
  <c r="AX75" i="1"/>
  <c r="Q79" i="4"/>
  <c r="AX83" i="1"/>
  <c r="Q87" i="4"/>
  <c r="AX91" i="1"/>
  <c r="Q100" i="4"/>
  <c r="AX104" i="1"/>
  <c r="Q112" i="4"/>
  <c r="AX116" i="1"/>
  <c r="Q116" i="4"/>
  <c r="AX120" i="1"/>
  <c r="Q124" i="4"/>
  <c r="AX128" i="1"/>
  <c r="Q136" i="4"/>
  <c r="AX140" i="1"/>
  <c r="Q144" i="4"/>
  <c r="AX148" i="1"/>
  <c r="Q156" i="4"/>
  <c r="AX160" i="1"/>
  <c r="Q164" i="4"/>
  <c r="AX168" i="1"/>
  <c r="Q176" i="4"/>
  <c r="AX180" i="1"/>
  <c r="Q184" i="4"/>
  <c r="AX188" i="1"/>
  <c r="Q192" i="4"/>
  <c r="AX196" i="1"/>
  <c r="Q208" i="4"/>
  <c r="AX212" i="1"/>
  <c r="Q216" i="4"/>
  <c r="AX220" i="1"/>
  <c r="Q224" i="4"/>
  <c r="AX228" i="1"/>
  <c r="Q240" i="4"/>
  <c r="AX244" i="1"/>
  <c r="Q244" i="4"/>
  <c r="AX248" i="1"/>
  <c r="Q261" i="4"/>
  <c r="AX265" i="1"/>
  <c r="Q269" i="4"/>
  <c r="AX273" i="1"/>
  <c r="Q281" i="4"/>
  <c r="AX285" i="1"/>
  <c r="Q289" i="4"/>
  <c r="AX293" i="1"/>
  <c r="Q296" i="4"/>
  <c r="AX300" i="1"/>
  <c r="Q309" i="4"/>
  <c r="AX313" i="1"/>
  <c r="Q317" i="4"/>
  <c r="AX321" i="1"/>
  <c r="Q325" i="4"/>
  <c r="AX329" i="1"/>
  <c r="Q333" i="4"/>
  <c r="AX337" i="1"/>
  <c r="Q341" i="4"/>
  <c r="AX345" i="1"/>
  <c r="Q349" i="4"/>
  <c r="AX353" i="1"/>
  <c r="Q353" i="4"/>
  <c r="AX357" i="1"/>
  <c r="Q357" i="4"/>
  <c r="AX361" i="1"/>
  <c r="Q361" i="4"/>
  <c r="AX365" i="1"/>
  <c r="Q365" i="4"/>
  <c r="AX369" i="1"/>
  <c r="Q377" i="4"/>
  <c r="AX381" i="1"/>
  <c r="Q381" i="4"/>
  <c r="AX385" i="1"/>
  <c r="Q385" i="4"/>
  <c r="AX389" i="1"/>
  <c r="Q389" i="4"/>
  <c r="AX393" i="1"/>
  <c r="Q393" i="4"/>
  <c r="AX397" i="1"/>
  <c r="Q397" i="4"/>
  <c r="AX401" i="1"/>
  <c r="Q401" i="4"/>
  <c r="AX405" i="1"/>
  <c r="Q405" i="4"/>
  <c r="AX409" i="1"/>
  <c r="Q409" i="4"/>
  <c r="AX413" i="1"/>
  <c r="Q413" i="4"/>
  <c r="AX417" i="1"/>
  <c r="Q417" i="4"/>
  <c r="AX421" i="1"/>
  <c r="Q421" i="4"/>
  <c r="AX425" i="1"/>
  <c r="Q425" i="4"/>
  <c r="AX429" i="1"/>
  <c r="Q429" i="4"/>
  <c r="AX433" i="1"/>
  <c r="Q433" i="4"/>
  <c r="AX437" i="1"/>
  <c r="Q437" i="4"/>
  <c r="AX441" i="1"/>
  <c r="Q441" i="4"/>
  <c r="AX445" i="1"/>
  <c r="Q445" i="4"/>
  <c r="AX449" i="1"/>
  <c r="Q449" i="4"/>
  <c r="AX453" i="1"/>
  <c r="Q453" i="4"/>
  <c r="AX457" i="1"/>
  <c r="Q457" i="4"/>
  <c r="AX461" i="1"/>
  <c r="Q461" i="4"/>
  <c r="AX465" i="1"/>
  <c r="Q465" i="4"/>
  <c r="AX469" i="1"/>
  <c r="Q469" i="4"/>
  <c r="AX473" i="1"/>
  <c r="Q473" i="4"/>
  <c r="AX477" i="1"/>
  <c r="Q477" i="4"/>
  <c r="AX481" i="1"/>
  <c r="Q481" i="4"/>
  <c r="AX485" i="1"/>
  <c r="Q485" i="4"/>
  <c r="AX489" i="1"/>
  <c r="Q489" i="4"/>
  <c r="AX493" i="1"/>
  <c r="Q493" i="4"/>
  <c r="AX497" i="1"/>
  <c r="Q497" i="4"/>
  <c r="AX501" i="1"/>
  <c r="Q501" i="4"/>
  <c r="AX505" i="1"/>
  <c r="Q505" i="4"/>
  <c r="AX509" i="1"/>
  <c r="Q509" i="4"/>
  <c r="AX513" i="1"/>
  <c r="Q513" i="4"/>
  <c r="AX517" i="1"/>
  <c r="Q517" i="4"/>
  <c r="AX521" i="1"/>
  <c r="Q521" i="4"/>
  <c r="AX525" i="1"/>
  <c r="Q525" i="4"/>
  <c r="AX529" i="1"/>
  <c r="Q529" i="4"/>
  <c r="AX533" i="1"/>
  <c r="Q533" i="4"/>
  <c r="AX537" i="1"/>
  <c r="Q537" i="4"/>
  <c r="AX541" i="1"/>
  <c r="Q541" i="4"/>
  <c r="AX545" i="1"/>
  <c r="Q545" i="4"/>
  <c r="AX549" i="1"/>
  <c r="Q550" i="4"/>
  <c r="AX554" i="1"/>
  <c r="Q554" i="4"/>
  <c r="AX558" i="1"/>
  <c r="Q558" i="4"/>
  <c r="AX562" i="1"/>
  <c r="Q11" i="4"/>
  <c r="AX15" i="1"/>
  <c r="Q15" i="4"/>
  <c r="AX19" i="1"/>
  <c r="Q20" i="4"/>
  <c r="AX24" i="1"/>
  <c r="Q24" i="4"/>
  <c r="AX28" i="1"/>
  <c r="Q28" i="4"/>
  <c r="AX32" i="1"/>
  <c r="Q32" i="4"/>
  <c r="AX36" i="1"/>
  <c r="Q36" i="4"/>
  <c r="AX40" i="1"/>
  <c r="Q40" i="4"/>
  <c r="AX44" i="1"/>
  <c r="Q44" i="4"/>
  <c r="AX48" i="1"/>
  <c r="Q48" i="4"/>
  <c r="AX52" i="1"/>
  <c r="Q52" i="4"/>
  <c r="AX56" i="1"/>
  <c r="Q56" i="4"/>
  <c r="AX60" i="1"/>
  <c r="Q60" i="4"/>
  <c r="AX64" i="1"/>
  <c r="Q64" i="4"/>
  <c r="AX68" i="1"/>
  <c r="Q68" i="4"/>
  <c r="AX72" i="1"/>
  <c r="Q72" i="4"/>
  <c r="AX76" i="1"/>
  <c r="Q76" i="4"/>
  <c r="AX80" i="1"/>
  <c r="Q80" i="4"/>
  <c r="AX84" i="1"/>
  <c r="Q84" i="4"/>
  <c r="AX88" i="1"/>
  <c r="Q88" i="4"/>
  <c r="AX92" i="1"/>
  <c r="Q93" i="4"/>
  <c r="AX97" i="1"/>
  <c r="Q97" i="4"/>
  <c r="AX101" i="1"/>
  <c r="Q101" i="4"/>
  <c r="AX105" i="1"/>
  <c r="Q105" i="4"/>
  <c r="AX109" i="1"/>
  <c r="Q109" i="4"/>
  <c r="AX113" i="1"/>
  <c r="Q113" i="4"/>
  <c r="AX117" i="1"/>
  <c r="Q117" i="4"/>
  <c r="AX121" i="1"/>
  <c r="Q121" i="4"/>
  <c r="AX125" i="1"/>
  <c r="Q125" i="4"/>
  <c r="AX129" i="1"/>
  <c r="Q129" i="4"/>
  <c r="AX133" i="1"/>
  <c r="Q133" i="4"/>
  <c r="AX137" i="1"/>
  <c r="Q137" i="4"/>
  <c r="AX141" i="1"/>
  <c r="Q141" i="4"/>
  <c r="AX145" i="1"/>
  <c r="Q145" i="4"/>
  <c r="AX149" i="1"/>
  <c r="Q149" i="4"/>
  <c r="AX153" i="1"/>
  <c r="Q153" i="4"/>
  <c r="AX157" i="1"/>
  <c r="Q157" i="4"/>
  <c r="AX161" i="1"/>
  <c r="Q161" i="4"/>
  <c r="AX165" i="1"/>
  <c r="Q165" i="4"/>
  <c r="AX169" i="1"/>
  <c r="Q169" i="4"/>
  <c r="AX173" i="1"/>
  <c r="Q173" i="4"/>
  <c r="AX177" i="1"/>
  <c r="Q177" i="4"/>
  <c r="AX181" i="1"/>
  <c r="Q181" i="4"/>
  <c r="AX185" i="1"/>
  <c r="Q185" i="4"/>
  <c r="AX189" i="1"/>
  <c r="Q189" i="4"/>
  <c r="AX193" i="1"/>
  <c r="Q193" i="4"/>
  <c r="AX197" i="1"/>
  <c r="Q197" i="4"/>
  <c r="AX201" i="1"/>
  <c r="Q201" i="4"/>
  <c r="AX205" i="1"/>
  <c r="Q205" i="4"/>
  <c r="AX209" i="1"/>
  <c r="Q209" i="4"/>
  <c r="AX213" i="1"/>
  <c r="Q213" i="4"/>
  <c r="AX217" i="1"/>
  <c r="Q217" i="4"/>
  <c r="AX221" i="1"/>
  <c r="Q221" i="4"/>
  <c r="AX225" i="1"/>
  <c r="Q225" i="4"/>
  <c r="AX229" i="1"/>
  <c r="Q229" i="4"/>
  <c r="AX233" i="1"/>
  <c r="Q233" i="4"/>
  <c r="AX237" i="1"/>
  <c r="Q237" i="4"/>
  <c r="AX241" i="1"/>
  <c r="Q245" i="4"/>
  <c r="AX249" i="1"/>
  <c r="Q249" i="4"/>
  <c r="AX253" i="1"/>
  <c r="Q254" i="4"/>
  <c r="AX258" i="1"/>
  <c r="Q258" i="4"/>
  <c r="AX262" i="1"/>
  <c r="Q262" i="4"/>
  <c r="AX266" i="1"/>
  <c r="Q266" i="4"/>
  <c r="AX270" i="1"/>
  <c r="Q270" i="4"/>
  <c r="AX274" i="1"/>
  <c r="Q274" i="4"/>
  <c r="AX278" i="1"/>
  <c r="Q278" i="4"/>
  <c r="AX282" i="1"/>
  <c r="Q282" i="4"/>
  <c r="AX286" i="1"/>
  <c r="Q286" i="4"/>
  <c r="AX290" i="1"/>
  <c r="Q290" i="4"/>
  <c r="AX294" i="1"/>
  <c r="Q294" i="4"/>
  <c r="AX298" i="1"/>
  <c r="Q297" i="4"/>
  <c r="AX301" i="1"/>
  <c r="Q301" i="4"/>
  <c r="AX305" i="1"/>
  <c r="Q310" i="4"/>
  <c r="AX314" i="1"/>
  <c r="Q314" i="4"/>
  <c r="AX318" i="1"/>
  <c r="Q318" i="4"/>
  <c r="AX322" i="1"/>
  <c r="Q322" i="4"/>
  <c r="AX326" i="1"/>
  <c r="Q326" i="4"/>
  <c r="AX330" i="1"/>
  <c r="Q330" i="4"/>
  <c r="AX334" i="1"/>
  <c r="Q334" i="4"/>
  <c r="AX338" i="1"/>
  <c r="Q338" i="4"/>
  <c r="AX342" i="1"/>
  <c r="Q342" i="4"/>
  <c r="AX346" i="1"/>
  <c r="Q346" i="4"/>
  <c r="AX350" i="1"/>
  <c r="Q350" i="4"/>
  <c r="AX354" i="1"/>
  <c r="Q354" i="4"/>
  <c r="AX358" i="1"/>
  <c r="Q358" i="4"/>
  <c r="AX362" i="1"/>
  <c r="Q362" i="4"/>
  <c r="AX366" i="1"/>
  <c r="Q366" i="4"/>
  <c r="AX370" i="1"/>
  <c r="Q370" i="4"/>
  <c r="AX374" i="1"/>
  <c r="Q374" i="4"/>
  <c r="AX378" i="1"/>
  <c r="Q378" i="4"/>
  <c r="AX382" i="1"/>
  <c r="Q382" i="4"/>
  <c r="AX386" i="1"/>
  <c r="Q386" i="4"/>
  <c r="AX390" i="1"/>
  <c r="Q390" i="4"/>
  <c r="AX394" i="1"/>
  <c r="Q394" i="4"/>
  <c r="AX398" i="1"/>
  <c r="Q398" i="4"/>
  <c r="AX402" i="1"/>
  <c r="Q402" i="4"/>
  <c r="AX406" i="1"/>
  <c r="Q406" i="4"/>
  <c r="AX410" i="1"/>
  <c r="Q410" i="4"/>
  <c r="AX414" i="1"/>
  <c r="Q414" i="4"/>
  <c r="AX418" i="1"/>
  <c r="Q418" i="4"/>
  <c r="AX422" i="1"/>
  <c r="Q422" i="4"/>
  <c r="AX426" i="1"/>
  <c r="Q426" i="4"/>
  <c r="AX430" i="1"/>
  <c r="Q430" i="4"/>
  <c r="AX434" i="1"/>
  <c r="Q434" i="4"/>
  <c r="AX438" i="1"/>
  <c r="Q438" i="4"/>
  <c r="AX442" i="1"/>
  <c r="Q442" i="4"/>
  <c r="AX446" i="1"/>
  <c r="Q446" i="4"/>
  <c r="AX450" i="1"/>
  <c r="Q450" i="4"/>
  <c r="AX454" i="1"/>
  <c r="Q454" i="4"/>
  <c r="AX458" i="1"/>
  <c r="Q458" i="4"/>
  <c r="AX462" i="1"/>
  <c r="Q462" i="4"/>
  <c r="AX466" i="1"/>
  <c r="Q466" i="4"/>
  <c r="AX470" i="1"/>
  <c r="Q470" i="4"/>
  <c r="AX474" i="1"/>
  <c r="Q474" i="4"/>
  <c r="AX478" i="1"/>
  <c r="Q478" i="4"/>
  <c r="AX482" i="1"/>
  <c r="Q482" i="4"/>
  <c r="AX486" i="1"/>
  <c r="Q486" i="4"/>
  <c r="AX490" i="1"/>
  <c r="Q490" i="4"/>
  <c r="AX494" i="1"/>
  <c r="Q494" i="4"/>
  <c r="AX498" i="1"/>
  <c r="Q498" i="4"/>
  <c r="AX502" i="1"/>
  <c r="Q502" i="4"/>
  <c r="AX506" i="1"/>
  <c r="Q506" i="4"/>
  <c r="AX510" i="1"/>
  <c r="Q510" i="4"/>
  <c r="AX514" i="1"/>
  <c r="Q514" i="4"/>
  <c r="AX518" i="1"/>
  <c r="Q518" i="4"/>
  <c r="AX522" i="1"/>
  <c r="Q522" i="4"/>
  <c r="AX526" i="1"/>
  <c r="Q526" i="4"/>
  <c r="AX530" i="1"/>
  <c r="Q530" i="4"/>
  <c r="AX534" i="1"/>
  <c r="Q534" i="4"/>
  <c r="AX538" i="1"/>
  <c r="Q538" i="4"/>
  <c r="AX542" i="1"/>
  <c r="Q542" i="4"/>
  <c r="AX546" i="1"/>
  <c r="Q546" i="4"/>
  <c r="AX550" i="1"/>
  <c r="Q551" i="4"/>
  <c r="AX555" i="1"/>
  <c r="Q555" i="4"/>
  <c r="AX559" i="1"/>
  <c r="Q560" i="4"/>
  <c r="AX564" i="1"/>
  <c r="Q559" i="4"/>
  <c r="AX563" i="1"/>
  <c r="Q14" i="4"/>
  <c r="AX18" i="1"/>
  <c r="Q39" i="4"/>
  <c r="AX43" i="1"/>
  <c r="Q63" i="4"/>
  <c r="AX67" i="1"/>
  <c r="Q104" i="4"/>
  <c r="AX108" i="1"/>
  <c r="Q132" i="4"/>
  <c r="AX136" i="1"/>
  <c r="Q148" i="4"/>
  <c r="AX152" i="1"/>
  <c r="Q172" i="4"/>
  <c r="AX176" i="1"/>
  <c r="Q200" i="4"/>
  <c r="AX204" i="1"/>
  <c r="Q228" i="4"/>
  <c r="AX232" i="1"/>
  <c r="Q252" i="4"/>
  <c r="AX256" i="1"/>
  <c r="Q273" i="4"/>
  <c r="AX277" i="1"/>
  <c r="Q300" i="4"/>
  <c r="AX304" i="1"/>
  <c r="Q369" i="4"/>
  <c r="AX373" i="1"/>
  <c r="Q25" i="4"/>
  <c r="AX29" i="1"/>
  <c r="Q41" i="4"/>
  <c r="AX45" i="1"/>
  <c r="Q53" i="4"/>
  <c r="AX57" i="1"/>
  <c r="Q61" i="4"/>
  <c r="AX65" i="1"/>
  <c r="Q73" i="4"/>
  <c r="AX77" i="1"/>
  <c r="Q85" i="4"/>
  <c r="AX89" i="1"/>
  <c r="Q98" i="4"/>
  <c r="AX102" i="1"/>
  <c r="Q106" i="4"/>
  <c r="AX110" i="1"/>
  <c r="Q122" i="4"/>
  <c r="AX126" i="1"/>
  <c r="Q146" i="4"/>
  <c r="AX150" i="1"/>
  <c r="Q158" i="4"/>
  <c r="AX162" i="1"/>
  <c r="Q174" i="4"/>
  <c r="AX178" i="1"/>
  <c r="Q190" i="4"/>
  <c r="AX194" i="1"/>
  <c r="Q214" i="4"/>
  <c r="AX218" i="1"/>
  <c r="Q259" i="4"/>
  <c r="AX263" i="1"/>
  <c r="Q267" i="4"/>
  <c r="AX271" i="1"/>
  <c r="Q271" i="4"/>
  <c r="AX275" i="1"/>
  <c r="Q275" i="4"/>
  <c r="AX279" i="1"/>
  <c r="Q279" i="4"/>
  <c r="AX283" i="1"/>
  <c r="Q283" i="4"/>
  <c r="AX287" i="1"/>
  <c r="Q287" i="4"/>
  <c r="AX291" i="1"/>
  <c r="Q291" i="4"/>
  <c r="AX295" i="1"/>
  <c r="Q298" i="4"/>
  <c r="AX302" i="1"/>
  <c r="Q302" i="4"/>
  <c r="AX306" i="1"/>
  <c r="Q307" i="4"/>
  <c r="AX311" i="1"/>
  <c r="Q311" i="4"/>
  <c r="AX315" i="1"/>
  <c r="Q315" i="4"/>
  <c r="AX319" i="1"/>
  <c r="Q319" i="4"/>
  <c r="AX323" i="1"/>
  <c r="Q323" i="4"/>
  <c r="AX327" i="1"/>
  <c r="Q327" i="4"/>
  <c r="AX331" i="1"/>
  <c r="Q331" i="4"/>
  <c r="AX335" i="1"/>
  <c r="Q335" i="4"/>
  <c r="AX339" i="1"/>
  <c r="Q339" i="4"/>
  <c r="AX343" i="1"/>
  <c r="Q343" i="4"/>
  <c r="AX347" i="1"/>
  <c r="Q347" i="4"/>
  <c r="AX351" i="1"/>
  <c r="Q351" i="4"/>
  <c r="AX355" i="1"/>
  <c r="Q355" i="4"/>
  <c r="AX359" i="1"/>
  <c r="Q359" i="4"/>
  <c r="AX363" i="1"/>
  <c r="Q363" i="4"/>
  <c r="AX367" i="1"/>
  <c r="Q367" i="4"/>
  <c r="AX371" i="1"/>
  <c r="Q371" i="4"/>
  <c r="AX375" i="1"/>
  <c r="Q375" i="4"/>
  <c r="AX379" i="1"/>
  <c r="Q379" i="4"/>
  <c r="AX383" i="1"/>
  <c r="Q383" i="4"/>
  <c r="AX387" i="1"/>
  <c r="Q387" i="4"/>
  <c r="AX391" i="1"/>
  <c r="Q391" i="4"/>
  <c r="AX395" i="1"/>
  <c r="Q395" i="4"/>
  <c r="AX399" i="1"/>
  <c r="Q399" i="4"/>
  <c r="AX403" i="1"/>
  <c r="Q403" i="4"/>
  <c r="AX407" i="1"/>
  <c r="Q407" i="4"/>
  <c r="AX411" i="1"/>
  <c r="Q411" i="4"/>
  <c r="AX415" i="1"/>
  <c r="Q415" i="4"/>
  <c r="AX419" i="1"/>
  <c r="Q419" i="4"/>
  <c r="AX423" i="1"/>
  <c r="Q423" i="4"/>
  <c r="AX427" i="1"/>
  <c r="Q427" i="4"/>
  <c r="AX431" i="1"/>
  <c r="Q431" i="4"/>
  <c r="AX435" i="1"/>
  <c r="Q435" i="4"/>
  <c r="AX439" i="1"/>
  <c r="Q439" i="4"/>
  <c r="AX443" i="1"/>
  <c r="Q443" i="4"/>
  <c r="AX447" i="1"/>
  <c r="Q447" i="4"/>
  <c r="AX451" i="1"/>
  <c r="Q451" i="4"/>
  <c r="AX455" i="1"/>
  <c r="Q455" i="4"/>
  <c r="AX459" i="1"/>
  <c r="Q459" i="4"/>
  <c r="AX463" i="1"/>
  <c r="Q463" i="4"/>
  <c r="AX467" i="1"/>
  <c r="Q467" i="4"/>
  <c r="AX471" i="1"/>
  <c r="Q471" i="4"/>
  <c r="AX475" i="1"/>
  <c r="Q475" i="4"/>
  <c r="AX479" i="1"/>
  <c r="Q479" i="4"/>
  <c r="AX483" i="1"/>
  <c r="Q483" i="4"/>
  <c r="AX487" i="1"/>
  <c r="Q487" i="4"/>
  <c r="AX491" i="1"/>
  <c r="Q491" i="4"/>
  <c r="AX495" i="1"/>
  <c r="Q495" i="4"/>
  <c r="AX499" i="1"/>
  <c r="Q499" i="4"/>
  <c r="AX503" i="1"/>
  <c r="Q503" i="4"/>
  <c r="AX507" i="1"/>
  <c r="Q507" i="4"/>
  <c r="AX511" i="1"/>
  <c r="Q511" i="4"/>
  <c r="AX515" i="1"/>
  <c r="Q515" i="4"/>
  <c r="AX519" i="1"/>
  <c r="Q519" i="4"/>
  <c r="AX523" i="1"/>
  <c r="Q523" i="4"/>
  <c r="AX527" i="1"/>
  <c r="Q527" i="4"/>
  <c r="AX531" i="1"/>
  <c r="Q531" i="4"/>
  <c r="AX535" i="1"/>
  <c r="Q535" i="4"/>
  <c r="AX539" i="1"/>
  <c r="Q539" i="4"/>
  <c r="AX543" i="1"/>
  <c r="Q543" i="4"/>
  <c r="AX547" i="1"/>
  <c r="Q548" i="4"/>
  <c r="AX552" i="1"/>
  <c r="Q552" i="4"/>
  <c r="AX556" i="1"/>
  <c r="Q556" i="4"/>
  <c r="AX560" i="1"/>
  <c r="Q561" i="4"/>
  <c r="AX565" i="1"/>
  <c r="Q253" i="4"/>
  <c r="AX257" i="1"/>
  <c r="Q23" i="4"/>
  <c r="AX27" i="1"/>
  <c r="Q31" i="4"/>
  <c r="AX35" i="1"/>
  <c r="Q43" i="4"/>
  <c r="AX47" i="1"/>
  <c r="Q51" i="4"/>
  <c r="AX55" i="1"/>
  <c r="Q67" i="4"/>
  <c r="AX71" i="1"/>
  <c r="Q75" i="4"/>
  <c r="AX79" i="1"/>
  <c r="Q83" i="4"/>
  <c r="AX87" i="1"/>
  <c r="Q91" i="4"/>
  <c r="AX95" i="1"/>
  <c r="Q96" i="4"/>
  <c r="AX100" i="1"/>
  <c r="Q108" i="4"/>
  <c r="AX112" i="1"/>
  <c r="Q120" i="4"/>
  <c r="AX124" i="1"/>
  <c r="Q128" i="4"/>
  <c r="AX132" i="1"/>
  <c r="Q140" i="4"/>
  <c r="AX144" i="1"/>
  <c r="Q152" i="4"/>
  <c r="AX156" i="1"/>
  <c r="Q160" i="4"/>
  <c r="AX164" i="1"/>
  <c r="Q168" i="4"/>
  <c r="AX172" i="1"/>
  <c r="Q180" i="4"/>
  <c r="AX184" i="1"/>
  <c r="Q188" i="4"/>
  <c r="AX192" i="1"/>
  <c r="Q196" i="4"/>
  <c r="AX200" i="1"/>
  <c r="Q204" i="4"/>
  <c r="AX208" i="1"/>
  <c r="Q212" i="4"/>
  <c r="AX216" i="1"/>
  <c r="Q220" i="4"/>
  <c r="AX224" i="1"/>
  <c r="Q232" i="4"/>
  <c r="AX236" i="1"/>
  <c r="Q236" i="4"/>
  <c r="AX240" i="1"/>
  <c r="Q248" i="4"/>
  <c r="AX252" i="1"/>
  <c r="Q257" i="4"/>
  <c r="AX261" i="1"/>
  <c r="Q265" i="4"/>
  <c r="AX269" i="1"/>
  <c r="Q277" i="4"/>
  <c r="AX281" i="1"/>
  <c r="Q285" i="4"/>
  <c r="AX289" i="1"/>
  <c r="Q293" i="4"/>
  <c r="AX297" i="1"/>
  <c r="Q304" i="4"/>
  <c r="AX308" i="1"/>
  <c r="Q313" i="4"/>
  <c r="AX317" i="1"/>
  <c r="Q321" i="4"/>
  <c r="AX325" i="1"/>
  <c r="Q329" i="4"/>
  <c r="AX333" i="1"/>
  <c r="Q337" i="4"/>
  <c r="AX341" i="1"/>
  <c r="Q345" i="4"/>
  <c r="AX349" i="1"/>
  <c r="Q373" i="4"/>
  <c r="AX377" i="1"/>
  <c r="Q12" i="4"/>
  <c r="AX16" i="1"/>
  <c r="Q17" i="4"/>
  <c r="AX21" i="1"/>
  <c r="Q21" i="4"/>
  <c r="AX25" i="1"/>
  <c r="Q29" i="4"/>
  <c r="AX33" i="1"/>
  <c r="Q33" i="4"/>
  <c r="AX37" i="1"/>
  <c r="Q37" i="4"/>
  <c r="AX41" i="1"/>
  <c r="Q45" i="4"/>
  <c r="AX49" i="1"/>
  <c r="Q49" i="4"/>
  <c r="AX53" i="1"/>
  <c r="Q57" i="4"/>
  <c r="AX61" i="1"/>
  <c r="Q65" i="4"/>
  <c r="AX69" i="1"/>
  <c r="Q69" i="4"/>
  <c r="AX73" i="1"/>
  <c r="Q77" i="4"/>
  <c r="AX81" i="1"/>
  <c r="Q81" i="4"/>
  <c r="AX85" i="1"/>
  <c r="Q89" i="4"/>
  <c r="AX93" i="1"/>
  <c r="Q94" i="4"/>
  <c r="AX98" i="1"/>
  <c r="Q102" i="4"/>
  <c r="AX106" i="1"/>
  <c r="Q110" i="4"/>
  <c r="AX114" i="1"/>
  <c r="Q114" i="4"/>
  <c r="AX118" i="1"/>
  <c r="Q118" i="4"/>
  <c r="AX122" i="1"/>
  <c r="Q126" i="4"/>
  <c r="AX130" i="1"/>
  <c r="Q130" i="4"/>
  <c r="AX134" i="1"/>
  <c r="Q134" i="4"/>
  <c r="AX138" i="1"/>
  <c r="Q138" i="4"/>
  <c r="AX142" i="1"/>
  <c r="Q142" i="4"/>
  <c r="AX146" i="1"/>
  <c r="Q150" i="4"/>
  <c r="AX154" i="1"/>
  <c r="Q154" i="4"/>
  <c r="AX158" i="1"/>
  <c r="Q162" i="4"/>
  <c r="AX166" i="1"/>
  <c r="Q166" i="4"/>
  <c r="AX170" i="1"/>
  <c r="Q170" i="4"/>
  <c r="AX174" i="1"/>
  <c r="Q178" i="4"/>
  <c r="AX182" i="1"/>
  <c r="Q182" i="4"/>
  <c r="AX186" i="1"/>
  <c r="Q186" i="4"/>
  <c r="AX190" i="1"/>
  <c r="Q194" i="4"/>
  <c r="AX198" i="1"/>
  <c r="Q198" i="4"/>
  <c r="AX202" i="1"/>
  <c r="Q202" i="4"/>
  <c r="AX206" i="1"/>
  <c r="Q206" i="4"/>
  <c r="AX210" i="1"/>
  <c r="Q210" i="4"/>
  <c r="AX214" i="1"/>
  <c r="Q218" i="4"/>
  <c r="AX222" i="1"/>
  <c r="Q222" i="4"/>
  <c r="AX226" i="1"/>
  <c r="Q226" i="4"/>
  <c r="AX230" i="1"/>
  <c r="Q230" i="4"/>
  <c r="AX234" i="1"/>
  <c r="Q234" i="4"/>
  <c r="AX238" i="1"/>
  <c r="Q238" i="4"/>
  <c r="AX242" i="1"/>
  <c r="Q246" i="4"/>
  <c r="AX250" i="1"/>
  <c r="Q250" i="4"/>
  <c r="AX254" i="1"/>
  <c r="Q255" i="4"/>
  <c r="AX259" i="1"/>
  <c r="Q263" i="4"/>
  <c r="AX267" i="1"/>
  <c r="Q13" i="4"/>
  <c r="AX17" i="1"/>
  <c r="Q18" i="4"/>
  <c r="Q22" i="4"/>
  <c r="AX26" i="1"/>
  <c r="Q26" i="4"/>
  <c r="AX30" i="1"/>
  <c r="Q30" i="4"/>
  <c r="AX34" i="1"/>
  <c r="Q34" i="4"/>
  <c r="AX38" i="1"/>
  <c r="Q38" i="4"/>
  <c r="AX42" i="1"/>
  <c r="Q42" i="4"/>
  <c r="AX46" i="1"/>
  <c r="Q46" i="4"/>
  <c r="AX50" i="1"/>
  <c r="Q50" i="4"/>
  <c r="AX54" i="1"/>
  <c r="Q54" i="4"/>
  <c r="AX58" i="1"/>
  <c r="Q58" i="4"/>
  <c r="AX62" i="1"/>
  <c r="Q62" i="4"/>
  <c r="AX66" i="1"/>
  <c r="Q66" i="4"/>
  <c r="AX70" i="1"/>
  <c r="Q70" i="4"/>
  <c r="AX74" i="1"/>
  <c r="Q74" i="4"/>
  <c r="AX78" i="1"/>
  <c r="Q78" i="4"/>
  <c r="AX82" i="1"/>
  <c r="Q82" i="4"/>
  <c r="AX86" i="1"/>
  <c r="Q86" i="4"/>
  <c r="AX90" i="1"/>
  <c r="Q90" i="4"/>
  <c r="AX94" i="1"/>
  <c r="Q95" i="4"/>
  <c r="AX99" i="1"/>
  <c r="Q99" i="4"/>
  <c r="AX103" i="1"/>
  <c r="Q103" i="4"/>
  <c r="AX107" i="1"/>
  <c r="Q107" i="4"/>
  <c r="AX111" i="1"/>
  <c r="Q111" i="4"/>
  <c r="AX115" i="1"/>
  <c r="Q115" i="4"/>
  <c r="AX119" i="1"/>
  <c r="Q119" i="4"/>
  <c r="AX123" i="1"/>
  <c r="Q123" i="4"/>
  <c r="AX127" i="1"/>
  <c r="Q127" i="4"/>
  <c r="AX131" i="1"/>
  <c r="Q131" i="4"/>
  <c r="AX135" i="1"/>
  <c r="Q135" i="4"/>
  <c r="AX139" i="1"/>
  <c r="Q139" i="4"/>
  <c r="AX143" i="1"/>
  <c r="Q143" i="4"/>
  <c r="AX147" i="1"/>
  <c r="Q147" i="4"/>
  <c r="AX151" i="1"/>
  <c r="Q151" i="4"/>
  <c r="AX155" i="1"/>
  <c r="Q155" i="4"/>
  <c r="AX159" i="1"/>
  <c r="Q159" i="4"/>
  <c r="AX163" i="1"/>
  <c r="Q163" i="4"/>
  <c r="AX167" i="1"/>
  <c r="Q167" i="4"/>
  <c r="AX171" i="1"/>
  <c r="Q171" i="4"/>
  <c r="AX175" i="1"/>
  <c r="Q175" i="4"/>
  <c r="AX179" i="1"/>
  <c r="Q179" i="4"/>
  <c r="AX183" i="1"/>
  <c r="Q183" i="4"/>
  <c r="AX187" i="1"/>
  <c r="Q187" i="4"/>
  <c r="AX191" i="1"/>
  <c r="Q191" i="4"/>
  <c r="AX195" i="1"/>
  <c r="Q195" i="4"/>
  <c r="AX199" i="1"/>
  <c r="Q199" i="4"/>
  <c r="AX203" i="1"/>
  <c r="Q203" i="4"/>
  <c r="AX207" i="1"/>
  <c r="Q207" i="4"/>
  <c r="AX211" i="1"/>
  <c r="Q211" i="4"/>
  <c r="AX215" i="1"/>
  <c r="Q215" i="4"/>
  <c r="AX219" i="1"/>
  <c r="Q219" i="4"/>
  <c r="AX223" i="1"/>
  <c r="Q223" i="4"/>
  <c r="AX227" i="1"/>
  <c r="Q227" i="4"/>
  <c r="AX231" i="1"/>
  <c r="Q231" i="4"/>
  <c r="AX235" i="1"/>
  <c r="Q235" i="4"/>
  <c r="AX239" i="1"/>
  <c r="Q239" i="4"/>
  <c r="AX243" i="1"/>
  <c r="Q243" i="4"/>
  <c r="AX247" i="1"/>
  <c r="Q247" i="4"/>
  <c r="AX251" i="1"/>
  <c r="Q251" i="4"/>
  <c r="AX255" i="1"/>
  <c r="Q256" i="4"/>
  <c r="AX260" i="1"/>
  <c r="Q260" i="4"/>
  <c r="AX264" i="1"/>
  <c r="Q264" i="4"/>
  <c r="AX268" i="1"/>
  <c r="Q268" i="4"/>
  <c r="AX272" i="1"/>
  <c r="Q272" i="4"/>
  <c r="AX276" i="1"/>
  <c r="Q276" i="4"/>
  <c r="AX280" i="1"/>
  <c r="Q280" i="4"/>
  <c r="AX284" i="1"/>
  <c r="Q284" i="4"/>
  <c r="AX288" i="1"/>
  <c r="Q288" i="4"/>
  <c r="AX292" i="1"/>
  <c r="Q292" i="4"/>
  <c r="AX296" i="1"/>
  <c r="Q295" i="4"/>
  <c r="AX299" i="1"/>
  <c r="Q299" i="4"/>
  <c r="AX303" i="1"/>
  <c r="Q303" i="4"/>
  <c r="AX307" i="1"/>
  <c r="Q308" i="4"/>
  <c r="AX312" i="1"/>
  <c r="Q312" i="4"/>
  <c r="AX316" i="1"/>
  <c r="Q316" i="4"/>
  <c r="AX320" i="1"/>
  <c r="Q320" i="4"/>
  <c r="AX324" i="1"/>
  <c r="Q324" i="4"/>
  <c r="AX328" i="1"/>
  <c r="Q328" i="4"/>
  <c r="AX332" i="1"/>
  <c r="Q332" i="4"/>
  <c r="AX336" i="1"/>
  <c r="Q336" i="4"/>
  <c r="AX340" i="1"/>
  <c r="Q340" i="4"/>
  <c r="AX344" i="1"/>
  <c r="Q344" i="4"/>
  <c r="AX348" i="1"/>
  <c r="Q348" i="4"/>
  <c r="AX352" i="1"/>
  <c r="Q352" i="4"/>
  <c r="AX356" i="1"/>
  <c r="Q356" i="4"/>
  <c r="AX360" i="1"/>
  <c r="Q360" i="4"/>
  <c r="AX364" i="1"/>
  <c r="Q364" i="4"/>
  <c r="AX368" i="1"/>
  <c r="Q368" i="4"/>
  <c r="AX372" i="1"/>
  <c r="Q372" i="4"/>
  <c r="AX376" i="1"/>
  <c r="Q376" i="4"/>
  <c r="AX380" i="1"/>
  <c r="Q380" i="4"/>
  <c r="AX384" i="1"/>
  <c r="Q384" i="4"/>
  <c r="AX388" i="1"/>
  <c r="Q388" i="4"/>
  <c r="AX392" i="1"/>
  <c r="Q392" i="4"/>
  <c r="AX396" i="1"/>
  <c r="Q396" i="4"/>
  <c r="AX400" i="1"/>
  <c r="Q400" i="4"/>
  <c r="AX404" i="1"/>
  <c r="Q404" i="4"/>
  <c r="AX408" i="1"/>
  <c r="Q408" i="4"/>
  <c r="AX412" i="1"/>
  <c r="Q412" i="4"/>
  <c r="AX416" i="1"/>
  <c r="Q416" i="4"/>
  <c r="AX420" i="1"/>
  <c r="Q420" i="4"/>
  <c r="AX424" i="1"/>
  <c r="Q424" i="4"/>
  <c r="AX428" i="1"/>
  <c r="Q428" i="4"/>
  <c r="AX432" i="1"/>
  <c r="Q432" i="4"/>
  <c r="AX436" i="1"/>
  <c r="Q436" i="4"/>
  <c r="AX440" i="1"/>
  <c r="Q440" i="4"/>
  <c r="AX444" i="1"/>
  <c r="Q444" i="4"/>
  <c r="AX448" i="1"/>
  <c r="Q448" i="4"/>
  <c r="AX452" i="1"/>
  <c r="Q452" i="4"/>
  <c r="AX456" i="1"/>
  <c r="Q456" i="4"/>
  <c r="AX460" i="1"/>
  <c r="Q460" i="4"/>
  <c r="AX464" i="1"/>
  <c r="Q464" i="4"/>
  <c r="AX468" i="1"/>
  <c r="Q468" i="4"/>
  <c r="AX472" i="1"/>
  <c r="Q472" i="4"/>
  <c r="AX476" i="1"/>
  <c r="Q476" i="4"/>
  <c r="AX480" i="1"/>
  <c r="Q480" i="4"/>
  <c r="AX484" i="1"/>
  <c r="Q484" i="4"/>
  <c r="AX488" i="1"/>
  <c r="Q488" i="4"/>
  <c r="AX492" i="1"/>
  <c r="Q492" i="4"/>
  <c r="AX496" i="1"/>
  <c r="Q496" i="4"/>
  <c r="AX500" i="1"/>
  <c r="Q500" i="4"/>
  <c r="AX504" i="1"/>
  <c r="Q504" i="4"/>
  <c r="AX508" i="1"/>
  <c r="Q508" i="4"/>
  <c r="AX512" i="1"/>
  <c r="Q512" i="4"/>
  <c r="AX516" i="1"/>
  <c r="Q516" i="4"/>
  <c r="AX520" i="1"/>
  <c r="Q520" i="4"/>
  <c r="AX524" i="1"/>
  <c r="Q524" i="4"/>
  <c r="AX528" i="1"/>
  <c r="Q528" i="4"/>
  <c r="AX532" i="1"/>
  <c r="Q532" i="4"/>
  <c r="AX536" i="1"/>
  <c r="Q536" i="4"/>
  <c r="AX540" i="1"/>
  <c r="Q540" i="4"/>
  <c r="AX544" i="1"/>
  <c r="Q544" i="4"/>
  <c r="AX548" i="1"/>
  <c r="Q549" i="4"/>
  <c r="AX553" i="1"/>
  <c r="Q553" i="4"/>
  <c r="AX557" i="1"/>
  <c r="Q557" i="4"/>
  <c r="AX561" i="1"/>
  <c r="Q562" i="4"/>
  <c r="AX566" i="1"/>
  <c r="Q241" i="4"/>
  <c r="Q242" i="4"/>
  <c r="Q10" i="4"/>
  <c r="AM229" i="1" l="1"/>
  <c r="U225" i="4" s="1"/>
  <c r="BD14" i="1" l="1"/>
  <c r="K236" i="1"/>
  <c r="K256" i="1"/>
  <c r="K261" i="1"/>
  <c r="K262" i="1"/>
  <c r="K299" i="1"/>
  <c r="K308" i="1"/>
  <c r="K382" i="1"/>
  <c r="K383" i="1"/>
  <c r="K384" i="1"/>
  <c r="K402" i="1"/>
  <c r="K507" i="1"/>
  <c r="AM14" i="1"/>
  <c r="U10" i="4" s="1"/>
  <c r="BD21" i="1"/>
  <c r="AA17" i="4" s="1"/>
  <c r="BD22" i="1"/>
  <c r="AA18" i="4" s="1"/>
  <c r="BD23" i="1"/>
  <c r="AA19" i="4" s="1"/>
  <c r="BD24" i="1"/>
  <c r="AA20" i="4" s="1"/>
  <c r="BD25" i="1"/>
  <c r="AA21" i="4" s="1"/>
  <c r="BD26" i="1"/>
  <c r="AA22" i="4" s="1"/>
  <c r="BD27" i="1"/>
  <c r="AA23" i="4" s="1"/>
  <c r="BD28" i="1"/>
  <c r="BD29" i="1"/>
  <c r="AA25" i="4" s="1"/>
  <c r="BD30" i="1"/>
  <c r="AA26" i="4" s="1"/>
  <c r="BD31" i="1"/>
  <c r="AA27" i="4" s="1"/>
  <c r="BD32" i="1"/>
  <c r="AA28" i="4" s="1"/>
  <c r="BD33" i="1"/>
  <c r="AA29" i="4" s="1"/>
  <c r="BD34" i="1"/>
  <c r="AA30" i="4" s="1"/>
  <c r="BD35" i="1"/>
  <c r="AA31" i="4" s="1"/>
  <c r="BD36" i="1"/>
  <c r="AA32" i="4" s="1"/>
  <c r="BD37" i="1"/>
  <c r="AA33" i="4" s="1"/>
  <c r="BD38" i="1"/>
  <c r="AA34" i="4" s="1"/>
  <c r="BD39" i="1"/>
  <c r="AA35" i="4" s="1"/>
  <c r="BD40" i="1"/>
  <c r="AA36" i="4" s="1"/>
  <c r="BD41" i="1"/>
  <c r="AA37" i="4" s="1"/>
  <c r="BD42" i="1"/>
  <c r="AA38" i="4" s="1"/>
  <c r="BD43" i="1"/>
  <c r="AA39" i="4" s="1"/>
  <c r="BD44" i="1"/>
  <c r="AA40" i="4" s="1"/>
  <c r="BD45" i="1"/>
  <c r="AA41" i="4" s="1"/>
  <c r="BD46" i="1"/>
  <c r="AA42" i="4" s="1"/>
  <c r="BD47" i="1"/>
  <c r="AA43" i="4" s="1"/>
  <c r="BD48" i="1"/>
  <c r="AA44" i="4" s="1"/>
  <c r="BD49" i="1"/>
  <c r="BD50" i="1"/>
  <c r="AA46" i="4" s="1"/>
  <c r="BD51" i="1"/>
  <c r="AA47" i="4" s="1"/>
  <c r="BD52" i="1"/>
  <c r="AA48" i="4" s="1"/>
  <c r="BD53" i="1"/>
  <c r="AA49" i="4" s="1"/>
  <c r="BD54" i="1"/>
  <c r="AA50" i="4" s="1"/>
  <c r="BD55" i="1"/>
  <c r="AA51" i="4" s="1"/>
  <c r="BD56" i="1"/>
  <c r="AA52" i="4" s="1"/>
  <c r="BD57" i="1"/>
  <c r="BD58" i="1"/>
  <c r="AA54" i="4" s="1"/>
  <c r="BD59" i="1"/>
  <c r="AA55" i="4" s="1"/>
  <c r="BD60" i="1"/>
  <c r="AA56" i="4" s="1"/>
  <c r="BD61" i="1"/>
  <c r="AA57" i="4" s="1"/>
  <c r="BD62" i="1"/>
  <c r="AA58" i="4" s="1"/>
  <c r="BD63" i="1"/>
  <c r="AA59" i="4" s="1"/>
  <c r="BD64" i="1"/>
  <c r="AA60" i="4" s="1"/>
  <c r="BD65" i="1"/>
  <c r="AA61" i="4" s="1"/>
  <c r="BD66" i="1"/>
  <c r="AA62" i="4" s="1"/>
  <c r="BD67" i="1"/>
  <c r="AA63" i="4" s="1"/>
  <c r="BD68" i="1"/>
  <c r="AA64" i="4" s="1"/>
  <c r="BD69" i="1"/>
  <c r="AA65" i="4" s="1"/>
  <c r="BD70" i="1"/>
  <c r="AA66" i="4" s="1"/>
  <c r="BD71" i="1"/>
  <c r="BD72" i="1"/>
  <c r="AA68" i="4" s="1"/>
  <c r="BD73" i="1"/>
  <c r="AA69" i="4" s="1"/>
  <c r="BD74" i="1"/>
  <c r="BD75" i="1"/>
  <c r="AA71" i="4" s="1"/>
  <c r="BD76" i="1"/>
  <c r="AA72" i="4" s="1"/>
  <c r="BD77" i="1"/>
  <c r="BD78" i="1"/>
  <c r="AA74" i="4" s="1"/>
  <c r="BD79" i="1"/>
  <c r="AA75" i="4" s="1"/>
  <c r="BD80" i="1"/>
  <c r="AA76" i="4" s="1"/>
  <c r="BD81" i="1"/>
  <c r="AA77" i="4" s="1"/>
  <c r="BD82" i="1"/>
  <c r="AA78" i="4" s="1"/>
  <c r="BD83" i="1"/>
  <c r="BD84" i="1"/>
  <c r="AA80" i="4" s="1"/>
  <c r="BD85" i="1"/>
  <c r="AA81" i="4" s="1"/>
  <c r="BD86" i="1"/>
  <c r="AA82" i="4" s="1"/>
  <c r="BD87" i="1"/>
  <c r="BD88" i="1"/>
  <c r="AA84" i="4" s="1"/>
  <c r="BD89" i="1"/>
  <c r="AA85" i="4" s="1"/>
  <c r="BD90" i="1"/>
  <c r="AA86" i="4" s="1"/>
  <c r="BD91" i="1"/>
  <c r="AA87" i="4" s="1"/>
  <c r="BD92" i="1"/>
  <c r="AA88" i="4" s="1"/>
  <c r="BD93" i="1"/>
  <c r="AA89" i="4" s="1"/>
  <c r="BD94" i="1"/>
  <c r="AA90" i="4" s="1"/>
  <c r="BD95" i="1"/>
  <c r="AA91" i="4" s="1"/>
  <c r="BD96" i="1"/>
  <c r="BD97" i="1"/>
  <c r="AA93" i="4" s="1"/>
  <c r="BD98" i="1"/>
  <c r="AA94" i="4" s="1"/>
  <c r="BD99" i="1"/>
  <c r="AA95" i="4" s="1"/>
  <c r="BD100" i="1"/>
  <c r="AA96" i="4" s="1"/>
  <c r="BD101" i="1"/>
  <c r="AA97" i="4" s="1"/>
  <c r="BD102" i="1"/>
  <c r="BD103" i="1"/>
  <c r="AA99" i="4" s="1"/>
  <c r="BD104" i="1"/>
  <c r="AA100" i="4" s="1"/>
  <c r="BD105" i="1"/>
  <c r="AA101" i="4" s="1"/>
  <c r="BD106" i="1"/>
  <c r="AA102" i="4" s="1"/>
  <c r="BD107" i="1"/>
  <c r="AA103" i="4" s="1"/>
  <c r="BD108" i="1"/>
  <c r="AA104" i="4" s="1"/>
  <c r="BD109" i="1"/>
  <c r="AA105" i="4" s="1"/>
  <c r="BD110" i="1"/>
  <c r="AA106" i="4" s="1"/>
  <c r="BD111" i="1"/>
  <c r="AA107" i="4" s="1"/>
  <c r="BD112" i="1"/>
  <c r="BD113" i="1"/>
  <c r="AA109" i="4" s="1"/>
  <c r="BD114" i="1"/>
  <c r="AA110" i="4" s="1"/>
  <c r="BD115" i="1"/>
  <c r="AA111" i="4" s="1"/>
  <c r="BD116" i="1"/>
  <c r="AA112" i="4" s="1"/>
  <c r="BD117" i="1"/>
  <c r="BD118" i="1"/>
  <c r="AA114" i="4" s="1"/>
  <c r="BD119" i="1"/>
  <c r="AA115" i="4" s="1"/>
  <c r="BD120" i="1"/>
  <c r="AA116" i="4" s="1"/>
  <c r="BD121" i="1"/>
  <c r="BD122" i="1"/>
  <c r="AA118" i="4" s="1"/>
  <c r="BD123" i="1"/>
  <c r="AA119" i="4" s="1"/>
  <c r="BD124" i="1"/>
  <c r="AA120" i="4" s="1"/>
  <c r="BD125" i="1"/>
  <c r="AA121" i="4" s="1"/>
  <c r="BD126" i="1"/>
  <c r="AA122" i="4" s="1"/>
  <c r="BD127" i="1"/>
  <c r="AA123" i="4" s="1"/>
  <c r="BD128" i="1"/>
  <c r="AA124" i="4" s="1"/>
  <c r="BD129" i="1"/>
  <c r="AA125" i="4" s="1"/>
  <c r="BD130" i="1"/>
  <c r="AA126" i="4" s="1"/>
  <c r="BD131" i="1"/>
  <c r="AA127" i="4" s="1"/>
  <c r="BD132" i="1"/>
  <c r="AA128" i="4" s="1"/>
  <c r="BD133" i="1"/>
  <c r="AA129" i="4" s="1"/>
  <c r="BD134" i="1"/>
  <c r="AA130" i="4" s="1"/>
  <c r="BD135" i="1"/>
  <c r="AA131" i="4" s="1"/>
  <c r="BD136" i="1"/>
  <c r="AA132" i="4" s="1"/>
  <c r="BD137" i="1"/>
  <c r="AA133" i="4" s="1"/>
  <c r="BD138" i="1"/>
  <c r="AA134" i="4" s="1"/>
  <c r="BD139" i="1"/>
  <c r="AA135" i="4" s="1"/>
  <c r="BD140" i="1"/>
  <c r="AA136" i="4" s="1"/>
  <c r="BD141" i="1"/>
  <c r="AA137" i="4" s="1"/>
  <c r="BD142" i="1"/>
  <c r="AA138" i="4" s="1"/>
  <c r="BD143" i="1"/>
  <c r="BD144" i="1"/>
  <c r="AA140" i="4" s="1"/>
  <c r="BD145" i="1"/>
  <c r="AA141" i="4" s="1"/>
  <c r="BD146" i="1"/>
  <c r="AA142" i="4" s="1"/>
  <c r="BD147" i="1"/>
  <c r="AA143" i="4" s="1"/>
  <c r="BD148" i="1"/>
  <c r="AA144" i="4" s="1"/>
  <c r="BD149" i="1"/>
  <c r="AA145" i="4" s="1"/>
  <c r="BD150" i="1"/>
  <c r="AA146" i="4" s="1"/>
  <c r="BD151" i="1"/>
  <c r="AA147" i="4" s="1"/>
  <c r="BD152" i="1"/>
  <c r="AA148" i="4" s="1"/>
  <c r="BD153" i="1"/>
  <c r="AA149" i="4" s="1"/>
  <c r="BD154" i="1"/>
  <c r="AA150" i="4" s="1"/>
  <c r="BD155" i="1"/>
  <c r="AA151" i="4" s="1"/>
  <c r="BD156" i="1"/>
  <c r="AA152" i="4" s="1"/>
  <c r="BD157" i="1"/>
  <c r="AA153" i="4" s="1"/>
  <c r="BD158" i="1"/>
  <c r="AA154" i="4" s="1"/>
  <c r="BD159" i="1"/>
  <c r="AA155" i="4" s="1"/>
  <c r="BD160" i="1"/>
  <c r="AA156" i="4" s="1"/>
  <c r="BD161" i="1"/>
  <c r="AA157" i="4" s="1"/>
  <c r="BD162" i="1"/>
  <c r="AA158" i="4" s="1"/>
  <c r="BD163" i="1"/>
  <c r="AA159" i="4" s="1"/>
  <c r="BD164" i="1"/>
  <c r="AA160" i="4" s="1"/>
  <c r="BD165" i="1"/>
  <c r="AA161" i="4" s="1"/>
  <c r="BD166" i="1"/>
  <c r="AA162" i="4" s="1"/>
  <c r="BD167" i="1"/>
  <c r="AA163" i="4" s="1"/>
  <c r="BD168" i="1"/>
  <c r="AA164" i="4" s="1"/>
  <c r="BD169" i="1"/>
  <c r="AA165" i="4" s="1"/>
  <c r="BD170" i="1"/>
  <c r="AA166" i="4" s="1"/>
  <c r="BD171" i="1"/>
  <c r="BD172" i="1"/>
  <c r="AA168" i="4" s="1"/>
  <c r="BD173" i="1"/>
  <c r="BD174" i="1"/>
  <c r="AA170" i="4" s="1"/>
  <c r="BD175" i="1"/>
  <c r="AA171" i="4" s="1"/>
  <c r="BD176" i="1"/>
  <c r="AA172" i="4" s="1"/>
  <c r="BD177" i="1"/>
  <c r="AA173" i="4" s="1"/>
  <c r="BD178" i="1"/>
  <c r="AA174" i="4" s="1"/>
  <c r="BD179" i="1"/>
  <c r="BD180" i="1"/>
  <c r="AA176" i="4" s="1"/>
  <c r="BD181" i="1"/>
  <c r="AA177" i="4" s="1"/>
  <c r="BD182" i="1"/>
  <c r="AA178" i="4" s="1"/>
  <c r="BD183" i="1"/>
  <c r="BD184" i="1"/>
  <c r="AA180" i="4" s="1"/>
  <c r="BD185" i="1"/>
  <c r="AA181" i="4" s="1"/>
  <c r="BD186" i="1"/>
  <c r="AA182" i="4" s="1"/>
  <c r="BD187" i="1"/>
  <c r="AA183" i="4" s="1"/>
  <c r="BD188" i="1"/>
  <c r="AA184" i="4" s="1"/>
  <c r="BD189" i="1"/>
  <c r="AA185" i="4" s="1"/>
  <c r="BD190" i="1"/>
  <c r="AA186" i="4" s="1"/>
  <c r="BD191" i="1"/>
  <c r="AA187" i="4" s="1"/>
  <c r="BD192" i="1"/>
  <c r="AA188" i="4" s="1"/>
  <c r="BD193" i="1"/>
  <c r="AA189" i="4" s="1"/>
  <c r="BD194" i="1"/>
  <c r="AA190" i="4" s="1"/>
  <c r="BD195" i="1"/>
  <c r="AA191" i="4" s="1"/>
  <c r="BD196" i="1"/>
  <c r="BD197" i="1"/>
  <c r="AA193" i="4" s="1"/>
  <c r="BD198" i="1"/>
  <c r="AA194" i="4" s="1"/>
  <c r="BD199" i="1"/>
  <c r="AA195" i="4" s="1"/>
  <c r="BD200" i="1"/>
  <c r="BD201" i="1"/>
  <c r="AA197" i="4" s="1"/>
  <c r="BD202" i="1"/>
  <c r="AA198" i="4" s="1"/>
  <c r="BD203" i="1"/>
  <c r="BD204" i="1"/>
  <c r="AA200" i="4" s="1"/>
  <c r="BD205" i="1"/>
  <c r="AA201" i="4" s="1"/>
  <c r="BD206" i="1"/>
  <c r="AA202" i="4" s="1"/>
  <c r="BD207" i="1"/>
  <c r="AA203" i="4" s="1"/>
  <c r="BD208" i="1"/>
  <c r="AA204" i="4" s="1"/>
  <c r="BD209" i="1"/>
  <c r="BD210" i="1"/>
  <c r="AA206" i="4" s="1"/>
  <c r="BD211" i="1"/>
  <c r="AA207" i="4" s="1"/>
  <c r="BD212" i="1"/>
  <c r="AA208" i="4" s="1"/>
  <c r="BD213" i="1"/>
  <c r="AA209" i="4" s="1"/>
  <c r="BD214" i="1"/>
  <c r="AA210" i="4" s="1"/>
  <c r="BD215" i="1"/>
  <c r="BD216" i="1"/>
  <c r="AA212" i="4" s="1"/>
  <c r="BD217" i="1"/>
  <c r="AA213" i="4" s="1"/>
  <c r="BD218" i="1"/>
  <c r="AA214" i="4" s="1"/>
  <c r="BD219" i="1"/>
  <c r="AA215" i="4" s="1"/>
  <c r="BD220" i="1"/>
  <c r="AA216" i="4" s="1"/>
  <c r="BD221" i="1"/>
  <c r="BD222" i="1"/>
  <c r="AA218" i="4" s="1"/>
  <c r="BD223" i="1"/>
  <c r="AA219" i="4" s="1"/>
  <c r="BD224" i="1"/>
  <c r="AA220" i="4" s="1"/>
  <c r="BD225" i="1"/>
  <c r="AA221" i="4" s="1"/>
  <c r="BD226" i="1"/>
  <c r="AA222" i="4" s="1"/>
  <c r="BD227" i="1"/>
  <c r="AA223" i="4" s="1"/>
  <c r="BD228" i="1"/>
  <c r="AA224" i="4" s="1"/>
  <c r="BD229" i="1"/>
  <c r="AA225" i="4" s="1"/>
  <c r="BD230" i="1"/>
  <c r="AA226" i="4" s="1"/>
  <c r="BD231" i="1"/>
  <c r="AA227" i="4" s="1"/>
  <c r="BD232" i="1"/>
  <c r="AA228" i="4" s="1"/>
  <c r="BD233" i="1"/>
  <c r="BD234" i="1"/>
  <c r="AA230" i="4" s="1"/>
  <c r="BD235" i="1"/>
  <c r="AA231" i="4" s="1"/>
  <c r="BD236" i="1"/>
  <c r="BD237" i="1"/>
  <c r="BD238" i="1"/>
  <c r="AA234" i="4" s="1"/>
  <c r="BD239" i="1"/>
  <c r="AA235" i="4" s="1"/>
  <c r="BD240" i="1"/>
  <c r="AA236" i="4" s="1"/>
  <c r="BD241" i="1"/>
  <c r="AA237" i="4" s="1"/>
  <c r="BD242" i="1"/>
  <c r="BD243" i="1"/>
  <c r="AA239" i="4" s="1"/>
  <c r="BD244" i="1"/>
  <c r="BD245" i="1"/>
  <c r="AA241" i="4" s="1"/>
  <c r="BD246" i="1"/>
  <c r="AA242" i="4" s="1"/>
  <c r="BD247" i="1"/>
  <c r="AA243" i="4" s="1"/>
  <c r="BD248" i="1"/>
  <c r="BD249" i="1"/>
  <c r="AA245" i="4" s="1"/>
  <c r="BD250" i="1"/>
  <c r="AA246" i="4" s="1"/>
  <c r="BD251" i="1"/>
  <c r="AA247" i="4" s="1"/>
  <c r="BD252" i="1"/>
  <c r="BD253" i="1"/>
  <c r="AA249" i="4" s="1"/>
  <c r="BD254" i="1"/>
  <c r="AA250" i="4" s="1"/>
  <c r="BD255" i="1"/>
  <c r="BD256" i="1"/>
  <c r="BD257" i="1"/>
  <c r="BD258" i="1"/>
  <c r="AA254" i="4" s="1"/>
  <c r="BD259" i="1"/>
  <c r="AA255" i="4" s="1"/>
  <c r="BD260" i="1"/>
  <c r="BD261" i="1"/>
  <c r="BD262" i="1"/>
  <c r="BD263" i="1"/>
  <c r="BD264" i="1"/>
  <c r="AA260" i="4" s="1"/>
  <c r="BD265" i="1"/>
  <c r="AA261" i="4" s="1"/>
  <c r="BD266" i="1"/>
  <c r="BD267" i="1"/>
  <c r="AA263" i="4" s="1"/>
  <c r="BD268" i="1"/>
  <c r="AA264" i="4" s="1"/>
  <c r="BD269" i="1"/>
  <c r="AA265" i="4" s="1"/>
  <c r="BD270" i="1"/>
  <c r="AA266" i="4" s="1"/>
  <c r="BD271" i="1"/>
  <c r="AA267" i="4" s="1"/>
  <c r="BD272" i="1"/>
  <c r="AA268" i="4" s="1"/>
  <c r="BD273" i="1"/>
  <c r="AA269" i="4" s="1"/>
  <c r="BD274" i="1"/>
  <c r="AA270" i="4" s="1"/>
  <c r="BD275" i="1"/>
  <c r="BD276" i="1"/>
  <c r="AA272" i="4" s="1"/>
  <c r="BD277" i="1"/>
  <c r="AA273" i="4" s="1"/>
  <c r="BD278" i="1"/>
  <c r="BD279" i="1"/>
  <c r="AA275" i="4" s="1"/>
  <c r="BD280" i="1"/>
  <c r="AA276" i="4" s="1"/>
  <c r="BD281" i="1"/>
  <c r="BD282" i="1"/>
  <c r="AA278" i="4" s="1"/>
  <c r="BD283" i="1"/>
  <c r="AA279" i="4" s="1"/>
  <c r="BD284" i="1"/>
  <c r="AA280" i="4" s="1"/>
  <c r="BD285" i="1"/>
  <c r="AA281" i="4" s="1"/>
  <c r="BD286" i="1"/>
  <c r="AA282" i="4" s="1"/>
  <c r="BD287" i="1"/>
  <c r="AA283" i="4" s="1"/>
  <c r="BD288" i="1"/>
  <c r="AA284" i="4" s="1"/>
  <c r="BD289" i="1"/>
  <c r="AA285" i="4" s="1"/>
  <c r="BD290" i="1"/>
  <c r="AA286" i="4" s="1"/>
  <c r="BD291" i="1"/>
  <c r="AA287" i="4" s="1"/>
  <c r="BD292" i="1"/>
  <c r="AA288" i="4" s="1"/>
  <c r="BD293" i="1"/>
  <c r="AA289" i="4" s="1"/>
  <c r="BD294" i="1"/>
  <c r="AA290" i="4" s="1"/>
  <c r="BD295" i="1"/>
  <c r="AA291" i="4" s="1"/>
  <c r="BD296" i="1"/>
  <c r="BD297" i="1"/>
  <c r="AA293" i="4" s="1"/>
  <c r="BD298" i="1"/>
  <c r="AA294" i="4" s="1"/>
  <c r="BD299" i="1"/>
  <c r="BD300" i="1"/>
  <c r="BD301" i="1"/>
  <c r="AA297" i="4" s="1"/>
  <c r="BD302" i="1"/>
  <c r="BD303" i="1"/>
  <c r="AA299" i="4" s="1"/>
  <c r="BD304" i="1"/>
  <c r="AA300" i="4" s="1"/>
  <c r="BD305" i="1"/>
  <c r="AA301" i="4" s="1"/>
  <c r="BD306" i="1"/>
  <c r="AA302" i="4" s="1"/>
  <c r="BD307" i="1"/>
  <c r="AA303" i="4" s="1"/>
  <c r="BD308" i="1"/>
  <c r="L308" i="1" s="1"/>
  <c r="H75" i="24" s="1"/>
  <c r="AA305" i="4"/>
  <c r="BD311" i="1"/>
  <c r="BD312" i="1"/>
  <c r="AA308" i="4" s="1"/>
  <c r="BD313" i="1"/>
  <c r="AA309" i="4" s="1"/>
  <c r="BD314" i="1"/>
  <c r="AA310" i="4" s="1"/>
  <c r="BD315" i="1"/>
  <c r="BD316" i="1"/>
  <c r="AA312" i="4" s="1"/>
  <c r="BD317" i="1"/>
  <c r="AA313" i="4" s="1"/>
  <c r="BD318" i="1"/>
  <c r="AA314" i="4" s="1"/>
  <c r="BD319" i="1"/>
  <c r="AA315" i="4" s="1"/>
  <c r="BD320" i="1"/>
  <c r="BD321" i="1"/>
  <c r="AA317" i="4" s="1"/>
  <c r="BD322" i="1"/>
  <c r="AA318" i="4" s="1"/>
  <c r="BD323" i="1"/>
  <c r="AA319" i="4" s="1"/>
  <c r="BD324" i="1"/>
  <c r="AA320" i="4" s="1"/>
  <c r="BD325" i="1"/>
  <c r="BD326" i="1"/>
  <c r="AA322" i="4" s="1"/>
  <c r="BD327" i="1"/>
  <c r="BD328" i="1"/>
  <c r="AA324" i="4" s="1"/>
  <c r="BD329" i="1"/>
  <c r="AA325" i="4" s="1"/>
  <c r="BD330" i="1"/>
  <c r="BD331" i="1"/>
  <c r="AA327" i="4" s="1"/>
  <c r="BD332" i="1"/>
  <c r="AA328" i="4" s="1"/>
  <c r="BD333" i="1"/>
  <c r="BD334" i="1"/>
  <c r="AA330" i="4" s="1"/>
  <c r="BD335" i="1"/>
  <c r="AA331" i="4" s="1"/>
  <c r="BD336" i="1"/>
  <c r="AA332" i="4" s="1"/>
  <c r="BD337" i="1"/>
  <c r="AA333" i="4" s="1"/>
  <c r="BD338" i="1"/>
  <c r="BD339" i="1"/>
  <c r="AA335" i="4" s="1"/>
  <c r="BD340" i="1"/>
  <c r="AA336" i="4" s="1"/>
  <c r="BD341" i="1"/>
  <c r="AA337" i="4" s="1"/>
  <c r="BD342" i="1"/>
  <c r="BD343" i="1"/>
  <c r="AA339" i="4" s="1"/>
  <c r="BD344" i="1"/>
  <c r="AA340" i="4" s="1"/>
  <c r="BD345" i="1"/>
  <c r="AA341" i="4" s="1"/>
  <c r="BD346" i="1"/>
  <c r="AA342" i="4" s="1"/>
  <c r="BD347" i="1"/>
  <c r="AA343" i="4" s="1"/>
  <c r="BD348" i="1"/>
  <c r="AA344" i="4" s="1"/>
  <c r="BD349" i="1"/>
  <c r="BD350" i="1"/>
  <c r="AA346" i="4" s="1"/>
  <c r="BD351" i="1"/>
  <c r="AA347" i="4" s="1"/>
  <c r="BD352" i="1"/>
  <c r="AA348" i="4" s="1"/>
  <c r="BD353" i="1"/>
  <c r="AA349" i="4" s="1"/>
  <c r="BD354" i="1"/>
  <c r="AA350" i="4" s="1"/>
  <c r="BD355" i="1"/>
  <c r="AA351" i="4" s="1"/>
  <c r="BD356" i="1"/>
  <c r="AA352" i="4" s="1"/>
  <c r="BD357" i="1"/>
  <c r="BD358" i="1"/>
  <c r="AA354" i="4" s="1"/>
  <c r="BD359" i="1"/>
  <c r="AA355" i="4" s="1"/>
  <c r="BD360" i="1"/>
  <c r="AA356" i="4" s="1"/>
  <c r="BD361" i="1"/>
  <c r="AA357" i="4" s="1"/>
  <c r="BD362" i="1"/>
  <c r="BD363" i="1"/>
  <c r="AA359" i="4" s="1"/>
  <c r="BD364" i="1"/>
  <c r="AA360" i="4" s="1"/>
  <c r="BD365" i="1"/>
  <c r="AA361" i="4" s="1"/>
  <c r="BD366" i="1"/>
  <c r="AA362" i="4" s="1"/>
  <c r="BD367" i="1"/>
  <c r="BD368" i="1"/>
  <c r="AA364" i="4" s="1"/>
  <c r="BD369" i="1"/>
  <c r="AA365" i="4" s="1"/>
  <c r="BD370" i="1"/>
  <c r="AA366" i="4" s="1"/>
  <c r="BD371" i="1"/>
  <c r="BD372" i="1"/>
  <c r="AA368" i="4" s="1"/>
  <c r="BD373" i="1"/>
  <c r="AA369" i="4" s="1"/>
  <c r="BD374" i="1"/>
  <c r="AA370" i="4" s="1"/>
  <c r="BD375" i="1"/>
  <c r="AA371" i="4" s="1"/>
  <c r="BD376" i="1"/>
  <c r="AA372" i="4" s="1"/>
  <c r="BD377" i="1"/>
  <c r="AA373" i="4" s="1"/>
  <c r="BD378" i="1"/>
  <c r="AA374" i="4" s="1"/>
  <c r="BD379" i="1"/>
  <c r="BD380" i="1"/>
  <c r="AA376" i="4" s="1"/>
  <c r="BD381" i="1"/>
  <c r="AA377" i="4" s="1"/>
  <c r="BD382" i="1"/>
  <c r="BD383" i="1"/>
  <c r="BD384" i="1"/>
  <c r="BD385" i="1"/>
  <c r="BD386" i="1"/>
  <c r="AA382" i="4" s="1"/>
  <c r="BD387" i="1"/>
  <c r="AA383" i="4" s="1"/>
  <c r="BD388" i="1"/>
  <c r="BD389" i="1"/>
  <c r="AA385" i="4" s="1"/>
  <c r="BD390" i="1"/>
  <c r="AA386" i="4" s="1"/>
  <c r="BD391" i="1"/>
  <c r="AA387" i="4" s="1"/>
  <c r="BD392" i="1"/>
  <c r="AA388" i="4" s="1"/>
  <c r="BD393" i="1"/>
  <c r="AA389" i="4" s="1"/>
  <c r="BD394" i="1"/>
  <c r="AA390" i="4" s="1"/>
  <c r="BD395" i="1"/>
  <c r="BD396" i="1"/>
  <c r="AA392" i="4" s="1"/>
  <c r="BD397" i="1"/>
  <c r="AA393" i="4" s="1"/>
  <c r="BD398" i="1"/>
  <c r="AA394" i="4" s="1"/>
  <c r="BD399" i="1"/>
  <c r="BD400" i="1"/>
  <c r="AA396" i="4" s="1"/>
  <c r="BD401" i="1"/>
  <c r="AA397" i="4" s="1"/>
  <c r="BD402" i="1"/>
  <c r="BD403" i="1"/>
  <c r="AA399" i="4" s="1"/>
  <c r="BD404" i="1"/>
  <c r="AA400" i="4" s="1"/>
  <c r="BD405" i="1"/>
  <c r="AA401" i="4" s="1"/>
  <c r="BD406" i="1"/>
  <c r="BD407" i="1"/>
  <c r="AA403" i="4" s="1"/>
  <c r="BD408" i="1"/>
  <c r="AA404" i="4" s="1"/>
  <c r="BD409" i="1"/>
  <c r="AA405" i="4" s="1"/>
  <c r="BD410" i="1"/>
  <c r="AA406" i="4" s="1"/>
  <c r="BD411" i="1"/>
  <c r="AA407" i="4" s="1"/>
  <c r="BD412" i="1"/>
  <c r="AA408" i="4" s="1"/>
  <c r="BD413" i="1"/>
  <c r="AA409" i="4" s="1"/>
  <c r="BD414" i="1"/>
  <c r="AA410" i="4" s="1"/>
  <c r="BD415" i="1"/>
  <c r="BD416" i="1"/>
  <c r="AA412" i="4" s="1"/>
  <c r="BD417" i="1"/>
  <c r="AA413" i="4" s="1"/>
  <c r="BD418" i="1"/>
  <c r="AA414" i="4" s="1"/>
  <c r="BD419" i="1"/>
  <c r="BD420" i="1"/>
  <c r="AA416" i="4" s="1"/>
  <c r="BD421" i="1"/>
  <c r="AA417" i="4" s="1"/>
  <c r="BD422" i="1"/>
  <c r="BD423" i="1"/>
  <c r="AA419" i="4" s="1"/>
  <c r="BD424" i="1"/>
  <c r="AA420" i="4" s="1"/>
  <c r="BD425" i="1"/>
  <c r="AA421" i="4" s="1"/>
  <c r="BD426" i="1"/>
  <c r="AA422" i="4" s="1"/>
  <c r="BD427" i="1"/>
  <c r="AA423" i="4" s="1"/>
  <c r="BD428" i="1"/>
  <c r="AA424" i="4" s="1"/>
  <c r="BD429" i="1"/>
  <c r="AA425" i="4" s="1"/>
  <c r="BD430" i="1"/>
  <c r="AA426" i="4" s="1"/>
  <c r="BD431" i="1"/>
  <c r="AA427" i="4" s="1"/>
  <c r="BD432" i="1"/>
  <c r="BD433" i="1"/>
  <c r="AA429" i="4" s="1"/>
  <c r="BD434" i="1"/>
  <c r="BD435" i="1"/>
  <c r="AA431" i="4" s="1"/>
  <c r="BD436" i="1"/>
  <c r="AA432" i="4" s="1"/>
  <c r="BD437" i="1"/>
  <c r="AA433" i="4" s="1"/>
  <c r="BD438" i="1"/>
  <c r="AA434" i="4" s="1"/>
  <c r="BD439" i="1"/>
  <c r="AA435" i="4" s="1"/>
  <c r="BD440" i="1"/>
  <c r="BD441" i="1"/>
  <c r="AA437" i="4" s="1"/>
  <c r="BD442" i="1"/>
  <c r="AA438" i="4" s="1"/>
  <c r="BD443" i="1"/>
  <c r="AA439" i="4" s="1"/>
  <c r="BD444" i="1"/>
  <c r="AA440" i="4" s="1"/>
  <c r="BD445" i="1"/>
  <c r="AA441" i="4" s="1"/>
  <c r="BD446" i="1"/>
  <c r="AA442" i="4" s="1"/>
  <c r="BD447" i="1"/>
  <c r="AA443" i="4" s="1"/>
  <c r="BD448" i="1"/>
  <c r="AA444" i="4" s="1"/>
  <c r="BD449" i="1"/>
  <c r="AA445" i="4" s="1"/>
  <c r="BD450" i="1"/>
  <c r="AA446" i="4" s="1"/>
  <c r="BD451" i="1"/>
  <c r="AA447" i="4" s="1"/>
  <c r="BD452" i="1"/>
  <c r="AA448" i="4" s="1"/>
  <c r="BD453" i="1"/>
  <c r="AA449" i="4" s="1"/>
  <c r="BD454" i="1"/>
  <c r="AA450" i="4" s="1"/>
  <c r="BD455" i="1"/>
  <c r="AA451" i="4" s="1"/>
  <c r="BD456" i="1"/>
  <c r="BD457" i="1"/>
  <c r="AA453" i="4" s="1"/>
  <c r="BD458" i="1"/>
  <c r="AA454" i="4" s="1"/>
  <c r="BD459" i="1"/>
  <c r="AA455" i="4" s="1"/>
  <c r="BD460" i="1"/>
  <c r="AA456" i="4" s="1"/>
  <c r="BD461" i="1"/>
  <c r="BD462" i="1"/>
  <c r="AA458" i="4" s="1"/>
  <c r="BD463" i="1"/>
  <c r="AA459" i="4" s="1"/>
  <c r="BD464" i="1"/>
  <c r="BD465" i="1"/>
  <c r="AA461" i="4" s="1"/>
  <c r="BD466" i="1"/>
  <c r="AA462" i="4" s="1"/>
  <c r="BD467" i="1"/>
  <c r="AA463" i="4" s="1"/>
  <c r="BD468" i="1"/>
  <c r="AA464" i="4" s="1"/>
  <c r="BD469" i="1"/>
  <c r="BD470" i="1"/>
  <c r="AA466" i="4" s="1"/>
  <c r="BD471" i="1"/>
  <c r="AA467" i="4" s="1"/>
  <c r="BD472" i="1"/>
  <c r="AA468" i="4" s="1"/>
  <c r="BD473" i="1"/>
  <c r="AA469" i="4" s="1"/>
  <c r="BD474" i="1"/>
  <c r="AA470" i="4" s="1"/>
  <c r="BD475" i="1"/>
  <c r="AA471" i="4" s="1"/>
  <c r="BD476" i="1"/>
  <c r="AA472" i="4" s="1"/>
  <c r="BD477" i="1"/>
  <c r="AA473" i="4" s="1"/>
  <c r="BD478" i="1"/>
  <c r="AA474" i="4" s="1"/>
  <c r="BD479" i="1"/>
  <c r="AA475" i="4" s="1"/>
  <c r="BD480" i="1"/>
  <c r="BD481" i="1"/>
  <c r="AA477" i="4" s="1"/>
  <c r="BD482" i="1"/>
  <c r="AA478" i="4" s="1"/>
  <c r="BD483" i="1"/>
  <c r="AA479" i="4" s="1"/>
  <c r="BD484" i="1"/>
  <c r="BD485" i="1"/>
  <c r="AA481" i="4" s="1"/>
  <c r="BD486" i="1"/>
  <c r="AA482" i="4" s="1"/>
  <c r="BD487" i="1"/>
  <c r="AA483" i="4" s="1"/>
  <c r="BD488" i="1"/>
  <c r="AA484" i="4" s="1"/>
  <c r="BD489" i="1"/>
  <c r="AA485" i="4" s="1"/>
  <c r="BD490" i="1"/>
  <c r="AA486" i="4" s="1"/>
  <c r="BD491" i="1"/>
  <c r="AA487" i="4" s="1"/>
  <c r="BD492" i="1"/>
  <c r="BD493" i="1"/>
  <c r="AA489" i="4" s="1"/>
  <c r="BD494" i="1"/>
  <c r="AA490" i="4" s="1"/>
  <c r="BD495" i="1"/>
  <c r="AA491" i="4" s="1"/>
  <c r="BD496" i="1"/>
  <c r="BD497" i="1"/>
  <c r="AA493" i="4" s="1"/>
  <c r="BD498" i="1"/>
  <c r="AA494" i="4" s="1"/>
  <c r="BD499" i="1"/>
  <c r="AA495" i="4" s="1"/>
  <c r="BD500" i="1"/>
  <c r="BD501" i="1"/>
  <c r="AA497" i="4" s="1"/>
  <c r="BD502" i="1"/>
  <c r="AA498" i="4" s="1"/>
  <c r="BD503" i="1"/>
  <c r="AA499" i="4" s="1"/>
  <c r="BD504" i="1"/>
  <c r="AA500" i="4" s="1"/>
  <c r="BD505" i="1"/>
  <c r="AA501" i="4" s="1"/>
  <c r="BD506" i="1"/>
  <c r="AA502" i="4" s="1"/>
  <c r="BD507" i="1"/>
  <c r="BD508" i="1"/>
  <c r="BD509" i="1"/>
  <c r="AA505" i="4" s="1"/>
  <c r="BD510" i="1"/>
  <c r="AA506" i="4" s="1"/>
  <c r="BD511" i="1"/>
  <c r="AA507" i="4" s="1"/>
  <c r="BD512" i="1"/>
  <c r="AA508" i="4" s="1"/>
  <c r="BD513" i="1"/>
  <c r="AA509" i="4" s="1"/>
  <c r="BD514" i="1"/>
  <c r="AA510" i="4" s="1"/>
  <c r="BD515" i="1"/>
  <c r="BD516" i="1"/>
  <c r="AA512" i="4" s="1"/>
  <c r="BD517" i="1"/>
  <c r="AA513" i="4" s="1"/>
  <c r="BD518" i="1"/>
  <c r="AA514" i="4" s="1"/>
  <c r="BD519" i="1"/>
  <c r="AA515" i="4" s="1"/>
  <c r="BD520" i="1"/>
  <c r="AA516" i="4" s="1"/>
  <c r="BD521" i="1"/>
  <c r="BD522" i="1"/>
  <c r="AA518" i="4" s="1"/>
  <c r="BD523" i="1"/>
  <c r="AA519" i="4" s="1"/>
  <c r="BD524" i="1"/>
  <c r="BD525" i="1"/>
  <c r="AA521" i="4" s="1"/>
  <c r="BD526" i="1"/>
  <c r="AA522" i="4" s="1"/>
  <c r="BD527" i="1"/>
  <c r="AA523" i="4" s="1"/>
  <c r="BD528" i="1"/>
  <c r="AA524" i="4" s="1"/>
  <c r="BD529" i="1"/>
  <c r="BD530" i="1"/>
  <c r="AA526" i="4" s="1"/>
  <c r="BD531" i="1"/>
  <c r="AA527" i="4" s="1"/>
  <c r="BD532" i="1"/>
  <c r="AA528" i="4" s="1"/>
  <c r="BD533" i="1"/>
  <c r="AA529" i="4" s="1"/>
  <c r="BD534" i="1"/>
  <c r="AA530" i="4" s="1"/>
  <c r="BD535" i="1"/>
  <c r="AA531" i="4" s="1"/>
  <c r="BD536" i="1"/>
  <c r="AA532" i="4" s="1"/>
  <c r="BD537" i="1"/>
  <c r="AA533" i="4" s="1"/>
  <c r="BD538" i="1"/>
  <c r="BD539" i="1"/>
  <c r="AA535" i="4" s="1"/>
  <c r="BD540" i="1"/>
  <c r="AA536" i="4" s="1"/>
  <c r="BD541" i="1"/>
  <c r="AA537" i="4" s="1"/>
  <c r="BD542" i="1"/>
  <c r="BD543" i="1"/>
  <c r="AA539" i="4" s="1"/>
  <c r="BD544" i="1"/>
  <c r="AA540" i="4" s="1"/>
  <c r="BD545" i="1"/>
  <c r="AA541" i="4" s="1"/>
  <c r="BD546" i="1"/>
  <c r="AA542" i="4" s="1"/>
  <c r="BD547" i="1"/>
  <c r="AA543" i="4" s="1"/>
  <c r="BD548" i="1"/>
  <c r="AA544" i="4" s="1"/>
  <c r="BD549" i="1"/>
  <c r="BD550" i="1"/>
  <c r="AA546" i="4" s="1"/>
  <c r="BD552" i="1"/>
  <c r="AA548" i="4" s="1"/>
  <c r="BD553" i="1"/>
  <c r="AA549" i="4" s="1"/>
  <c r="BD554" i="1"/>
  <c r="AA550" i="4" s="1"/>
  <c r="BD555" i="1"/>
  <c r="AA551" i="4" s="1"/>
  <c r="BD556" i="1"/>
  <c r="AA552" i="4" s="1"/>
  <c r="BD557" i="1"/>
  <c r="AA553" i="4" s="1"/>
  <c r="BD558" i="1"/>
  <c r="BD559" i="1"/>
  <c r="AA555" i="4" s="1"/>
  <c r="BD560" i="1"/>
  <c r="AA556" i="4" s="1"/>
  <c r="BD561" i="1"/>
  <c r="AA557" i="4" s="1"/>
  <c r="BD562" i="1"/>
  <c r="BD563" i="1"/>
  <c r="AA559" i="4" s="1"/>
  <c r="BD564" i="1"/>
  <c r="BD565" i="1"/>
  <c r="AA561" i="4" s="1"/>
  <c r="BD566" i="1"/>
  <c r="BD567" i="1"/>
  <c r="AA563" i="4" s="1"/>
  <c r="BD20" i="1"/>
  <c r="AA16" i="4" s="1"/>
  <c r="BD15" i="1"/>
  <c r="AA11" i="4" s="1"/>
  <c r="BD16" i="1"/>
  <c r="AA12" i="4" s="1"/>
  <c r="BD17" i="1"/>
  <c r="AA13" i="4" s="1"/>
  <c r="BD18" i="1"/>
  <c r="AA14" i="4" s="1"/>
  <c r="BD19" i="1"/>
  <c r="AA15" i="4" s="1"/>
  <c r="AG335" i="1"/>
  <c r="AH335" i="1" s="1"/>
  <c r="K311" i="1" l="1"/>
  <c r="K496" i="1"/>
  <c r="K480" i="1"/>
  <c r="K432" i="1"/>
  <c r="AA430" i="4"/>
  <c r="L434" i="1"/>
  <c r="AA418" i="4"/>
  <c r="L422" i="1"/>
  <c r="AA398" i="4"/>
  <c r="L402" i="1"/>
  <c r="AA358" i="4"/>
  <c r="L362" i="1"/>
  <c r="H395" i="1"/>
  <c r="H362" i="1"/>
  <c r="AA334" i="4"/>
  <c r="L338" i="1"/>
  <c r="H338" i="1"/>
  <c r="D338" i="1"/>
  <c r="AA326" i="4"/>
  <c r="L330" i="1"/>
  <c r="AA271" i="4"/>
  <c r="L275" i="1"/>
  <c r="AA259" i="4"/>
  <c r="H263" i="1"/>
  <c r="L263" i="1"/>
  <c r="AA251" i="4"/>
  <c r="L255" i="1"/>
  <c r="H255" i="1"/>
  <c r="AA199" i="4"/>
  <c r="L203" i="1"/>
  <c r="AA175" i="4"/>
  <c r="L179" i="1"/>
  <c r="H179" i="1"/>
  <c r="AA167" i="4"/>
  <c r="L171" i="1"/>
  <c r="H171" i="1"/>
  <c r="AA83" i="4"/>
  <c r="L87" i="1"/>
  <c r="AA67" i="4"/>
  <c r="L71" i="1"/>
  <c r="H71" i="1"/>
  <c r="AA520" i="4"/>
  <c r="L524" i="1"/>
  <c r="AA504" i="4"/>
  <c r="L508" i="1"/>
  <c r="AA496" i="4"/>
  <c r="L500" i="1"/>
  <c r="AA492" i="4"/>
  <c r="L496" i="1"/>
  <c r="AA488" i="4"/>
  <c r="L492" i="1"/>
  <c r="H492" i="1"/>
  <c r="AA480" i="4"/>
  <c r="L484" i="1"/>
  <c r="AA476" i="4"/>
  <c r="L480" i="1"/>
  <c r="AA460" i="4"/>
  <c r="L464" i="1"/>
  <c r="AA452" i="4"/>
  <c r="L456" i="1"/>
  <c r="AA436" i="4"/>
  <c r="L440" i="1"/>
  <c r="H440" i="1"/>
  <c r="AA428" i="4"/>
  <c r="L432" i="1"/>
  <c r="AA384" i="4"/>
  <c r="L388" i="1"/>
  <c r="H388" i="1"/>
  <c r="AA380" i="4"/>
  <c r="L384" i="1"/>
  <c r="AA316" i="4"/>
  <c r="L320" i="1"/>
  <c r="H320" i="1"/>
  <c r="AA304" i="4"/>
  <c r="AA296" i="4"/>
  <c r="L300" i="1"/>
  <c r="H300" i="1"/>
  <c r="AA277" i="4"/>
  <c r="L281" i="1"/>
  <c r="H281" i="1"/>
  <c r="AA257" i="4"/>
  <c r="L261" i="1"/>
  <c r="AA253" i="4"/>
  <c r="L257" i="1"/>
  <c r="AA233" i="4"/>
  <c r="L237" i="1"/>
  <c r="H237" i="1"/>
  <c r="AA229" i="4"/>
  <c r="L233" i="1"/>
  <c r="H233" i="1"/>
  <c r="AA217" i="4"/>
  <c r="L221" i="1"/>
  <c r="AA205" i="4"/>
  <c r="L209" i="1"/>
  <c r="AA169" i="4"/>
  <c r="L173" i="1"/>
  <c r="AA117" i="4"/>
  <c r="L121" i="1"/>
  <c r="AA113" i="4"/>
  <c r="L117" i="1"/>
  <c r="AA73" i="4"/>
  <c r="L77" i="1"/>
  <c r="AA53" i="4"/>
  <c r="L57" i="1"/>
  <c r="AA45" i="4"/>
  <c r="L49" i="1"/>
  <c r="K524" i="1"/>
  <c r="K508" i="1"/>
  <c r="K500" i="1"/>
  <c r="K492" i="1"/>
  <c r="G492" i="1"/>
  <c r="K484" i="1"/>
  <c r="K464" i="1"/>
  <c r="K456" i="1"/>
  <c r="G440" i="1"/>
  <c r="K440" i="1"/>
  <c r="K388" i="1"/>
  <c r="G388" i="1"/>
  <c r="K320" i="1"/>
  <c r="K300" i="1"/>
  <c r="G300" i="1"/>
  <c r="G281" i="1"/>
  <c r="K281" i="1"/>
  <c r="K255" i="1"/>
  <c r="K102" i="1"/>
  <c r="K77" i="1"/>
  <c r="K57" i="1"/>
  <c r="K49" i="1"/>
  <c r="AA560" i="4"/>
  <c r="L564" i="1"/>
  <c r="H564" i="1"/>
  <c r="AA415" i="4"/>
  <c r="L419" i="1"/>
  <c r="AA323" i="4"/>
  <c r="L327" i="1"/>
  <c r="H327" i="1"/>
  <c r="AA311" i="4"/>
  <c r="L315" i="1"/>
  <c r="H315" i="1"/>
  <c r="AA307" i="4"/>
  <c r="L311" i="1"/>
  <c r="H311" i="1"/>
  <c r="AA295" i="4"/>
  <c r="L299" i="1"/>
  <c r="AA292" i="4"/>
  <c r="L296" i="1"/>
  <c r="H296" i="1"/>
  <c r="AA256" i="4"/>
  <c r="L260" i="1"/>
  <c r="AA252" i="4"/>
  <c r="L256" i="1"/>
  <c r="AA248" i="4"/>
  <c r="L252" i="1"/>
  <c r="AA244" i="4"/>
  <c r="L248" i="1"/>
  <c r="H248" i="1"/>
  <c r="AA240" i="4"/>
  <c r="L244" i="1"/>
  <c r="H244" i="1"/>
  <c r="AA232" i="4"/>
  <c r="L236" i="1"/>
  <c r="AA196" i="4"/>
  <c r="L200" i="1"/>
  <c r="AA192" i="4"/>
  <c r="L196" i="1"/>
  <c r="AA108" i="4"/>
  <c r="L112" i="1"/>
  <c r="AA92" i="4"/>
  <c r="L96" i="1"/>
  <c r="AA24" i="4"/>
  <c r="L28" i="1"/>
  <c r="H28" i="1"/>
  <c r="K564" i="1"/>
  <c r="G564" i="1"/>
  <c r="K515" i="1"/>
  <c r="K419" i="1"/>
  <c r="K415" i="1"/>
  <c r="K403" i="1"/>
  <c r="K399" i="1"/>
  <c r="K395" i="1"/>
  <c r="K379" i="1"/>
  <c r="K371" i="1"/>
  <c r="K367" i="1"/>
  <c r="K327" i="1"/>
  <c r="G327" i="1"/>
  <c r="K315" i="1"/>
  <c r="G320" i="1"/>
  <c r="G315" i="1"/>
  <c r="G311" i="1"/>
  <c r="K296" i="1"/>
  <c r="G296" i="1"/>
  <c r="K263" i="1"/>
  <c r="G263" i="1"/>
  <c r="K242" i="1"/>
  <c r="K221" i="1"/>
  <c r="K209" i="1"/>
  <c r="K173" i="1"/>
  <c r="K121" i="1"/>
  <c r="K117" i="1"/>
  <c r="K96" i="1"/>
  <c r="K28" i="1"/>
  <c r="G28" i="1"/>
  <c r="AA511" i="4"/>
  <c r="L515" i="1"/>
  <c r="AA411" i="4"/>
  <c r="L415" i="1"/>
  <c r="AA395" i="4"/>
  <c r="L399" i="1"/>
  <c r="AA367" i="4"/>
  <c r="L371" i="1"/>
  <c r="AA538" i="4"/>
  <c r="L542" i="1"/>
  <c r="H542" i="1"/>
  <c r="K542" i="1"/>
  <c r="G542" i="1"/>
  <c r="K538" i="1"/>
  <c r="G538" i="1"/>
  <c r="K434" i="1"/>
  <c r="K422" i="1"/>
  <c r="K406" i="1"/>
  <c r="G406" i="1"/>
  <c r="K362" i="1"/>
  <c r="G395" i="1"/>
  <c r="K342" i="1"/>
  <c r="G342" i="1"/>
  <c r="K338" i="1"/>
  <c r="G338" i="1"/>
  <c r="C338" i="1"/>
  <c r="K330" i="1"/>
  <c r="K302" i="1"/>
  <c r="K275" i="1"/>
  <c r="K257" i="1"/>
  <c r="K237" i="1"/>
  <c r="G237" i="1"/>
  <c r="K233" i="1"/>
  <c r="G44" i="24" s="1"/>
  <c r="G233" i="1"/>
  <c r="K200" i="1"/>
  <c r="K196" i="1"/>
  <c r="K112" i="1"/>
  <c r="K87" i="1"/>
  <c r="K83" i="1"/>
  <c r="K71" i="1"/>
  <c r="G71" i="1"/>
  <c r="AA503" i="4"/>
  <c r="L507" i="1"/>
  <c r="AA391" i="4"/>
  <c r="L395" i="1"/>
  <c r="AA379" i="4"/>
  <c r="L383" i="1"/>
  <c r="AA375" i="4"/>
  <c r="L379" i="1"/>
  <c r="AA363" i="4"/>
  <c r="L367" i="1"/>
  <c r="AA534" i="4"/>
  <c r="L538" i="1"/>
  <c r="H538" i="1"/>
  <c r="AA402" i="4"/>
  <c r="L406" i="1"/>
  <c r="H406" i="1"/>
  <c r="AA378" i="4"/>
  <c r="L382" i="1"/>
  <c r="AA338" i="4"/>
  <c r="L342" i="1"/>
  <c r="H342" i="1"/>
  <c r="AA298" i="4"/>
  <c r="L302" i="1"/>
  <c r="AA211" i="4"/>
  <c r="L215" i="1"/>
  <c r="H215" i="1"/>
  <c r="AA179" i="4"/>
  <c r="L183" i="1"/>
  <c r="AA139" i="4"/>
  <c r="L143" i="1"/>
  <c r="AA79" i="4"/>
  <c r="L83" i="1"/>
  <c r="AA562" i="4"/>
  <c r="H566" i="1"/>
  <c r="L566" i="1"/>
  <c r="AA558" i="4"/>
  <c r="L562" i="1"/>
  <c r="H562" i="1"/>
  <c r="AA554" i="4"/>
  <c r="H558" i="1"/>
  <c r="L558" i="1"/>
  <c r="AA545" i="4"/>
  <c r="H549" i="1"/>
  <c r="L549" i="1"/>
  <c r="AA525" i="4"/>
  <c r="L529" i="1"/>
  <c r="H529" i="1"/>
  <c r="AA517" i="4"/>
  <c r="L521" i="1"/>
  <c r="AA465" i="4"/>
  <c r="L469" i="1"/>
  <c r="AA457" i="4"/>
  <c r="L461" i="1"/>
  <c r="AA381" i="4"/>
  <c r="L385" i="1"/>
  <c r="AA353" i="4"/>
  <c r="L357" i="1"/>
  <c r="AA345" i="4"/>
  <c r="L349" i="1"/>
  <c r="H349" i="1"/>
  <c r="AA329" i="4"/>
  <c r="L333" i="1"/>
  <c r="AA321" i="4"/>
  <c r="L325" i="1"/>
  <c r="H325" i="1"/>
  <c r="AA274" i="4"/>
  <c r="L278" i="1"/>
  <c r="AA262" i="4"/>
  <c r="L266" i="1"/>
  <c r="AA258" i="4"/>
  <c r="L262" i="1"/>
  <c r="AA238" i="4"/>
  <c r="L242" i="1"/>
  <c r="AA98" i="4"/>
  <c r="L102" i="1"/>
  <c r="AA70" i="4"/>
  <c r="L270" i="1"/>
  <c r="K566" i="1"/>
  <c r="G566" i="1"/>
  <c r="K562" i="1"/>
  <c r="G562" i="1"/>
  <c r="K558" i="1"/>
  <c r="G558" i="1"/>
  <c r="K549" i="1"/>
  <c r="G549" i="1"/>
  <c r="K529" i="1"/>
  <c r="G529" i="1"/>
  <c r="K521" i="1"/>
  <c r="K469" i="1"/>
  <c r="K461" i="1"/>
  <c r="K385" i="1"/>
  <c r="K357" i="1"/>
  <c r="G349" i="1"/>
  <c r="K349" i="1"/>
  <c r="K333" i="1"/>
  <c r="K325" i="1"/>
  <c r="G325" i="1"/>
  <c r="K278" i="1"/>
  <c r="K270" i="1"/>
  <c r="K266" i="1"/>
  <c r="K252" i="1"/>
  <c r="K248" i="1"/>
  <c r="G248" i="1"/>
  <c r="K244" i="1"/>
  <c r="G244" i="1"/>
  <c r="K215" i="1"/>
  <c r="G215" i="1"/>
  <c r="K203" i="1"/>
  <c r="K183" i="1"/>
  <c r="K179" i="1"/>
  <c r="G179" i="1"/>
  <c r="K171" i="1"/>
  <c r="G171" i="1"/>
  <c r="K143" i="1"/>
  <c r="AA10" i="4"/>
  <c r="L14" i="1"/>
  <c r="H14" i="1"/>
  <c r="D14" i="1"/>
  <c r="K14" i="1"/>
  <c r="G362" i="1"/>
  <c r="G14" i="1"/>
  <c r="C14" i="1"/>
  <c r="AM20" i="1"/>
  <c r="U16" i="4" s="1"/>
  <c r="AM331" i="1"/>
  <c r="U327" i="4" s="1"/>
  <c r="F81" i="24"/>
  <c r="F105" i="24"/>
  <c r="F60" i="24"/>
  <c r="F83" i="24"/>
  <c r="F68" i="24"/>
  <c r="F117" i="24"/>
  <c r="AG11" i="4" l="1"/>
  <c r="AG12" i="4"/>
  <c r="AG13" i="4"/>
  <c r="AG14" i="4"/>
  <c r="AG15" i="4"/>
  <c r="AG16" i="4"/>
  <c r="AG17" i="4"/>
  <c r="AG18" i="4"/>
  <c r="AG19" i="4"/>
  <c r="AG20" i="4"/>
  <c r="AG21" i="4"/>
  <c r="AG22" i="4"/>
  <c r="AG23" i="4"/>
  <c r="AG24" i="4"/>
  <c r="AG25" i="4"/>
  <c r="AG26" i="4"/>
  <c r="AG27" i="4"/>
  <c r="AG28" i="4"/>
  <c r="AG29" i="4"/>
  <c r="AG30" i="4"/>
  <c r="AG31" i="4"/>
  <c r="AG32" i="4"/>
  <c r="AG33" i="4"/>
  <c r="AG34" i="4"/>
  <c r="AG35" i="4"/>
  <c r="AG36" i="4"/>
  <c r="AG37" i="4"/>
  <c r="AG38" i="4"/>
  <c r="AG39" i="4"/>
  <c r="AG40" i="4"/>
  <c r="AG41" i="4"/>
  <c r="AG42" i="4"/>
  <c r="AG43" i="4"/>
  <c r="AG44" i="4"/>
  <c r="AG45" i="4"/>
  <c r="AG46" i="4"/>
  <c r="AG47" i="4"/>
  <c r="AG48" i="4"/>
  <c r="AG49" i="4"/>
  <c r="AG50" i="4"/>
  <c r="AG51" i="4"/>
  <c r="AG52" i="4"/>
  <c r="AG53" i="4"/>
  <c r="AG54" i="4"/>
  <c r="AG55" i="4"/>
  <c r="AG56" i="4"/>
  <c r="AG57" i="4"/>
  <c r="AG58" i="4"/>
  <c r="AG59" i="4"/>
  <c r="AG60" i="4"/>
  <c r="AG61" i="4"/>
  <c r="AG62" i="4"/>
  <c r="AG63" i="4"/>
  <c r="AG64" i="4"/>
  <c r="AG65" i="4"/>
  <c r="AG66" i="4"/>
  <c r="AG67" i="4"/>
  <c r="AG68" i="4"/>
  <c r="AG69" i="4"/>
  <c r="AG70" i="4"/>
  <c r="AG71" i="4"/>
  <c r="AG72" i="4"/>
  <c r="AG73" i="4"/>
  <c r="AG74" i="4"/>
  <c r="AG75" i="4"/>
  <c r="AG76" i="4"/>
  <c r="AG77" i="4"/>
  <c r="AG78" i="4"/>
  <c r="AG79" i="4"/>
  <c r="AG80" i="4"/>
  <c r="AG81" i="4"/>
  <c r="AG82" i="4"/>
  <c r="AG83" i="4"/>
  <c r="AG84" i="4"/>
  <c r="AG85" i="4"/>
  <c r="AG86" i="4"/>
  <c r="AG87" i="4"/>
  <c r="AG88" i="4"/>
  <c r="AG89" i="4"/>
  <c r="AG90" i="4"/>
  <c r="AG91" i="4"/>
  <c r="AG92" i="4"/>
  <c r="AG93" i="4"/>
  <c r="AG94" i="4"/>
  <c r="AG95" i="4"/>
  <c r="AG96" i="4"/>
  <c r="AG97" i="4"/>
  <c r="AG98" i="4"/>
  <c r="AG99" i="4"/>
  <c r="AG100" i="4"/>
  <c r="AG101" i="4"/>
  <c r="AG102" i="4"/>
  <c r="AG103" i="4"/>
  <c r="AG104" i="4"/>
  <c r="AG105" i="4"/>
  <c r="AG106" i="4"/>
  <c r="AG107" i="4"/>
  <c r="AG108" i="4"/>
  <c r="AG109" i="4"/>
  <c r="AG110" i="4"/>
  <c r="AG111" i="4"/>
  <c r="AG112" i="4"/>
  <c r="AG113" i="4"/>
  <c r="AG114" i="4"/>
  <c r="AG115" i="4"/>
  <c r="AG116" i="4"/>
  <c r="AG117" i="4"/>
  <c r="AG118" i="4"/>
  <c r="AG119" i="4"/>
  <c r="AG120" i="4"/>
  <c r="AG121" i="4"/>
  <c r="AG122" i="4"/>
  <c r="AG123" i="4"/>
  <c r="AG124" i="4"/>
  <c r="AG125" i="4"/>
  <c r="AG126" i="4"/>
  <c r="AG127" i="4"/>
  <c r="AG128" i="4"/>
  <c r="AG129" i="4"/>
  <c r="AG130" i="4"/>
  <c r="AG131" i="4"/>
  <c r="AG132" i="4"/>
  <c r="AG133" i="4"/>
  <c r="AG134" i="4"/>
  <c r="AG135" i="4"/>
  <c r="AG136" i="4"/>
  <c r="AG137" i="4"/>
  <c r="AG138" i="4"/>
  <c r="AG139" i="4"/>
  <c r="AG140" i="4"/>
  <c r="AG141" i="4"/>
  <c r="AG142" i="4"/>
  <c r="AG143" i="4"/>
  <c r="AG144" i="4"/>
  <c r="AG145" i="4"/>
  <c r="AG146" i="4"/>
  <c r="AG147" i="4"/>
  <c r="AG148" i="4"/>
  <c r="AG149" i="4"/>
  <c r="AG150" i="4"/>
  <c r="AG151" i="4"/>
  <c r="AG152" i="4"/>
  <c r="AG153" i="4"/>
  <c r="AG154" i="4"/>
  <c r="AG155" i="4"/>
  <c r="AG156" i="4"/>
  <c r="AG157" i="4"/>
  <c r="AG158" i="4"/>
  <c r="AG159" i="4"/>
  <c r="AG160" i="4"/>
  <c r="AG161" i="4"/>
  <c r="AG162" i="4"/>
  <c r="AG163" i="4"/>
  <c r="AG164" i="4"/>
  <c r="AG165" i="4"/>
  <c r="AG166" i="4"/>
  <c r="AG167" i="4"/>
  <c r="AG168" i="4"/>
  <c r="AG169" i="4"/>
  <c r="AG170" i="4"/>
  <c r="AG171" i="4"/>
  <c r="AG172" i="4"/>
  <c r="AG173" i="4"/>
  <c r="AG174" i="4"/>
  <c r="AG175" i="4"/>
  <c r="AG176" i="4"/>
  <c r="AG177" i="4"/>
  <c r="AG178" i="4"/>
  <c r="AG179" i="4"/>
  <c r="AG180" i="4"/>
  <c r="AG181" i="4"/>
  <c r="AG182" i="4"/>
  <c r="AG183" i="4"/>
  <c r="AG184" i="4"/>
  <c r="AG185" i="4"/>
  <c r="AG186" i="4"/>
  <c r="AG187" i="4"/>
  <c r="AG188" i="4"/>
  <c r="AG189" i="4"/>
  <c r="AG190" i="4"/>
  <c r="AG191" i="4"/>
  <c r="AG192" i="4"/>
  <c r="AG193" i="4"/>
  <c r="AG194" i="4"/>
  <c r="AG195" i="4"/>
  <c r="AG196" i="4"/>
  <c r="AG197" i="4"/>
  <c r="AG198" i="4"/>
  <c r="AG199" i="4"/>
  <c r="AG200" i="4"/>
  <c r="AG201" i="4"/>
  <c r="AG202" i="4"/>
  <c r="AG203" i="4"/>
  <c r="AG204" i="4"/>
  <c r="AG205" i="4"/>
  <c r="AG206" i="4"/>
  <c r="AG207" i="4"/>
  <c r="AG208" i="4"/>
  <c r="AG209" i="4"/>
  <c r="AG210" i="4"/>
  <c r="AG211" i="4"/>
  <c r="AG212" i="4"/>
  <c r="AG213" i="4"/>
  <c r="AG214" i="4"/>
  <c r="AG215" i="4"/>
  <c r="AG216" i="4"/>
  <c r="AG217" i="4"/>
  <c r="AG218" i="4"/>
  <c r="AG219" i="4"/>
  <c r="AG220" i="4"/>
  <c r="AG221" i="4"/>
  <c r="AG222" i="4"/>
  <c r="AG223" i="4"/>
  <c r="AG224" i="4"/>
  <c r="AG225" i="4"/>
  <c r="AG226" i="4"/>
  <c r="AG227" i="4"/>
  <c r="AG228" i="4"/>
  <c r="AG229" i="4"/>
  <c r="AG230" i="4"/>
  <c r="AG231" i="4"/>
  <c r="AG232" i="4"/>
  <c r="AG233" i="4"/>
  <c r="AG234" i="4"/>
  <c r="AG235" i="4"/>
  <c r="AG236" i="4"/>
  <c r="AG237" i="4"/>
  <c r="AG238" i="4"/>
  <c r="AG239" i="4"/>
  <c r="AG240" i="4"/>
  <c r="AG241" i="4"/>
  <c r="AG242" i="4"/>
  <c r="AG243" i="4"/>
  <c r="AG244" i="4"/>
  <c r="AG245" i="4"/>
  <c r="AG246" i="4"/>
  <c r="AG247" i="4"/>
  <c r="AG248" i="4"/>
  <c r="AG249" i="4"/>
  <c r="AG250" i="4"/>
  <c r="AG251" i="4"/>
  <c r="AG252" i="4"/>
  <c r="AG253" i="4"/>
  <c r="AG254" i="4"/>
  <c r="AG255" i="4"/>
  <c r="AG256" i="4"/>
  <c r="AG257" i="4"/>
  <c r="AG258" i="4"/>
  <c r="AG259" i="4"/>
  <c r="AG260" i="4"/>
  <c r="AG261" i="4"/>
  <c r="AG262" i="4"/>
  <c r="AG263" i="4"/>
  <c r="AG264" i="4"/>
  <c r="AG265" i="4"/>
  <c r="AG266" i="4"/>
  <c r="AG267" i="4"/>
  <c r="AG268" i="4"/>
  <c r="AG269" i="4"/>
  <c r="AG270" i="4"/>
  <c r="AG271" i="4"/>
  <c r="AG272" i="4"/>
  <c r="AG273" i="4"/>
  <c r="AG274" i="4"/>
  <c r="AG275" i="4"/>
  <c r="AG276" i="4"/>
  <c r="AG277" i="4"/>
  <c r="AG278" i="4"/>
  <c r="AG279" i="4"/>
  <c r="AG280" i="4"/>
  <c r="AG281" i="4"/>
  <c r="AG282" i="4"/>
  <c r="AG283" i="4"/>
  <c r="AG284" i="4"/>
  <c r="AG285" i="4"/>
  <c r="AG286" i="4"/>
  <c r="AG287" i="4"/>
  <c r="AG288" i="4"/>
  <c r="AG289" i="4"/>
  <c r="AG290" i="4"/>
  <c r="AG291" i="4"/>
  <c r="AG292" i="4"/>
  <c r="AG293" i="4"/>
  <c r="AG294" i="4"/>
  <c r="AG295" i="4"/>
  <c r="AG296" i="4"/>
  <c r="AG297" i="4"/>
  <c r="AG298" i="4"/>
  <c r="AG299" i="4"/>
  <c r="AG300" i="4"/>
  <c r="AG301" i="4"/>
  <c r="AG302" i="4"/>
  <c r="AG303" i="4"/>
  <c r="AG304" i="4"/>
  <c r="AG305" i="4"/>
  <c r="AG307" i="4"/>
  <c r="AG308" i="4"/>
  <c r="AG309" i="4"/>
  <c r="AG310" i="4"/>
  <c r="AG311" i="4"/>
  <c r="AG312" i="4"/>
  <c r="AG313" i="4"/>
  <c r="AG314" i="4"/>
  <c r="AG315" i="4"/>
  <c r="AG316" i="4"/>
  <c r="AG317" i="4"/>
  <c r="AG318" i="4"/>
  <c r="AG319" i="4"/>
  <c r="AG320" i="4"/>
  <c r="AG321" i="4"/>
  <c r="AG322" i="4"/>
  <c r="AG323" i="4"/>
  <c r="AG324" i="4"/>
  <c r="AG325" i="4"/>
  <c r="AG326" i="4"/>
  <c r="AG327" i="4"/>
  <c r="AG328" i="4"/>
  <c r="AG329" i="4"/>
  <c r="AG330" i="4"/>
  <c r="AG331" i="4"/>
  <c r="AG332" i="4"/>
  <c r="AG333" i="4"/>
  <c r="AG334" i="4"/>
  <c r="AG335" i="4"/>
  <c r="AG336" i="4"/>
  <c r="AG337" i="4"/>
  <c r="AG338" i="4"/>
  <c r="AG339" i="4"/>
  <c r="AG340" i="4"/>
  <c r="AG341" i="4"/>
  <c r="AG342" i="4"/>
  <c r="AG343" i="4"/>
  <c r="AG344" i="4"/>
  <c r="AG345" i="4"/>
  <c r="AG346" i="4"/>
  <c r="AG347" i="4"/>
  <c r="AG348" i="4"/>
  <c r="AG349" i="4"/>
  <c r="AG350" i="4"/>
  <c r="AG351" i="4"/>
  <c r="AG352" i="4"/>
  <c r="AG353" i="4"/>
  <c r="AG354" i="4"/>
  <c r="AG355" i="4"/>
  <c r="AG356" i="4"/>
  <c r="AG357" i="4"/>
  <c r="AG358" i="4"/>
  <c r="AG359" i="4"/>
  <c r="AG360" i="4"/>
  <c r="AG361" i="4"/>
  <c r="AG362" i="4"/>
  <c r="AG363" i="4"/>
  <c r="AG364" i="4"/>
  <c r="AG365" i="4"/>
  <c r="AG366" i="4"/>
  <c r="AG367" i="4"/>
  <c r="AG368" i="4"/>
  <c r="AG369" i="4"/>
  <c r="AG370" i="4"/>
  <c r="AG371" i="4"/>
  <c r="AG372" i="4"/>
  <c r="AG373" i="4"/>
  <c r="AG374" i="4"/>
  <c r="AG375" i="4"/>
  <c r="AG376" i="4"/>
  <c r="AG377" i="4"/>
  <c r="AG378" i="4"/>
  <c r="AG379" i="4"/>
  <c r="AG380" i="4"/>
  <c r="AG381" i="4"/>
  <c r="AG382" i="4"/>
  <c r="AG383" i="4"/>
  <c r="AG384" i="4"/>
  <c r="AG385" i="4"/>
  <c r="AG386" i="4"/>
  <c r="AG387" i="4"/>
  <c r="AG388" i="4"/>
  <c r="AG389" i="4"/>
  <c r="AG390" i="4"/>
  <c r="AG391" i="4"/>
  <c r="AG392" i="4"/>
  <c r="AG393" i="4"/>
  <c r="AG394" i="4"/>
  <c r="AG395" i="4"/>
  <c r="AG396" i="4"/>
  <c r="AG397" i="4"/>
  <c r="AG398" i="4"/>
  <c r="AG399" i="4"/>
  <c r="AG400" i="4"/>
  <c r="AG401" i="4"/>
  <c r="AG402" i="4"/>
  <c r="AG403" i="4"/>
  <c r="AG404" i="4"/>
  <c r="AG405" i="4"/>
  <c r="AG406" i="4"/>
  <c r="AG407" i="4"/>
  <c r="AG408" i="4"/>
  <c r="AG409" i="4"/>
  <c r="AG410" i="4"/>
  <c r="AG411" i="4"/>
  <c r="AG412" i="4"/>
  <c r="AG413" i="4"/>
  <c r="AG414" i="4"/>
  <c r="AG415" i="4"/>
  <c r="AG416" i="4"/>
  <c r="AG417" i="4"/>
  <c r="AG418" i="4"/>
  <c r="AG419" i="4"/>
  <c r="AG420" i="4"/>
  <c r="AG421" i="4"/>
  <c r="AG422" i="4"/>
  <c r="AG423" i="4"/>
  <c r="AG424" i="4"/>
  <c r="AG425" i="4"/>
  <c r="AG426" i="4"/>
  <c r="AG427" i="4"/>
  <c r="AG428" i="4"/>
  <c r="AG429" i="4"/>
  <c r="AG430" i="4"/>
  <c r="AG431" i="4"/>
  <c r="AG432" i="4"/>
  <c r="AG433" i="4"/>
  <c r="AG434" i="4"/>
  <c r="AG435" i="4"/>
  <c r="AG436" i="4"/>
  <c r="AG437" i="4"/>
  <c r="AG438" i="4"/>
  <c r="AG439" i="4"/>
  <c r="AG440" i="4"/>
  <c r="AG441" i="4"/>
  <c r="AG442" i="4"/>
  <c r="AG443" i="4"/>
  <c r="AG444" i="4"/>
  <c r="AG445" i="4"/>
  <c r="AG446" i="4"/>
  <c r="AG447" i="4"/>
  <c r="AG448" i="4"/>
  <c r="AG449" i="4"/>
  <c r="AG450" i="4"/>
  <c r="AG451" i="4"/>
  <c r="AG452" i="4"/>
  <c r="AG453" i="4"/>
  <c r="AG454" i="4"/>
  <c r="AG455" i="4"/>
  <c r="AG456" i="4"/>
  <c r="AG457" i="4"/>
  <c r="AG458" i="4"/>
  <c r="AG459" i="4"/>
  <c r="AG460" i="4"/>
  <c r="AG461" i="4"/>
  <c r="AG462" i="4"/>
  <c r="AG463" i="4"/>
  <c r="AG464" i="4"/>
  <c r="AG465" i="4"/>
  <c r="AG466" i="4"/>
  <c r="AG467" i="4"/>
  <c r="AG468" i="4"/>
  <c r="AG469" i="4"/>
  <c r="AG470" i="4"/>
  <c r="AG471" i="4"/>
  <c r="AG472" i="4"/>
  <c r="AG473" i="4"/>
  <c r="AG474" i="4"/>
  <c r="AG475" i="4"/>
  <c r="AG476" i="4"/>
  <c r="AG477" i="4"/>
  <c r="AG478" i="4"/>
  <c r="AG479" i="4"/>
  <c r="AG480" i="4"/>
  <c r="AG481" i="4"/>
  <c r="AG482" i="4"/>
  <c r="AG483" i="4"/>
  <c r="AG484" i="4"/>
  <c r="AG485" i="4"/>
  <c r="AG486" i="4"/>
  <c r="AG487" i="4"/>
  <c r="AG488" i="4"/>
  <c r="AG489" i="4"/>
  <c r="AG490" i="4"/>
  <c r="AG491" i="4"/>
  <c r="AG492" i="4"/>
  <c r="AG493" i="4"/>
  <c r="AG494" i="4"/>
  <c r="AG495" i="4"/>
  <c r="AG496" i="4"/>
  <c r="AG497" i="4"/>
  <c r="AG498" i="4"/>
  <c r="AG499" i="4"/>
  <c r="AG500" i="4"/>
  <c r="AG501" i="4"/>
  <c r="AG502" i="4"/>
  <c r="AG503" i="4"/>
  <c r="AG504" i="4"/>
  <c r="AG505" i="4"/>
  <c r="AG506" i="4"/>
  <c r="AG507" i="4"/>
  <c r="AG508" i="4"/>
  <c r="AG509" i="4"/>
  <c r="AG510" i="4"/>
  <c r="AG511" i="4"/>
  <c r="AG512" i="4"/>
  <c r="AG513" i="4"/>
  <c r="AG514" i="4"/>
  <c r="AG515" i="4"/>
  <c r="AG516" i="4"/>
  <c r="AG517" i="4"/>
  <c r="AG518" i="4"/>
  <c r="AG519" i="4"/>
  <c r="AG520" i="4"/>
  <c r="AG521" i="4"/>
  <c r="AG522" i="4"/>
  <c r="AG523" i="4"/>
  <c r="AG524" i="4"/>
  <c r="AG525" i="4"/>
  <c r="AG526" i="4"/>
  <c r="AG527" i="4"/>
  <c r="AG528" i="4"/>
  <c r="AG529" i="4"/>
  <c r="AG530" i="4"/>
  <c r="AG531" i="4"/>
  <c r="AG532" i="4"/>
  <c r="AG533" i="4"/>
  <c r="AG534" i="4"/>
  <c r="AG535" i="4"/>
  <c r="AG536" i="4"/>
  <c r="AG537" i="4"/>
  <c r="AG538" i="4"/>
  <c r="AG539" i="4"/>
  <c r="AG540" i="4"/>
  <c r="AG541" i="4"/>
  <c r="AG542" i="4"/>
  <c r="AG543" i="4"/>
  <c r="AG544" i="4"/>
  <c r="AG545" i="4"/>
  <c r="AG546" i="4"/>
  <c r="AG547" i="4"/>
  <c r="AG548" i="4"/>
  <c r="AG549" i="4"/>
  <c r="AG550" i="4"/>
  <c r="AG551" i="4"/>
  <c r="AG552" i="4"/>
  <c r="AG553" i="4"/>
  <c r="AG554" i="4"/>
  <c r="AG555" i="4"/>
  <c r="AG556" i="4"/>
  <c r="AG557" i="4"/>
  <c r="AG558" i="4"/>
  <c r="AG559" i="4"/>
  <c r="AG560" i="4"/>
  <c r="AG561" i="4"/>
  <c r="AG562" i="4"/>
  <c r="AG563" i="4"/>
  <c r="AG10" i="4"/>
  <c r="F138" i="24"/>
  <c r="F108" i="24"/>
  <c r="F53" i="24"/>
  <c r="F71" i="24"/>
  <c r="F47" i="24"/>
  <c r="F103" i="24"/>
  <c r="F145" i="24"/>
  <c r="F132" i="24"/>
  <c r="F59" i="24"/>
  <c r="F44" i="24"/>
  <c r="F88" i="24"/>
  <c r="F120" i="24"/>
  <c r="F141" i="24"/>
  <c r="F28" i="24"/>
  <c r="F27" i="24"/>
  <c r="F96" i="24"/>
  <c r="F45" i="24"/>
  <c r="F20" i="24"/>
  <c r="F65" i="24"/>
  <c r="F38" i="24"/>
  <c r="F31" i="24"/>
  <c r="F24" i="24"/>
  <c r="F50" i="24"/>
  <c r="F57" i="24"/>
  <c r="F16" i="24"/>
  <c r="F87" i="24"/>
  <c r="F89" i="24"/>
  <c r="F133" i="24"/>
  <c r="F155" i="24"/>
  <c r="F129" i="24"/>
  <c r="F56" i="24"/>
  <c r="F135" i="24"/>
  <c r="F116" i="24"/>
  <c r="F111" i="24"/>
  <c r="F37" i="24"/>
  <c r="F21" i="24"/>
  <c r="F139" i="24"/>
  <c r="F36" i="24"/>
  <c r="F94" i="24"/>
  <c r="F143" i="24"/>
  <c r="F26" i="24"/>
  <c r="F40" i="24"/>
  <c r="F63" i="24"/>
  <c r="F147" i="24"/>
  <c r="F62" i="24"/>
  <c r="F99" i="24"/>
  <c r="F124" i="24"/>
  <c r="F127" i="24"/>
  <c r="F13" i="24"/>
  <c r="F66" i="24"/>
  <c r="F128" i="24"/>
  <c r="F102" i="24"/>
  <c r="F104" i="24"/>
  <c r="F100" i="24"/>
  <c r="F64" i="24"/>
  <c r="F41" i="24"/>
  <c r="F22" i="24"/>
  <c r="F130" i="24"/>
  <c r="F113" i="24"/>
  <c r="F35" i="24"/>
  <c r="F76" i="24"/>
  <c r="F58" i="24"/>
  <c r="F118" i="24"/>
  <c r="F125" i="24"/>
  <c r="F48" i="24"/>
  <c r="F74" i="24"/>
  <c r="F110" i="24"/>
  <c r="F85" i="24"/>
  <c r="F75" i="24"/>
  <c r="F15" i="24"/>
  <c r="F101" i="24"/>
  <c r="F136" i="24"/>
  <c r="F17" i="24"/>
  <c r="F70" i="24"/>
  <c r="F52" i="24"/>
  <c r="F73" i="24"/>
  <c r="F34" i="24"/>
  <c r="F55" i="24"/>
  <c r="F33" i="24"/>
  <c r="F19" i="24"/>
  <c r="F97" i="24"/>
  <c r="F151" i="24"/>
  <c r="F153" i="24"/>
  <c r="F149" i="24"/>
  <c r="F119" i="24"/>
  <c r="F92" i="24"/>
  <c r="F121" i="24"/>
  <c r="F25" i="24"/>
  <c r="F126" i="24"/>
  <c r="F23" i="24"/>
  <c r="F30" i="24"/>
  <c r="F46" i="24" l="1"/>
  <c r="E46" i="35" s="1"/>
  <c r="F43" i="24"/>
  <c r="E43" i="35" s="1"/>
  <c r="F91" i="24"/>
  <c r="F84" i="24"/>
  <c r="F77" i="24"/>
  <c r="F69" i="24"/>
  <c r="F154" i="24"/>
  <c r="F152" i="24"/>
  <c r="F150" i="24"/>
  <c r="F148" i="24"/>
  <c r="F146" i="24"/>
  <c r="F144" i="24"/>
  <c r="F142" i="24"/>
  <c r="F140" i="24"/>
  <c r="F131" i="24"/>
  <c r="F123" i="24"/>
  <c r="F115" i="24"/>
  <c r="F114" i="24" s="1"/>
  <c r="E114" i="32" s="1"/>
  <c r="F109" i="24"/>
  <c r="F107" i="24"/>
  <c r="F98" i="24"/>
  <c r="F95" i="24"/>
  <c r="F93" i="24"/>
  <c r="F86" i="24"/>
  <c r="E86" i="36" s="1"/>
  <c r="F82" i="24"/>
  <c r="E82" i="36" s="1"/>
  <c r="F80" i="24"/>
  <c r="E80" i="36" s="1"/>
  <c r="F72" i="24"/>
  <c r="E72" i="35" s="1"/>
  <c r="F67" i="24"/>
  <c r="E67" i="35" s="1"/>
  <c r="F61" i="24"/>
  <c r="E61" i="35" s="1"/>
  <c r="F54" i="24"/>
  <c r="E54" i="35" s="1"/>
  <c r="F51" i="24"/>
  <c r="E51" i="35" s="1"/>
  <c r="F49" i="24"/>
  <c r="E49" i="35" s="1"/>
  <c r="F39" i="24"/>
  <c r="E39" i="34" s="1"/>
  <c r="F32" i="24"/>
  <c r="E32" i="34" s="1"/>
  <c r="F29" i="24"/>
  <c r="E29" i="34" s="1"/>
  <c r="F18" i="24"/>
  <c r="E18" i="34" s="1"/>
  <c r="F14" i="24"/>
  <c r="E14" i="34" s="1"/>
  <c r="F12" i="24"/>
  <c r="E12" i="34" s="1"/>
  <c r="E12" i="24"/>
  <c r="E98" i="24"/>
  <c r="F79" i="24" l="1"/>
  <c r="F90" i="24"/>
  <c r="E90" i="32" s="1"/>
  <c r="F122" i="24"/>
  <c r="E122" i="32" s="1"/>
  <c r="F42" i="24"/>
  <c r="F11" i="24"/>
  <c r="AG567" i="1"/>
  <c r="AH567" i="1" s="1"/>
  <c r="AG566" i="1"/>
  <c r="AH566" i="1" s="1"/>
  <c r="AG565" i="1"/>
  <c r="AH565" i="1" s="1"/>
  <c r="AG564" i="1"/>
  <c r="AH564" i="1" s="1"/>
  <c r="AG563" i="1"/>
  <c r="AH563" i="1" s="1"/>
  <c r="AG562" i="1"/>
  <c r="AH562" i="1" s="1"/>
  <c r="AG561" i="1"/>
  <c r="AH561" i="1" s="1"/>
  <c r="AG560" i="1"/>
  <c r="AH560" i="1" s="1"/>
  <c r="AG559" i="1"/>
  <c r="AH559" i="1" s="1"/>
  <c r="AG558" i="1"/>
  <c r="AH558" i="1" s="1"/>
  <c r="AG557" i="1"/>
  <c r="AH557" i="1" s="1"/>
  <c r="AG556" i="1"/>
  <c r="AH556" i="1" s="1"/>
  <c r="AG555" i="1"/>
  <c r="AH555" i="1" s="1"/>
  <c r="AG554" i="1"/>
  <c r="AH554" i="1" s="1"/>
  <c r="AG553" i="1"/>
  <c r="AH553" i="1" s="1"/>
  <c r="AG552" i="1"/>
  <c r="AH552" i="1" s="1"/>
  <c r="AG550" i="1"/>
  <c r="AH550" i="1" s="1"/>
  <c r="AG549" i="1"/>
  <c r="AH549" i="1" s="1"/>
  <c r="AG548" i="1"/>
  <c r="AH548" i="1" s="1"/>
  <c r="AG547" i="1"/>
  <c r="AH547" i="1" s="1"/>
  <c r="AG546" i="1"/>
  <c r="AH546" i="1" s="1"/>
  <c r="AG545" i="1"/>
  <c r="AH545" i="1" s="1"/>
  <c r="AG544" i="1"/>
  <c r="AH544" i="1" s="1"/>
  <c r="AG543" i="1"/>
  <c r="AH543" i="1" s="1"/>
  <c r="AH542" i="1"/>
  <c r="AG541" i="1"/>
  <c r="AH541" i="1" s="1"/>
  <c r="AG540" i="1"/>
  <c r="AH540" i="1" s="1"/>
  <c r="AG539" i="1"/>
  <c r="AH539" i="1" s="1"/>
  <c r="AG538" i="1"/>
  <c r="AH538" i="1" s="1"/>
  <c r="AG537" i="1"/>
  <c r="AH537" i="1" s="1"/>
  <c r="AG536" i="1"/>
  <c r="AH536" i="1" s="1"/>
  <c r="AG535" i="1"/>
  <c r="AH535" i="1" s="1"/>
  <c r="AG534" i="1"/>
  <c r="AH534" i="1" s="1"/>
  <c r="AG533" i="1"/>
  <c r="AH533" i="1" s="1"/>
  <c r="AG532" i="1"/>
  <c r="AH532" i="1" s="1"/>
  <c r="AG531" i="1"/>
  <c r="AH531" i="1" s="1"/>
  <c r="AG530" i="1"/>
  <c r="AH530" i="1" s="1"/>
  <c r="AG529" i="1"/>
  <c r="AH529" i="1" s="1"/>
  <c r="AG528" i="1"/>
  <c r="AH528" i="1" s="1"/>
  <c r="AG527" i="1"/>
  <c r="AH527" i="1" s="1"/>
  <c r="AG526" i="1"/>
  <c r="AH526" i="1" s="1"/>
  <c r="AG525" i="1"/>
  <c r="AH525" i="1" s="1"/>
  <c r="AG524" i="1"/>
  <c r="AH524" i="1" s="1"/>
  <c r="AG523" i="1"/>
  <c r="AH523" i="1" s="1"/>
  <c r="AG522" i="1"/>
  <c r="AH522" i="1" s="1"/>
  <c r="AG521" i="1"/>
  <c r="AH521" i="1" s="1"/>
  <c r="AG520" i="1"/>
  <c r="AH520" i="1" s="1"/>
  <c r="AG519" i="1"/>
  <c r="AH519" i="1" s="1"/>
  <c r="AG518" i="1"/>
  <c r="AH518" i="1" s="1"/>
  <c r="AG517" i="1"/>
  <c r="AH517" i="1" s="1"/>
  <c r="AG516" i="1"/>
  <c r="AH516" i="1" s="1"/>
  <c r="AG515" i="1"/>
  <c r="AH515" i="1" s="1"/>
  <c r="AG514" i="1"/>
  <c r="AH514" i="1" s="1"/>
  <c r="AG513" i="1"/>
  <c r="AH513" i="1" s="1"/>
  <c r="AG512" i="1"/>
  <c r="AH512" i="1" s="1"/>
  <c r="AG511" i="1"/>
  <c r="AH511" i="1" s="1"/>
  <c r="AG510" i="1"/>
  <c r="AH510" i="1" s="1"/>
  <c r="AG509" i="1"/>
  <c r="AH509" i="1" s="1"/>
  <c r="AG508" i="1"/>
  <c r="AH508" i="1" s="1"/>
  <c r="AG507" i="1"/>
  <c r="AH507" i="1" s="1"/>
  <c r="AG506" i="1"/>
  <c r="AH506" i="1" s="1"/>
  <c r="AG505" i="1"/>
  <c r="AH505" i="1" s="1"/>
  <c r="AG504" i="1"/>
  <c r="AH504" i="1" s="1"/>
  <c r="AG503" i="1"/>
  <c r="AH503" i="1" s="1"/>
  <c r="AG502" i="1"/>
  <c r="AH502" i="1" s="1"/>
  <c r="AG501" i="1"/>
  <c r="AH501" i="1" s="1"/>
  <c r="AG500" i="1"/>
  <c r="AH500" i="1" s="1"/>
  <c r="AG499" i="1"/>
  <c r="AH499" i="1" s="1"/>
  <c r="AG498" i="1"/>
  <c r="AH498" i="1" s="1"/>
  <c r="AG497" i="1"/>
  <c r="AH497" i="1" s="1"/>
  <c r="AG496" i="1"/>
  <c r="AH496" i="1" s="1"/>
  <c r="AG495" i="1"/>
  <c r="AH495" i="1" s="1"/>
  <c r="AG494" i="1"/>
  <c r="AH494" i="1" s="1"/>
  <c r="AG493" i="1"/>
  <c r="AH493" i="1" s="1"/>
  <c r="AG492" i="1"/>
  <c r="AH492" i="1" s="1"/>
  <c r="AG491" i="1"/>
  <c r="AH491" i="1" s="1"/>
  <c r="AG490" i="1"/>
  <c r="AH490" i="1" s="1"/>
  <c r="AG489" i="1"/>
  <c r="AH489" i="1" s="1"/>
  <c r="AG488" i="1"/>
  <c r="AH488" i="1" s="1"/>
  <c r="AG487" i="1"/>
  <c r="AH487" i="1" s="1"/>
  <c r="AG486" i="1"/>
  <c r="AH486" i="1" s="1"/>
  <c r="AG485" i="1"/>
  <c r="AH485" i="1" s="1"/>
  <c r="AG484" i="1"/>
  <c r="AH484" i="1" s="1"/>
  <c r="AG483" i="1"/>
  <c r="AH483" i="1" s="1"/>
  <c r="AG482" i="1"/>
  <c r="AH482" i="1" s="1"/>
  <c r="AG481" i="1"/>
  <c r="AH481" i="1" s="1"/>
  <c r="AG480" i="1"/>
  <c r="AH480" i="1" s="1"/>
  <c r="AG479" i="1"/>
  <c r="AH479" i="1" s="1"/>
  <c r="AG478" i="1"/>
  <c r="AH478" i="1" s="1"/>
  <c r="AG477" i="1"/>
  <c r="AH477" i="1" s="1"/>
  <c r="AG476" i="1"/>
  <c r="AH476" i="1" s="1"/>
  <c r="AG475" i="1"/>
  <c r="AH475" i="1" s="1"/>
  <c r="AG474" i="1"/>
  <c r="AH474" i="1" s="1"/>
  <c r="AG473" i="1"/>
  <c r="AH473" i="1" s="1"/>
  <c r="AG472" i="1"/>
  <c r="AH472" i="1" s="1"/>
  <c r="AG471" i="1"/>
  <c r="AH471" i="1" s="1"/>
  <c r="AG470" i="1"/>
  <c r="AH470" i="1" s="1"/>
  <c r="AG469" i="1"/>
  <c r="AH469" i="1" s="1"/>
  <c r="AG468" i="1"/>
  <c r="AH468" i="1" s="1"/>
  <c r="AG467" i="1"/>
  <c r="AH467" i="1" s="1"/>
  <c r="AG466" i="1"/>
  <c r="AH466" i="1" s="1"/>
  <c r="AG465" i="1"/>
  <c r="AH465" i="1" s="1"/>
  <c r="AG464" i="1"/>
  <c r="AH464" i="1" s="1"/>
  <c r="AG463" i="1"/>
  <c r="AH463" i="1" s="1"/>
  <c r="AG462" i="1"/>
  <c r="AH462" i="1" s="1"/>
  <c r="AG461" i="1"/>
  <c r="AH461" i="1" s="1"/>
  <c r="AG460" i="1"/>
  <c r="AH460" i="1" s="1"/>
  <c r="AG459" i="1"/>
  <c r="AH459" i="1" s="1"/>
  <c r="AG458" i="1"/>
  <c r="AH458" i="1" s="1"/>
  <c r="AG457" i="1"/>
  <c r="AH457" i="1" s="1"/>
  <c r="AG456" i="1"/>
  <c r="AH456" i="1" s="1"/>
  <c r="AG455" i="1"/>
  <c r="AH455" i="1" s="1"/>
  <c r="AG454" i="1"/>
  <c r="AH454" i="1" s="1"/>
  <c r="AG453" i="1"/>
  <c r="AH453" i="1" s="1"/>
  <c r="AG452" i="1"/>
  <c r="AH452" i="1" s="1"/>
  <c r="AG451" i="1"/>
  <c r="AH451" i="1" s="1"/>
  <c r="AG450" i="1"/>
  <c r="AH450" i="1" s="1"/>
  <c r="AG449" i="1"/>
  <c r="AH449" i="1" s="1"/>
  <c r="AG448" i="1"/>
  <c r="AH448" i="1" s="1"/>
  <c r="AH447" i="1"/>
  <c r="AG446" i="1"/>
  <c r="AH446" i="1" s="1"/>
  <c r="AG445" i="1"/>
  <c r="AH445" i="1" s="1"/>
  <c r="AG444" i="1"/>
  <c r="AH444" i="1" s="1"/>
  <c r="AG443" i="1"/>
  <c r="AH443" i="1" s="1"/>
  <c r="AG442" i="1"/>
  <c r="AH442" i="1" s="1"/>
  <c r="AG441" i="1"/>
  <c r="AH441" i="1" s="1"/>
  <c r="AG440" i="1"/>
  <c r="AH440" i="1" s="1"/>
  <c r="AG439" i="1"/>
  <c r="AH439" i="1" s="1"/>
  <c r="AG438" i="1"/>
  <c r="AH438" i="1" s="1"/>
  <c r="AG437" i="1"/>
  <c r="AH437" i="1" s="1"/>
  <c r="AG436" i="1"/>
  <c r="AH436" i="1" s="1"/>
  <c r="AG435" i="1"/>
  <c r="AH435" i="1" s="1"/>
  <c r="AG434" i="1"/>
  <c r="AH434" i="1" s="1"/>
  <c r="AG433" i="1"/>
  <c r="AH433" i="1" s="1"/>
  <c r="AG432" i="1"/>
  <c r="AH432" i="1" s="1"/>
  <c r="AG431" i="1"/>
  <c r="AH431" i="1" s="1"/>
  <c r="AG430" i="1"/>
  <c r="AH430" i="1" s="1"/>
  <c r="AG429" i="1"/>
  <c r="AH429" i="1" s="1"/>
  <c r="AG428" i="1"/>
  <c r="AH428" i="1" s="1"/>
  <c r="AG427" i="1"/>
  <c r="AH427" i="1" s="1"/>
  <c r="AG426" i="1"/>
  <c r="AH426" i="1" s="1"/>
  <c r="AG425" i="1"/>
  <c r="AH425" i="1" s="1"/>
  <c r="AG424" i="1"/>
  <c r="AH424" i="1" s="1"/>
  <c r="AG423" i="1"/>
  <c r="AH423" i="1" s="1"/>
  <c r="AG422" i="1"/>
  <c r="AH422" i="1" s="1"/>
  <c r="AG421" i="1"/>
  <c r="AH421" i="1" s="1"/>
  <c r="AG420" i="1"/>
  <c r="AH420" i="1" s="1"/>
  <c r="AG419" i="1"/>
  <c r="AH419" i="1" s="1"/>
  <c r="AG418" i="1"/>
  <c r="AH418" i="1" s="1"/>
  <c r="AG417" i="1"/>
  <c r="AH417" i="1" s="1"/>
  <c r="AG416" i="1"/>
  <c r="AH416" i="1" s="1"/>
  <c r="AG415" i="1"/>
  <c r="AH415" i="1" s="1"/>
  <c r="AG414" i="1"/>
  <c r="AH414" i="1" s="1"/>
  <c r="AG413" i="1"/>
  <c r="AH413" i="1" s="1"/>
  <c r="AG412" i="1"/>
  <c r="AH412" i="1" s="1"/>
  <c r="AG411" i="1"/>
  <c r="AH411" i="1" s="1"/>
  <c r="AG410" i="1"/>
  <c r="AH410" i="1" s="1"/>
  <c r="AG409" i="1"/>
  <c r="AH409" i="1" s="1"/>
  <c r="AG408" i="1"/>
  <c r="AH408" i="1" s="1"/>
  <c r="AG407" i="1"/>
  <c r="AH407" i="1" s="1"/>
  <c r="AG406" i="1"/>
  <c r="AH406" i="1" s="1"/>
  <c r="AG405" i="1"/>
  <c r="AH405" i="1" s="1"/>
  <c r="AG404" i="1"/>
  <c r="AH404" i="1" s="1"/>
  <c r="AG403" i="1"/>
  <c r="AH403" i="1" s="1"/>
  <c r="AG402" i="1"/>
  <c r="AH402" i="1" s="1"/>
  <c r="AG401" i="1"/>
  <c r="AH401" i="1" s="1"/>
  <c r="AG400" i="1"/>
  <c r="AH400" i="1" s="1"/>
  <c r="AG399" i="1"/>
  <c r="AH399" i="1" s="1"/>
  <c r="AG398" i="1"/>
  <c r="AH398" i="1" s="1"/>
  <c r="AG397" i="1"/>
  <c r="AH397" i="1" s="1"/>
  <c r="AG396" i="1"/>
  <c r="AH396" i="1" s="1"/>
  <c r="AG395" i="1"/>
  <c r="AH395" i="1" s="1"/>
  <c r="AG394" i="1"/>
  <c r="AH394" i="1" s="1"/>
  <c r="AG393" i="1"/>
  <c r="AH393" i="1" s="1"/>
  <c r="AG392" i="1"/>
  <c r="AH392" i="1" s="1"/>
  <c r="AG391" i="1"/>
  <c r="AH391" i="1" s="1"/>
  <c r="AG390" i="1"/>
  <c r="AH390" i="1" s="1"/>
  <c r="AG389" i="1"/>
  <c r="AH389" i="1" s="1"/>
  <c r="AG388" i="1"/>
  <c r="AH388" i="1" s="1"/>
  <c r="AG387" i="1"/>
  <c r="AH387" i="1" s="1"/>
  <c r="AG386" i="1"/>
  <c r="AH386" i="1" s="1"/>
  <c r="AG385" i="1"/>
  <c r="AH385" i="1" s="1"/>
  <c r="AG384" i="1"/>
  <c r="AH384" i="1" s="1"/>
  <c r="AG383" i="1"/>
  <c r="AH383" i="1" s="1"/>
  <c r="AG382" i="1"/>
  <c r="AH382" i="1" s="1"/>
  <c r="AG381" i="1"/>
  <c r="AH381" i="1" s="1"/>
  <c r="AG380" i="1"/>
  <c r="AH380" i="1" s="1"/>
  <c r="AG379" i="1"/>
  <c r="AH379" i="1" s="1"/>
  <c r="AG378" i="1"/>
  <c r="AH378" i="1" s="1"/>
  <c r="AG377" i="1"/>
  <c r="AH377" i="1" s="1"/>
  <c r="AG376" i="1"/>
  <c r="AH376" i="1" s="1"/>
  <c r="AG375" i="1"/>
  <c r="AH375" i="1" s="1"/>
  <c r="AG374" i="1"/>
  <c r="AH374" i="1" s="1"/>
  <c r="AG373" i="1"/>
  <c r="AH373" i="1" s="1"/>
  <c r="AG372" i="1"/>
  <c r="AH372" i="1" s="1"/>
  <c r="AG371" i="1"/>
  <c r="AH371" i="1" s="1"/>
  <c r="AG370" i="1"/>
  <c r="AH370" i="1" s="1"/>
  <c r="AG369" i="1"/>
  <c r="AH369" i="1" s="1"/>
  <c r="AG368" i="1"/>
  <c r="AH368" i="1" s="1"/>
  <c r="AG367" i="1"/>
  <c r="AH367" i="1" s="1"/>
  <c r="AG366" i="1"/>
  <c r="AH366" i="1" s="1"/>
  <c r="AG365" i="1"/>
  <c r="AH365" i="1" s="1"/>
  <c r="AG364" i="1"/>
  <c r="AH364" i="1" s="1"/>
  <c r="AG363" i="1"/>
  <c r="AH363" i="1" s="1"/>
  <c r="AG362" i="1"/>
  <c r="AH362" i="1" s="1"/>
  <c r="AG361" i="1"/>
  <c r="AH361" i="1" s="1"/>
  <c r="AG360" i="1"/>
  <c r="AH360" i="1" s="1"/>
  <c r="AG359" i="1"/>
  <c r="AH359" i="1" s="1"/>
  <c r="AG358" i="1"/>
  <c r="AH358" i="1" s="1"/>
  <c r="AG357" i="1"/>
  <c r="AH357" i="1" s="1"/>
  <c r="AG356" i="1"/>
  <c r="AH356" i="1" s="1"/>
  <c r="AG355" i="1"/>
  <c r="AH355" i="1" s="1"/>
  <c r="AG354" i="1"/>
  <c r="AH354" i="1" s="1"/>
  <c r="AG353" i="1"/>
  <c r="AH353" i="1" s="1"/>
  <c r="AG352" i="1"/>
  <c r="AH352" i="1" s="1"/>
  <c r="AG351" i="1"/>
  <c r="AH351" i="1" s="1"/>
  <c r="AG350" i="1"/>
  <c r="AH350" i="1" s="1"/>
  <c r="AG349" i="1"/>
  <c r="AH349" i="1" s="1"/>
  <c r="AG348" i="1"/>
  <c r="AH348" i="1" s="1"/>
  <c r="AG347" i="1"/>
  <c r="AH347" i="1" s="1"/>
  <c r="AG346" i="1"/>
  <c r="AH346" i="1" s="1"/>
  <c r="AG345" i="1"/>
  <c r="AH345" i="1" s="1"/>
  <c r="AG344" i="1"/>
  <c r="AH344" i="1" s="1"/>
  <c r="AG343" i="1"/>
  <c r="AH343" i="1" s="1"/>
  <c r="AG342" i="1"/>
  <c r="AH342" i="1" s="1"/>
  <c r="AG341" i="1"/>
  <c r="AH341" i="1" s="1"/>
  <c r="AG340" i="1"/>
  <c r="AH340" i="1" s="1"/>
  <c r="AG339" i="1"/>
  <c r="AH339" i="1" s="1"/>
  <c r="AG338" i="1"/>
  <c r="AH338" i="1" s="1"/>
  <c r="AG337" i="1"/>
  <c r="AH337" i="1" s="1"/>
  <c r="AG336" i="1"/>
  <c r="AH336" i="1" s="1"/>
  <c r="AG334" i="1"/>
  <c r="AH334" i="1" s="1"/>
  <c r="AG333" i="1"/>
  <c r="AH333" i="1" s="1"/>
  <c r="AG332" i="1"/>
  <c r="AH332" i="1" s="1"/>
  <c r="AG331" i="1"/>
  <c r="AH331" i="1" s="1"/>
  <c r="AG330" i="1"/>
  <c r="AH330" i="1" s="1"/>
  <c r="AG329" i="1"/>
  <c r="AH329" i="1" s="1"/>
  <c r="AG328" i="1"/>
  <c r="AH328" i="1" s="1"/>
  <c r="AG327" i="1"/>
  <c r="AH327" i="1" s="1"/>
  <c r="AG326" i="1"/>
  <c r="AH326" i="1" s="1"/>
  <c r="AG325" i="1"/>
  <c r="AH325" i="1" s="1"/>
  <c r="AG324" i="1"/>
  <c r="AH324" i="1" s="1"/>
  <c r="AG323" i="1"/>
  <c r="AH323" i="1" s="1"/>
  <c r="AG322" i="1"/>
  <c r="AH322" i="1" s="1"/>
  <c r="AG321" i="1"/>
  <c r="AH321" i="1" s="1"/>
  <c r="AG320" i="1"/>
  <c r="AH320" i="1" s="1"/>
  <c r="AG319" i="1"/>
  <c r="AH319" i="1" s="1"/>
  <c r="AG318" i="1"/>
  <c r="AH318" i="1" s="1"/>
  <c r="AG317" i="1"/>
  <c r="AH317" i="1" s="1"/>
  <c r="AG316" i="1"/>
  <c r="AH316" i="1" s="1"/>
  <c r="AG315" i="1"/>
  <c r="AH315" i="1" s="1"/>
  <c r="AG314" i="1"/>
  <c r="AH314" i="1" s="1"/>
  <c r="AG313" i="1"/>
  <c r="AH313" i="1" s="1"/>
  <c r="AG312" i="1"/>
  <c r="AH312" i="1" s="1"/>
  <c r="AG311" i="1"/>
  <c r="AH311" i="1" s="1"/>
  <c r="AG308" i="1"/>
  <c r="AH308" i="1" s="1"/>
  <c r="AG307" i="1"/>
  <c r="AH307" i="1" s="1"/>
  <c r="AG306" i="1"/>
  <c r="AH306" i="1" s="1"/>
  <c r="AG305" i="1"/>
  <c r="AH305" i="1" s="1"/>
  <c r="AG304" i="1"/>
  <c r="AH304" i="1" s="1"/>
  <c r="AG303" i="1"/>
  <c r="AH303" i="1" s="1"/>
  <c r="AG302" i="1"/>
  <c r="AH302" i="1" s="1"/>
  <c r="AG301" i="1"/>
  <c r="AH301" i="1" s="1"/>
  <c r="AG300" i="1"/>
  <c r="AH300" i="1" s="1"/>
  <c r="AG299" i="1"/>
  <c r="AH299" i="1" s="1"/>
  <c r="AG298" i="1"/>
  <c r="AH298" i="1" s="1"/>
  <c r="AG297" i="1"/>
  <c r="AH297" i="1" s="1"/>
  <c r="AG296" i="1"/>
  <c r="AH296" i="1" s="1"/>
  <c r="AG295" i="1"/>
  <c r="AH295" i="1" s="1"/>
  <c r="AG294" i="1"/>
  <c r="AH294" i="1" s="1"/>
  <c r="AG293" i="1"/>
  <c r="AH293" i="1" s="1"/>
  <c r="AG292" i="1"/>
  <c r="AH292" i="1" s="1"/>
  <c r="AG291" i="1"/>
  <c r="AH291" i="1" s="1"/>
  <c r="AG290" i="1"/>
  <c r="AH290" i="1" s="1"/>
  <c r="AG289" i="1"/>
  <c r="AH289" i="1" s="1"/>
  <c r="AG288" i="1"/>
  <c r="AH288" i="1" s="1"/>
  <c r="AG287" i="1"/>
  <c r="AH287" i="1" s="1"/>
  <c r="AG286" i="1"/>
  <c r="AH286" i="1" s="1"/>
  <c r="AG285" i="1"/>
  <c r="AH285" i="1" s="1"/>
  <c r="AG284" i="1"/>
  <c r="AH284" i="1" s="1"/>
  <c r="AG283" i="1"/>
  <c r="AH283" i="1" s="1"/>
  <c r="AG282" i="1"/>
  <c r="AH282" i="1" s="1"/>
  <c r="AG281" i="1"/>
  <c r="AH281" i="1" s="1"/>
  <c r="AG280" i="1"/>
  <c r="AH280" i="1" s="1"/>
  <c r="AG279" i="1"/>
  <c r="AH279" i="1" s="1"/>
  <c r="AG278" i="1"/>
  <c r="AH278" i="1" s="1"/>
  <c r="AG277" i="1"/>
  <c r="AH277" i="1" s="1"/>
  <c r="AG276" i="1"/>
  <c r="AH276" i="1" s="1"/>
  <c r="AG275" i="1"/>
  <c r="AH275" i="1" s="1"/>
  <c r="AG274" i="1"/>
  <c r="AH274" i="1" s="1"/>
  <c r="AG273" i="1"/>
  <c r="AH273" i="1" s="1"/>
  <c r="AG272" i="1"/>
  <c r="AH272" i="1" s="1"/>
  <c r="AG271" i="1"/>
  <c r="AH271" i="1" s="1"/>
  <c r="AG270" i="1"/>
  <c r="AH270" i="1" s="1"/>
  <c r="AG269" i="1"/>
  <c r="AH269" i="1" s="1"/>
  <c r="AG268" i="1"/>
  <c r="AH268" i="1" s="1"/>
  <c r="AG267" i="1"/>
  <c r="AH267" i="1" s="1"/>
  <c r="AG266" i="1"/>
  <c r="AH266" i="1" s="1"/>
  <c r="AG265" i="1"/>
  <c r="AH265" i="1" s="1"/>
  <c r="AG264" i="1"/>
  <c r="AH264" i="1" s="1"/>
  <c r="AG263" i="1"/>
  <c r="AH263" i="1" s="1"/>
  <c r="AG262" i="1"/>
  <c r="AH262" i="1" s="1"/>
  <c r="AG261" i="1"/>
  <c r="AH261" i="1" s="1"/>
  <c r="AG260" i="1"/>
  <c r="AH260" i="1" s="1"/>
  <c r="AG259" i="1"/>
  <c r="AH259" i="1" s="1"/>
  <c r="AG258" i="1"/>
  <c r="AH258" i="1" s="1"/>
  <c r="AG257" i="1"/>
  <c r="AH257" i="1" s="1"/>
  <c r="AG256" i="1"/>
  <c r="AH256" i="1" s="1"/>
  <c r="AG255" i="1"/>
  <c r="AH255" i="1" s="1"/>
  <c r="AG254" i="1"/>
  <c r="AH254" i="1" s="1"/>
  <c r="AG253" i="1"/>
  <c r="AH253" i="1" s="1"/>
  <c r="AG252" i="1"/>
  <c r="AH252" i="1" s="1"/>
  <c r="AG251" i="1"/>
  <c r="AH251" i="1" s="1"/>
  <c r="AG250" i="1"/>
  <c r="AH250" i="1" s="1"/>
  <c r="AG249" i="1"/>
  <c r="AH249" i="1" s="1"/>
  <c r="AG248" i="1"/>
  <c r="AH248" i="1" s="1"/>
  <c r="AG247" i="1"/>
  <c r="AH247" i="1" s="1"/>
  <c r="AG246" i="1"/>
  <c r="AH246" i="1" s="1"/>
  <c r="AG245" i="1"/>
  <c r="AH245" i="1" s="1"/>
  <c r="AG244" i="1"/>
  <c r="AH244" i="1" s="1"/>
  <c r="AG243" i="1"/>
  <c r="AH243" i="1" s="1"/>
  <c r="AG242" i="1"/>
  <c r="AH242" i="1" s="1"/>
  <c r="AG241" i="1"/>
  <c r="AH241" i="1" s="1"/>
  <c r="AG240" i="1"/>
  <c r="AH240" i="1" s="1"/>
  <c r="AG239" i="1"/>
  <c r="AH239" i="1" s="1"/>
  <c r="AG238" i="1"/>
  <c r="AH238" i="1" s="1"/>
  <c r="AG237" i="1"/>
  <c r="AH237" i="1" s="1"/>
  <c r="AG236" i="1"/>
  <c r="AH236" i="1" s="1"/>
  <c r="AG235" i="1"/>
  <c r="AH235" i="1" s="1"/>
  <c r="AG234" i="1"/>
  <c r="AH234" i="1" s="1"/>
  <c r="AG233" i="1"/>
  <c r="AH233" i="1" s="1"/>
  <c r="AG232" i="1"/>
  <c r="AH232" i="1" s="1"/>
  <c r="AG231" i="1"/>
  <c r="AH231" i="1" s="1"/>
  <c r="AG230" i="1"/>
  <c r="AH230" i="1" s="1"/>
  <c r="AG228" i="1"/>
  <c r="AH228" i="1" s="1"/>
  <c r="AG227" i="1"/>
  <c r="AH227" i="1" s="1"/>
  <c r="AG226" i="1"/>
  <c r="AH226" i="1" s="1"/>
  <c r="AG225" i="1"/>
  <c r="AH225" i="1" s="1"/>
  <c r="AG224" i="1"/>
  <c r="AH224" i="1" s="1"/>
  <c r="AG223" i="1"/>
  <c r="AH223" i="1" s="1"/>
  <c r="AG222" i="1"/>
  <c r="AH222" i="1" s="1"/>
  <c r="AG221" i="1"/>
  <c r="AH221" i="1" s="1"/>
  <c r="AG220" i="1"/>
  <c r="AH220" i="1" s="1"/>
  <c r="AG219" i="1"/>
  <c r="AH219" i="1" s="1"/>
  <c r="AG218" i="1"/>
  <c r="AH218" i="1" s="1"/>
  <c r="AG217" i="1"/>
  <c r="AH217" i="1" s="1"/>
  <c r="AG216" i="1"/>
  <c r="AH216" i="1" s="1"/>
  <c r="AG215" i="1"/>
  <c r="AH215" i="1" s="1"/>
  <c r="AG214" i="1"/>
  <c r="AH214" i="1" s="1"/>
  <c r="AG213" i="1"/>
  <c r="AH213" i="1" s="1"/>
  <c r="AG212" i="1"/>
  <c r="AH212" i="1" s="1"/>
  <c r="AG211" i="1"/>
  <c r="AH211" i="1" s="1"/>
  <c r="AG210" i="1"/>
  <c r="AH210" i="1" s="1"/>
  <c r="AG209" i="1"/>
  <c r="AH209" i="1" s="1"/>
  <c r="AG208" i="1"/>
  <c r="AH208" i="1" s="1"/>
  <c r="AG207" i="1"/>
  <c r="AH207" i="1" s="1"/>
  <c r="AG206" i="1"/>
  <c r="AH206" i="1" s="1"/>
  <c r="AG205" i="1"/>
  <c r="AH205" i="1" s="1"/>
  <c r="AG204" i="1"/>
  <c r="AH204" i="1" s="1"/>
  <c r="AG203" i="1"/>
  <c r="AH203" i="1" s="1"/>
  <c r="AG202" i="1"/>
  <c r="AH202" i="1" s="1"/>
  <c r="AG201" i="1"/>
  <c r="AH201" i="1" s="1"/>
  <c r="AG200" i="1"/>
  <c r="AH200" i="1" s="1"/>
  <c r="AG199" i="1"/>
  <c r="AH199" i="1" s="1"/>
  <c r="AG198" i="1"/>
  <c r="AH198" i="1" s="1"/>
  <c r="AG197" i="1"/>
  <c r="AH197" i="1" s="1"/>
  <c r="AG196" i="1"/>
  <c r="AH196" i="1" s="1"/>
  <c r="AG195" i="1"/>
  <c r="AH195" i="1" s="1"/>
  <c r="AG194" i="1"/>
  <c r="AH194" i="1" s="1"/>
  <c r="AG193" i="1"/>
  <c r="AH193" i="1" s="1"/>
  <c r="AG192" i="1"/>
  <c r="AH192" i="1" s="1"/>
  <c r="AG191" i="1"/>
  <c r="AH191" i="1" s="1"/>
  <c r="AG190" i="1"/>
  <c r="AH190" i="1" s="1"/>
  <c r="AG189" i="1"/>
  <c r="AH189" i="1" s="1"/>
  <c r="AG188" i="1"/>
  <c r="AH188" i="1" s="1"/>
  <c r="AG187" i="1"/>
  <c r="AH187" i="1" s="1"/>
  <c r="AG186" i="1"/>
  <c r="AH186" i="1" s="1"/>
  <c r="AG185" i="1"/>
  <c r="AH185" i="1" s="1"/>
  <c r="AG184" i="1"/>
  <c r="AH184" i="1" s="1"/>
  <c r="AG183" i="1"/>
  <c r="AH183" i="1" s="1"/>
  <c r="AG182" i="1"/>
  <c r="AH182" i="1" s="1"/>
  <c r="AG181" i="1"/>
  <c r="AH181" i="1" s="1"/>
  <c r="AG180" i="1"/>
  <c r="AH180" i="1" s="1"/>
  <c r="AG179" i="1"/>
  <c r="AH179" i="1" s="1"/>
  <c r="AG178" i="1"/>
  <c r="AH178" i="1" s="1"/>
  <c r="AG177" i="1"/>
  <c r="AH177" i="1" s="1"/>
  <c r="AG176" i="1"/>
  <c r="AH176" i="1" s="1"/>
  <c r="AG175" i="1"/>
  <c r="AH175" i="1" s="1"/>
  <c r="AG174" i="1"/>
  <c r="AH174" i="1" s="1"/>
  <c r="AG173" i="1"/>
  <c r="AH173" i="1" s="1"/>
  <c r="AG172" i="1"/>
  <c r="AH172" i="1" s="1"/>
  <c r="AG171" i="1"/>
  <c r="AH171" i="1" s="1"/>
  <c r="AG170" i="1"/>
  <c r="AH170" i="1" s="1"/>
  <c r="AG169" i="1"/>
  <c r="AH169" i="1" s="1"/>
  <c r="AG168" i="1"/>
  <c r="AH168" i="1" s="1"/>
  <c r="AG167" i="1"/>
  <c r="AH167" i="1" s="1"/>
  <c r="AG166" i="1"/>
  <c r="AH166" i="1" s="1"/>
  <c r="AG165" i="1"/>
  <c r="AH165" i="1" s="1"/>
  <c r="AG164" i="1"/>
  <c r="AH164" i="1" s="1"/>
  <c r="AG163" i="1"/>
  <c r="AH163" i="1" s="1"/>
  <c r="AG162" i="1"/>
  <c r="AH162" i="1" s="1"/>
  <c r="AG161" i="1"/>
  <c r="AH161" i="1" s="1"/>
  <c r="AG160" i="1"/>
  <c r="AH160" i="1" s="1"/>
  <c r="AG159" i="1"/>
  <c r="AH159" i="1" s="1"/>
  <c r="AG158" i="1"/>
  <c r="AH158" i="1" s="1"/>
  <c r="AG157" i="1"/>
  <c r="AH157" i="1" s="1"/>
  <c r="AG156" i="1"/>
  <c r="AH156" i="1" s="1"/>
  <c r="AG155" i="1"/>
  <c r="AH155" i="1" s="1"/>
  <c r="AG154" i="1"/>
  <c r="AH154" i="1" s="1"/>
  <c r="AG153" i="1"/>
  <c r="AH153" i="1" s="1"/>
  <c r="AG152" i="1"/>
  <c r="AH152" i="1" s="1"/>
  <c r="AG151" i="1"/>
  <c r="AH151" i="1" s="1"/>
  <c r="AG150" i="1"/>
  <c r="AH150" i="1" s="1"/>
  <c r="AG149" i="1"/>
  <c r="AH149" i="1" s="1"/>
  <c r="AG148" i="1"/>
  <c r="AH148" i="1" s="1"/>
  <c r="AG147" i="1"/>
  <c r="AH147" i="1" s="1"/>
  <c r="AG146" i="1"/>
  <c r="AH146" i="1" s="1"/>
  <c r="AG145" i="1"/>
  <c r="AH145" i="1" s="1"/>
  <c r="AG144" i="1"/>
  <c r="AH144" i="1" s="1"/>
  <c r="AG143" i="1"/>
  <c r="AH143" i="1" s="1"/>
  <c r="AG142" i="1"/>
  <c r="AH142" i="1" s="1"/>
  <c r="AG141" i="1"/>
  <c r="AH141" i="1" s="1"/>
  <c r="AG140" i="1"/>
  <c r="AH140" i="1" s="1"/>
  <c r="AG139" i="1"/>
  <c r="AH139" i="1" s="1"/>
  <c r="AG138" i="1"/>
  <c r="AH138" i="1" s="1"/>
  <c r="AG137" i="1"/>
  <c r="AH137" i="1" s="1"/>
  <c r="AG136" i="1"/>
  <c r="AH136" i="1" s="1"/>
  <c r="AG135" i="1"/>
  <c r="AH135" i="1" s="1"/>
  <c r="AG134" i="1"/>
  <c r="AH134" i="1" s="1"/>
  <c r="AG133" i="1"/>
  <c r="AH133" i="1" s="1"/>
  <c r="AG132" i="1"/>
  <c r="AH132" i="1" s="1"/>
  <c r="AG131" i="1"/>
  <c r="AH131" i="1" s="1"/>
  <c r="AG130" i="1"/>
  <c r="AH130" i="1" s="1"/>
  <c r="AG129" i="1"/>
  <c r="AH129" i="1" s="1"/>
  <c r="AG128" i="1"/>
  <c r="AH128" i="1" s="1"/>
  <c r="AG127" i="1"/>
  <c r="AH127" i="1" s="1"/>
  <c r="AG126" i="1"/>
  <c r="AH126" i="1" s="1"/>
  <c r="AG125" i="1"/>
  <c r="AH125" i="1" s="1"/>
  <c r="AG124" i="1"/>
  <c r="AH124" i="1" s="1"/>
  <c r="AG123" i="1"/>
  <c r="AH123" i="1" s="1"/>
  <c r="AG122" i="1"/>
  <c r="AH122" i="1" s="1"/>
  <c r="AG121" i="1"/>
  <c r="AH121" i="1" s="1"/>
  <c r="AG120" i="1"/>
  <c r="AH120" i="1" s="1"/>
  <c r="AG119" i="1"/>
  <c r="AH119" i="1" s="1"/>
  <c r="AG118" i="1"/>
  <c r="AH118" i="1" s="1"/>
  <c r="AG117" i="1"/>
  <c r="AH117" i="1" s="1"/>
  <c r="AG116" i="1"/>
  <c r="AH116" i="1" s="1"/>
  <c r="AG115" i="1"/>
  <c r="AH115" i="1" s="1"/>
  <c r="AG114" i="1"/>
  <c r="AH114" i="1" s="1"/>
  <c r="AG113" i="1"/>
  <c r="AH113" i="1" s="1"/>
  <c r="AG112" i="1"/>
  <c r="AH112" i="1" s="1"/>
  <c r="AG111" i="1"/>
  <c r="AH111" i="1" s="1"/>
  <c r="AG110" i="1"/>
  <c r="AH110" i="1" s="1"/>
  <c r="AG109" i="1"/>
  <c r="AH109" i="1" s="1"/>
  <c r="AG108" i="1"/>
  <c r="AH108" i="1" s="1"/>
  <c r="AG107" i="1"/>
  <c r="AH107" i="1" s="1"/>
  <c r="AG106" i="1"/>
  <c r="AH106" i="1" s="1"/>
  <c r="AG105" i="1"/>
  <c r="AH105" i="1" s="1"/>
  <c r="AG104" i="1"/>
  <c r="AH104" i="1" s="1"/>
  <c r="AG103" i="1"/>
  <c r="AH103" i="1" s="1"/>
  <c r="AG102" i="1"/>
  <c r="AH102" i="1" s="1"/>
  <c r="AG101" i="1"/>
  <c r="AH101" i="1" s="1"/>
  <c r="AG100" i="1"/>
  <c r="AH100" i="1" s="1"/>
  <c r="AG99" i="1"/>
  <c r="AH99" i="1" s="1"/>
  <c r="AG98" i="1"/>
  <c r="AH98" i="1" s="1"/>
  <c r="AG97" i="1"/>
  <c r="AH97" i="1" s="1"/>
  <c r="AG96" i="1"/>
  <c r="AH96" i="1" s="1"/>
  <c r="AG95" i="1"/>
  <c r="AH95" i="1" s="1"/>
  <c r="AG94" i="1"/>
  <c r="AH94" i="1" s="1"/>
  <c r="AG93" i="1"/>
  <c r="AH93" i="1" s="1"/>
  <c r="AG92" i="1"/>
  <c r="AH92" i="1" s="1"/>
  <c r="AG91" i="1"/>
  <c r="AH91" i="1" s="1"/>
  <c r="AG90" i="1"/>
  <c r="AH90" i="1" s="1"/>
  <c r="AG89" i="1"/>
  <c r="AH89" i="1" s="1"/>
  <c r="AG88" i="1"/>
  <c r="AH88" i="1" s="1"/>
  <c r="AG87" i="1"/>
  <c r="AH87" i="1" s="1"/>
  <c r="AG86" i="1"/>
  <c r="AH86" i="1" s="1"/>
  <c r="AG85" i="1"/>
  <c r="AH85" i="1" s="1"/>
  <c r="AG84" i="1"/>
  <c r="AH84" i="1" s="1"/>
  <c r="AG83" i="1"/>
  <c r="AH83" i="1" s="1"/>
  <c r="AG82" i="1"/>
  <c r="AH82" i="1" s="1"/>
  <c r="AG81" i="1"/>
  <c r="AH81" i="1" s="1"/>
  <c r="AG80" i="1"/>
  <c r="AH80" i="1" s="1"/>
  <c r="AG79" i="1"/>
  <c r="AH79" i="1" s="1"/>
  <c r="AG78" i="1"/>
  <c r="AH78" i="1" s="1"/>
  <c r="AG77" i="1"/>
  <c r="AH77" i="1" s="1"/>
  <c r="AG76" i="1"/>
  <c r="AH76" i="1" s="1"/>
  <c r="AG75" i="1"/>
  <c r="AH75" i="1" s="1"/>
  <c r="AG74" i="1"/>
  <c r="AH74" i="1" s="1"/>
  <c r="AG73" i="1"/>
  <c r="AH73" i="1" s="1"/>
  <c r="AG72" i="1"/>
  <c r="AH72" i="1" s="1"/>
  <c r="AG71" i="1"/>
  <c r="AH71" i="1" s="1"/>
  <c r="AG70" i="1"/>
  <c r="AH70" i="1" s="1"/>
  <c r="AG69" i="1"/>
  <c r="AH69" i="1" s="1"/>
  <c r="AG68" i="1"/>
  <c r="AH68" i="1" s="1"/>
  <c r="AG67" i="1"/>
  <c r="AH67" i="1" s="1"/>
  <c r="AG66" i="1"/>
  <c r="AH66" i="1" s="1"/>
  <c r="AG65" i="1"/>
  <c r="AH65" i="1" s="1"/>
  <c r="AG64" i="1"/>
  <c r="AH64" i="1" s="1"/>
  <c r="AG63" i="1"/>
  <c r="AH63" i="1" s="1"/>
  <c r="AG62" i="1"/>
  <c r="AH62" i="1" s="1"/>
  <c r="AG61" i="1"/>
  <c r="AH61" i="1" s="1"/>
  <c r="AG60" i="1"/>
  <c r="AH60" i="1" s="1"/>
  <c r="AG59" i="1"/>
  <c r="AH59" i="1" s="1"/>
  <c r="AG58" i="1"/>
  <c r="AH58" i="1" s="1"/>
  <c r="AG57" i="1"/>
  <c r="AH57" i="1" s="1"/>
  <c r="AG56" i="1"/>
  <c r="AH56" i="1" s="1"/>
  <c r="AG55" i="1"/>
  <c r="AH55" i="1" s="1"/>
  <c r="AG54" i="1"/>
  <c r="AH54" i="1" s="1"/>
  <c r="AG53" i="1"/>
  <c r="AH53" i="1" s="1"/>
  <c r="AG52" i="1"/>
  <c r="AH52" i="1" s="1"/>
  <c r="AG51" i="1"/>
  <c r="AH51" i="1" s="1"/>
  <c r="AG50" i="1"/>
  <c r="AH50" i="1" s="1"/>
  <c r="AG49" i="1"/>
  <c r="AH49" i="1" s="1"/>
  <c r="AG48" i="1"/>
  <c r="AH48" i="1" s="1"/>
  <c r="AG47" i="1"/>
  <c r="AH47" i="1" s="1"/>
  <c r="AG46" i="1"/>
  <c r="AH46" i="1" s="1"/>
  <c r="AG45" i="1"/>
  <c r="AH45" i="1" s="1"/>
  <c r="AG44" i="1"/>
  <c r="AH44" i="1" s="1"/>
  <c r="AG43" i="1"/>
  <c r="AH43" i="1" s="1"/>
  <c r="AG42" i="1"/>
  <c r="AH42" i="1" s="1"/>
  <c r="AG41" i="1"/>
  <c r="AH41" i="1" s="1"/>
  <c r="AG40" i="1"/>
  <c r="AH40" i="1" s="1"/>
  <c r="AG39" i="1"/>
  <c r="AH39" i="1" s="1"/>
  <c r="AG38" i="1"/>
  <c r="AH38" i="1" s="1"/>
  <c r="AG37" i="1"/>
  <c r="AH37" i="1" s="1"/>
  <c r="AG36" i="1"/>
  <c r="AH36" i="1" s="1"/>
  <c r="AG35" i="1"/>
  <c r="AH35" i="1" s="1"/>
  <c r="AG34" i="1"/>
  <c r="AH34" i="1" s="1"/>
  <c r="AG33" i="1"/>
  <c r="AH33" i="1" s="1"/>
  <c r="AG32" i="1"/>
  <c r="AH32" i="1" s="1"/>
  <c r="AG31" i="1"/>
  <c r="AH31" i="1" s="1"/>
  <c r="AG30" i="1"/>
  <c r="AH30" i="1" s="1"/>
  <c r="AG29" i="1"/>
  <c r="AH29" i="1" s="1"/>
  <c r="AG28" i="1"/>
  <c r="AH28" i="1" s="1"/>
  <c r="AG27" i="1"/>
  <c r="AH27" i="1" s="1"/>
  <c r="AG26" i="1"/>
  <c r="AH26" i="1" s="1"/>
  <c r="AG25" i="1"/>
  <c r="AH25" i="1" s="1"/>
  <c r="AG24" i="1"/>
  <c r="AH24" i="1" s="1"/>
  <c r="AG23" i="1"/>
  <c r="AH23" i="1" s="1"/>
  <c r="AG22" i="1"/>
  <c r="AH22" i="1" s="1"/>
  <c r="AG21" i="1"/>
  <c r="AH21" i="1" s="1"/>
  <c r="AG19" i="1"/>
  <c r="AH19" i="1" s="1"/>
  <c r="AG18" i="1"/>
  <c r="AH18" i="1" s="1"/>
  <c r="AG17" i="1"/>
  <c r="AH17" i="1" s="1"/>
  <c r="AG16" i="1"/>
  <c r="AH16" i="1" s="1"/>
  <c r="AG15" i="1"/>
  <c r="AH15" i="1" s="1"/>
  <c r="AG14" i="1"/>
  <c r="AH14" i="1" s="1"/>
  <c r="AG20" i="1"/>
  <c r="AH20" i="1" s="1"/>
  <c r="AS331" i="1"/>
  <c r="E42" i="35" l="1"/>
  <c r="E42" i="32"/>
  <c r="E11" i="32"/>
  <c r="E11" i="34"/>
  <c r="E79" i="36"/>
  <c r="E79" i="32"/>
  <c r="F10" i="24"/>
  <c r="E10" i="32" s="1"/>
  <c r="AM360" i="1"/>
  <c r="U356" i="4" s="1"/>
  <c r="AM15" i="1"/>
  <c r="U11" i="4" s="1"/>
  <c r="AM16" i="1"/>
  <c r="U12" i="4" s="1"/>
  <c r="AM17" i="1"/>
  <c r="U13" i="4" s="1"/>
  <c r="AM18" i="1"/>
  <c r="U14" i="4" s="1"/>
  <c r="AM19" i="1"/>
  <c r="U15" i="4" s="1"/>
  <c r="AM21" i="1"/>
  <c r="U17" i="4" s="1"/>
  <c r="AM22" i="1"/>
  <c r="U18" i="4" s="1"/>
  <c r="AM23" i="1"/>
  <c r="U19" i="4" s="1"/>
  <c r="AM24" i="1"/>
  <c r="U20" i="4" s="1"/>
  <c r="AM25" i="1"/>
  <c r="U21" i="4" s="1"/>
  <c r="AM26" i="1"/>
  <c r="U22" i="4" s="1"/>
  <c r="AM27" i="1"/>
  <c r="U23" i="4" s="1"/>
  <c r="AM28" i="1"/>
  <c r="U24" i="4" s="1"/>
  <c r="AM29" i="1"/>
  <c r="U25" i="4" s="1"/>
  <c r="AM30" i="1"/>
  <c r="U26" i="4" s="1"/>
  <c r="AM31" i="1"/>
  <c r="U27" i="4" s="1"/>
  <c r="AM32" i="1"/>
  <c r="U28" i="4" s="1"/>
  <c r="AM33" i="1"/>
  <c r="U29" i="4" s="1"/>
  <c r="AM34" i="1"/>
  <c r="U30" i="4" s="1"/>
  <c r="AM35" i="1"/>
  <c r="U31" i="4" s="1"/>
  <c r="AM36" i="1"/>
  <c r="U32" i="4" s="1"/>
  <c r="AM37" i="1"/>
  <c r="U33" i="4" s="1"/>
  <c r="AM38" i="1"/>
  <c r="U34" i="4" s="1"/>
  <c r="AM39" i="1"/>
  <c r="U35" i="4" s="1"/>
  <c r="AM40" i="1"/>
  <c r="U36" i="4" s="1"/>
  <c r="AM41" i="1"/>
  <c r="U37" i="4" s="1"/>
  <c r="AM42" i="1"/>
  <c r="U38" i="4" s="1"/>
  <c r="AM43" i="1"/>
  <c r="U39" i="4" s="1"/>
  <c r="AM44" i="1"/>
  <c r="U40" i="4" s="1"/>
  <c r="AM45" i="1"/>
  <c r="U41" i="4" s="1"/>
  <c r="AM46" i="1"/>
  <c r="U42" i="4" s="1"/>
  <c r="AM47" i="1"/>
  <c r="U43" i="4" s="1"/>
  <c r="AM48" i="1"/>
  <c r="U44" i="4" s="1"/>
  <c r="AM49" i="1"/>
  <c r="U45" i="4" s="1"/>
  <c r="AM50" i="1"/>
  <c r="U46" i="4" s="1"/>
  <c r="AM51" i="1"/>
  <c r="U47" i="4" s="1"/>
  <c r="AM52" i="1"/>
  <c r="U48" i="4" s="1"/>
  <c r="AM53" i="1"/>
  <c r="U49" i="4" s="1"/>
  <c r="AM54" i="1"/>
  <c r="U50" i="4" s="1"/>
  <c r="AM55" i="1"/>
  <c r="U51" i="4" s="1"/>
  <c r="AM56" i="1"/>
  <c r="U52" i="4" s="1"/>
  <c r="AM57" i="1"/>
  <c r="U53" i="4" s="1"/>
  <c r="AM58" i="1"/>
  <c r="U54" i="4" s="1"/>
  <c r="AM59" i="1"/>
  <c r="U55" i="4" s="1"/>
  <c r="AM60" i="1"/>
  <c r="U56" i="4" s="1"/>
  <c r="AM62" i="1"/>
  <c r="U58" i="4" s="1"/>
  <c r="AM63" i="1"/>
  <c r="U59" i="4" s="1"/>
  <c r="AM64" i="1"/>
  <c r="U60" i="4" s="1"/>
  <c r="AM65" i="1"/>
  <c r="U61" i="4" s="1"/>
  <c r="AM66" i="1"/>
  <c r="U62" i="4" s="1"/>
  <c r="AM67" i="1"/>
  <c r="U63" i="4" s="1"/>
  <c r="AM68" i="1"/>
  <c r="U64" i="4" s="1"/>
  <c r="AM70" i="1"/>
  <c r="U66" i="4" s="1"/>
  <c r="AM71" i="1"/>
  <c r="U67" i="4" s="1"/>
  <c r="AM72" i="1"/>
  <c r="U68" i="4" s="1"/>
  <c r="AM73" i="1"/>
  <c r="U69" i="4" s="1"/>
  <c r="AM74" i="1"/>
  <c r="U70" i="4" s="1"/>
  <c r="AM75" i="1"/>
  <c r="U71" i="4" s="1"/>
  <c r="AM76" i="1"/>
  <c r="U72" i="4" s="1"/>
  <c r="AM77" i="1"/>
  <c r="U73" i="4" s="1"/>
  <c r="AM78" i="1"/>
  <c r="U74" i="4" s="1"/>
  <c r="AM79" i="1"/>
  <c r="U75" i="4" s="1"/>
  <c r="AM80" i="1"/>
  <c r="U76" i="4" s="1"/>
  <c r="AM81" i="1"/>
  <c r="U77" i="4" s="1"/>
  <c r="AM82" i="1"/>
  <c r="U78" i="4" s="1"/>
  <c r="AM83" i="1"/>
  <c r="U79" i="4" s="1"/>
  <c r="AM84" i="1"/>
  <c r="U80" i="4" s="1"/>
  <c r="AM85" i="1"/>
  <c r="U81" i="4" s="1"/>
  <c r="AM86" i="1"/>
  <c r="U82" i="4" s="1"/>
  <c r="AM87" i="1"/>
  <c r="U83" i="4" s="1"/>
  <c r="AM88" i="1"/>
  <c r="U84" i="4" s="1"/>
  <c r="AM89" i="1"/>
  <c r="U85" i="4" s="1"/>
  <c r="AM90" i="1"/>
  <c r="U86" i="4" s="1"/>
  <c r="AM91" i="1"/>
  <c r="U87" i="4" s="1"/>
  <c r="AM92" i="1"/>
  <c r="U88" i="4" s="1"/>
  <c r="AM93" i="1"/>
  <c r="U89" i="4" s="1"/>
  <c r="AM94" i="1"/>
  <c r="U90" i="4" s="1"/>
  <c r="AM95" i="1"/>
  <c r="U91" i="4" s="1"/>
  <c r="AM96" i="1"/>
  <c r="U92" i="4" s="1"/>
  <c r="AM97" i="1"/>
  <c r="U93" i="4" s="1"/>
  <c r="AM98" i="1"/>
  <c r="U94" i="4" s="1"/>
  <c r="AM99" i="1"/>
  <c r="U95" i="4" s="1"/>
  <c r="AM100" i="1"/>
  <c r="U96" i="4" s="1"/>
  <c r="AM101" i="1"/>
  <c r="U97" i="4" s="1"/>
  <c r="AM102" i="1"/>
  <c r="U98" i="4" s="1"/>
  <c r="AM103" i="1"/>
  <c r="U99" i="4" s="1"/>
  <c r="AM104" i="1"/>
  <c r="U100" i="4" s="1"/>
  <c r="AM105" i="1"/>
  <c r="U101" i="4" s="1"/>
  <c r="AM106" i="1"/>
  <c r="U102" i="4" s="1"/>
  <c r="AM107" i="1"/>
  <c r="U103" i="4" s="1"/>
  <c r="AM108" i="1"/>
  <c r="U104" i="4" s="1"/>
  <c r="AM109" i="1"/>
  <c r="U105" i="4" s="1"/>
  <c r="AM110" i="1"/>
  <c r="U106" i="4" s="1"/>
  <c r="AM111" i="1"/>
  <c r="U107" i="4" s="1"/>
  <c r="AM112" i="1"/>
  <c r="U108" i="4" s="1"/>
  <c r="AM113" i="1"/>
  <c r="U109" i="4" s="1"/>
  <c r="AM114" i="1"/>
  <c r="U110" i="4" s="1"/>
  <c r="AM115" i="1"/>
  <c r="U111" i="4" s="1"/>
  <c r="AM116" i="1"/>
  <c r="U112" i="4" s="1"/>
  <c r="AM361" i="1"/>
  <c r="U357" i="4" s="1"/>
  <c r="AR361" i="1"/>
  <c r="AS361" i="1" s="1"/>
  <c r="AQ14" i="1" l="1"/>
  <c r="AR119" i="1" l="1"/>
  <c r="AM375" i="1" l="1"/>
  <c r="U371" i="4" s="1"/>
  <c r="AR203" i="1" l="1"/>
  <c r="AS203" i="1" s="1"/>
  <c r="AR202" i="1"/>
  <c r="AR201" i="1"/>
  <c r="AS201" i="1" s="1"/>
  <c r="AR200" i="1"/>
  <c r="AR199" i="1"/>
  <c r="AR198" i="1"/>
  <c r="AS198" i="1" s="1"/>
  <c r="AR197" i="1"/>
  <c r="AS197" i="1" s="1"/>
  <c r="AR196" i="1"/>
  <c r="AR195" i="1"/>
  <c r="AR194" i="1"/>
  <c r="AR193" i="1"/>
  <c r="AS193" i="1" s="1"/>
  <c r="AR192" i="1"/>
  <c r="AS192" i="1" s="1"/>
  <c r="AR191" i="1"/>
  <c r="AS191" i="1" s="1"/>
  <c r="AR190" i="1"/>
  <c r="AR189" i="1"/>
  <c r="AS189" i="1" s="1"/>
  <c r="AR188" i="1"/>
  <c r="AR187" i="1"/>
  <c r="AR186" i="1"/>
  <c r="AR185" i="1"/>
  <c r="AS185" i="1" s="1"/>
  <c r="AR419" i="1" l="1"/>
  <c r="AR23" i="1"/>
  <c r="AS23" i="1" s="1"/>
  <c r="AR214" i="1" l="1"/>
  <c r="AS214" i="1" s="1"/>
  <c r="AS213" i="1"/>
  <c r="AR211" i="1"/>
  <c r="AS211" i="1" s="1"/>
  <c r="AR210" i="1"/>
  <c r="AR209" i="1"/>
  <c r="AS208" i="1"/>
  <c r="AS207" i="1"/>
  <c r="AR206" i="1"/>
  <c r="AR205" i="1"/>
  <c r="AR204" i="1"/>
  <c r="AR487" i="1" l="1"/>
  <c r="AS487" i="1" s="1"/>
  <c r="AR486" i="1"/>
  <c r="AS486" i="1" s="1"/>
  <c r="AR485" i="1"/>
  <c r="AS485" i="1" s="1"/>
  <c r="AR484" i="1"/>
  <c r="AS484" i="1" s="1"/>
  <c r="AR483" i="1"/>
  <c r="AS483" i="1" s="1"/>
  <c r="AR482" i="1"/>
  <c r="AS482" i="1" s="1"/>
  <c r="AR481" i="1"/>
  <c r="AS481" i="1" s="1"/>
  <c r="AR480" i="1"/>
  <c r="AS480" i="1" s="1"/>
  <c r="AR479" i="1"/>
  <c r="AS479" i="1" s="1"/>
  <c r="AR478" i="1"/>
  <c r="AS478" i="1" s="1"/>
  <c r="AR477" i="1"/>
  <c r="AS477" i="1" s="1"/>
  <c r="AR476" i="1"/>
  <c r="AS476" i="1" s="1"/>
  <c r="AR475" i="1"/>
  <c r="AS475" i="1" s="1"/>
  <c r="AR474" i="1"/>
  <c r="AS474" i="1" s="1"/>
  <c r="AR473" i="1"/>
  <c r="AS473" i="1" s="1"/>
  <c r="AR472" i="1"/>
  <c r="AS472" i="1" s="1"/>
  <c r="AR471" i="1"/>
  <c r="AS471" i="1" s="1"/>
  <c r="AR470" i="1"/>
  <c r="AS470" i="1" s="1"/>
  <c r="AR468" i="1"/>
  <c r="AS468" i="1" s="1"/>
  <c r="AR467" i="1"/>
  <c r="AS467" i="1" s="1"/>
  <c r="AR465" i="1"/>
  <c r="AS465" i="1" s="1"/>
  <c r="AR464" i="1"/>
  <c r="AS464" i="1" s="1"/>
  <c r="AR463" i="1"/>
  <c r="AS463" i="1" s="1"/>
  <c r="AR462" i="1"/>
  <c r="AS462" i="1" s="1"/>
  <c r="AR461" i="1"/>
  <c r="AS461" i="1" s="1"/>
  <c r="AR460" i="1"/>
  <c r="AS460" i="1" s="1"/>
  <c r="AR459" i="1"/>
  <c r="AS459" i="1" s="1"/>
  <c r="AS458" i="1"/>
  <c r="AR457" i="1"/>
  <c r="AS457" i="1" s="1"/>
  <c r="AR456" i="1"/>
  <c r="AS456" i="1" s="1"/>
  <c r="AR455" i="1"/>
  <c r="AS455" i="1" s="1"/>
  <c r="AR454" i="1"/>
  <c r="AS454" i="1" s="1"/>
  <c r="AR453" i="1"/>
  <c r="AS453" i="1" s="1"/>
  <c r="AR452" i="1"/>
  <c r="AS452" i="1" s="1"/>
  <c r="AR449" i="1"/>
  <c r="AS449" i="1" s="1"/>
  <c r="AR448" i="1"/>
  <c r="AS448" i="1" s="1"/>
  <c r="AR442" i="1"/>
  <c r="AS442" i="1" s="1"/>
  <c r="AR441" i="1"/>
  <c r="AS441" i="1" s="1"/>
  <c r="AR440" i="1"/>
  <c r="AS440" i="1" s="1"/>
  <c r="AP9" i="1" l="1"/>
  <c r="AR557" i="1" l="1"/>
  <c r="AR556" i="1"/>
  <c r="AS556" i="1" s="1"/>
  <c r="AR555" i="1"/>
  <c r="AS555" i="1" s="1"/>
  <c r="AR554" i="1"/>
  <c r="AS554" i="1" s="1"/>
  <c r="AR553" i="1"/>
  <c r="AS553" i="1" s="1"/>
  <c r="AR552" i="1"/>
  <c r="AR549" i="1"/>
  <c r="AR548" i="1"/>
  <c r="AS548" i="1" s="1"/>
  <c r="AR547" i="1"/>
  <c r="AS547" i="1" s="1"/>
  <c r="AR545" i="1"/>
  <c r="AS545" i="1" s="1"/>
  <c r="AR544" i="1"/>
  <c r="AS544" i="1" s="1"/>
  <c r="AR543" i="1"/>
  <c r="AR542" i="1"/>
  <c r="AR537" i="1"/>
  <c r="AS537" i="1" s="1"/>
  <c r="AR535" i="1"/>
  <c r="AR534" i="1"/>
  <c r="AR532" i="1"/>
  <c r="AR530" i="1"/>
  <c r="AS530" i="1" s="1"/>
  <c r="AR529" i="1"/>
  <c r="AS529" i="1" s="1"/>
  <c r="AR499" i="1"/>
  <c r="AS499" i="1" s="1"/>
  <c r="AR496" i="1"/>
  <c r="AS496" i="1" s="1"/>
  <c r="AR27" i="1"/>
  <c r="AS27" i="1" s="1"/>
  <c r="AR25" i="1"/>
  <c r="AR21" i="1"/>
  <c r="AS21" i="1" s="1"/>
  <c r="AR433" i="1" l="1"/>
  <c r="AS433" i="1" s="1"/>
  <c r="AR432" i="1"/>
  <c r="AR236" i="1"/>
  <c r="AR235" i="1"/>
  <c r="AS235" i="1" s="1"/>
  <c r="AR234" i="1"/>
  <c r="AR233" i="1"/>
  <c r="AR393" i="1" l="1"/>
  <c r="AS393" i="1" s="1"/>
  <c r="AR240" i="1" l="1"/>
  <c r="AS240" i="1" s="1"/>
  <c r="AR238" i="1"/>
  <c r="AS238" i="1" s="1"/>
  <c r="AR237" i="1"/>
  <c r="AS237" i="1" s="1"/>
  <c r="AR567" i="1" l="1"/>
  <c r="AS567" i="1" s="1"/>
  <c r="AR566" i="1"/>
  <c r="AS566" i="1" s="1"/>
  <c r="AR565" i="1"/>
  <c r="AS565" i="1" s="1"/>
  <c r="AR564" i="1"/>
  <c r="AR563" i="1"/>
  <c r="AR562" i="1"/>
  <c r="AR561" i="1"/>
  <c r="AR560" i="1"/>
  <c r="AR559" i="1"/>
  <c r="AR558" i="1"/>
  <c r="AR541" i="1"/>
  <c r="AR540" i="1"/>
  <c r="AS540" i="1" s="1"/>
  <c r="AR539" i="1"/>
  <c r="AS539" i="1" s="1"/>
  <c r="AR538" i="1"/>
  <c r="AR525" i="1"/>
  <c r="AS525" i="1" s="1"/>
  <c r="AR524" i="1"/>
  <c r="AS524" i="1" s="1"/>
  <c r="AR523" i="1"/>
  <c r="AS523" i="1" s="1"/>
  <c r="AR495" i="1"/>
  <c r="AS495" i="1" s="1"/>
  <c r="AR494" i="1"/>
  <c r="AS494" i="1" s="1"/>
  <c r="AR493" i="1"/>
  <c r="AS493" i="1" s="1"/>
  <c r="AR492" i="1"/>
  <c r="AS492" i="1" s="1"/>
  <c r="AR402" i="1"/>
  <c r="AS402" i="1" s="1"/>
  <c r="AR400" i="1"/>
  <c r="AS400" i="1" s="1"/>
  <c r="AR399" i="1"/>
  <c r="AR398" i="1"/>
  <c r="AS398" i="1" s="1"/>
  <c r="AR397" i="1"/>
  <c r="AR383" i="1"/>
  <c r="AS383" i="1" s="1"/>
  <c r="AR382" i="1"/>
  <c r="AS382" i="1" s="1"/>
  <c r="AR348" i="1"/>
  <c r="AS348" i="1" s="1"/>
  <c r="AR347" i="1"/>
  <c r="AS347" i="1" s="1"/>
  <c r="AR346" i="1"/>
  <c r="AS346" i="1" s="1"/>
  <c r="AR345" i="1"/>
  <c r="AS345" i="1" s="1"/>
  <c r="AR344" i="1"/>
  <c r="AR343" i="1"/>
  <c r="AS343" i="1" s="1"/>
  <c r="AR342" i="1"/>
  <c r="AS342" i="1" s="1"/>
  <c r="AR341" i="1"/>
  <c r="AS341" i="1" s="1"/>
  <c r="AS338" i="1"/>
  <c r="AP290" i="1" l="1"/>
  <c r="AP228" i="1"/>
  <c r="AO228" i="1"/>
  <c r="AR228" i="1"/>
  <c r="AR294" i="1"/>
  <c r="AS294" i="1" s="1"/>
  <c r="AR293" i="1"/>
  <c r="AS293" i="1" s="1"/>
  <c r="AR292" i="1"/>
  <c r="AR290" i="1"/>
  <c r="AS290" i="1" s="1"/>
  <c r="AR289" i="1"/>
  <c r="AR288" i="1"/>
  <c r="AS288" i="1" s="1"/>
  <c r="AR287" i="1"/>
  <c r="AS287" i="1" s="1"/>
  <c r="AR286" i="1"/>
  <c r="AS286" i="1" s="1"/>
  <c r="AR285" i="1"/>
  <c r="AS284" i="1"/>
  <c r="AR281" i="1"/>
  <c r="AS281" i="1" s="1"/>
  <c r="AR232" i="1"/>
  <c r="AS232" i="1" s="1"/>
  <c r="AR231" i="1"/>
  <c r="AS231" i="1" s="1"/>
  <c r="AR230" i="1"/>
  <c r="AR226" i="1"/>
  <c r="AR224" i="1"/>
  <c r="AR223" i="1"/>
  <c r="AS223" i="1" s="1"/>
  <c r="AR221" i="1"/>
  <c r="AS221" i="1" s="1"/>
  <c r="AR220" i="1"/>
  <c r="AS220" i="1" s="1"/>
  <c r="AR219" i="1"/>
  <c r="AR218" i="1"/>
  <c r="AR215" i="1"/>
  <c r="AS215" i="1" s="1"/>
  <c r="AM380" i="1" l="1"/>
  <c r="U376" i="4" s="1"/>
  <c r="AR380" i="1"/>
  <c r="AS380" i="1" s="1"/>
  <c r="AP377" i="1"/>
  <c r="AR372" i="1"/>
  <c r="AS372" i="1" s="1"/>
  <c r="AS371" i="1"/>
  <c r="AR384" i="1"/>
  <c r="AS384" i="1" s="1"/>
  <c r="AR381" i="1"/>
  <c r="AR379" i="1"/>
  <c r="AS379" i="1" s="1"/>
  <c r="AR378" i="1"/>
  <c r="AR377" i="1"/>
  <c r="AR376" i="1"/>
  <c r="AS375" i="1"/>
  <c r="AR374" i="1"/>
  <c r="AS374" i="1" s="1"/>
  <c r="AR373" i="1"/>
  <c r="AS373" i="1" s="1"/>
  <c r="AR370" i="1"/>
  <c r="AS370" i="1" s="1"/>
  <c r="AR369" i="1"/>
  <c r="AR364" i="1"/>
  <c r="AS364" i="1" s="1"/>
  <c r="AR69" i="1" l="1"/>
  <c r="AR29" i="1"/>
  <c r="AS29" i="1" s="1"/>
  <c r="AR30" i="1"/>
  <c r="AS30" i="1" s="1"/>
  <c r="AR31" i="1"/>
  <c r="AR32" i="1"/>
  <c r="AS32" i="1" s="1"/>
  <c r="AR33" i="1"/>
  <c r="AS33" i="1" s="1"/>
  <c r="AR34" i="1"/>
  <c r="AS34" i="1" s="1"/>
  <c r="AR35" i="1"/>
  <c r="AS35" i="1" s="1"/>
  <c r="AR37" i="1"/>
  <c r="AS37" i="1" s="1"/>
  <c r="AR40" i="1"/>
  <c r="AS40" i="1" s="1"/>
  <c r="AR41" i="1"/>
  <c r="AS41" i="1" s="1"/>
  <c r="AR43" i="1"/>
  <c r="AS43" i="1" s="1"/>
  <c r="AR44" i="1"/>
  <c r="AS44" i="1" s="1"/>
  <c r="AR45" i="1"/>
  <c r="AS45" i="1" s="1"/>
  <c r="AR47" i="1"/>
  <c r="AS47" i="1" s="1"/>
  <c r="AS49" i="1"/>
  <c r="AR50" i="1"/>
  <c r="AR51" i="1"/>
  <c r="AS51" i="1" s="1"/>
  <c r="AR52" i="1"/>
  <c r="AS52" i="1" s="1"/>
  <c r="AR54" i="1"/>
  <c r="AS54" i="1" s="1"/>
  <c r="AR55" i="1"/>
  <c r="AS55" i="1" s="1"/>
  <c r="AR56" i="1"/>
  <c r="AS56" i="1" s="1"/>
  <c r="AR57" i="1"/>
  <c r="AS57" i="1" s="1"/>
  <c r="AR58" i="1"/>
  <c r="AS58" i="1" s="1"/>
  <c r="AR60" i="1"/>
  <c r="AR61" i="1"/>
  <c r="AR63" i="1"/>
  <c r="AS63" i="1" s="1"/>
  <c r="AR64" i="1"/>
  <c r="AS64" i="1" s="1"/>
  <c r="AR65" i="1"/>
  <c r="AR66" i="1"/>
  <c r="AS66" i="1" s="1"/>
  <c r="AR67" i="1"/>
  <c r="AS67" i="1" s="1"/>
  <c r="AR68" i="1"/>
  <c r="AS68" i="1" s="1"/>
  <c r="AR70" i="1"/>
  <c r="AS70" i="1" s="1"/>
  <c r="AR28" i="1"/>
  <c r="AS28" i="1" s="1"/>
  <c r="AR174" i="1"/>
  <c r="AS174" i="1" s="1"/>
  <c r="AR175" i="1"/>
  <c r="AS175" i="1" s="1"/>
  <c r="AR177" i="1"/>
  <c r="AR178" i="1"/>
  <c r="AR173" i="1"/>
  <c r="AS173" i="1" s="1"/>
  <c r="AR431" i="1" l="1"/>
  <c r="AS431" i="1" s="1"/>
  <c r="AR430" i="1"/>
  <c r="AS430" i="1" s="1"/>
  <c r="AR429" i="1"/>
  <c r="AS429" i="1" s="1"/>
  <c r="AR427" i="1"/>
  <c r="AS427" i="1" s="1"/>
  <c r="AR426" i="1"/>
  <c r="AS426" i="1" s="1"/>
  <c r="AR424" i="1"/>
  <c r="AS424" i="1" s="1"/>
  <c r="AR422" i="1"/>
  <c r="AS422" i="1" s="1"/>
  <c r="AR261" i="1"/>
  <c r="AS261" i="1" s="1"/>
  <c r="AR260" i="1"/>
  <c r="AS260" i="1" s="1"/>
  <c r="AR259" i="1"/>
  <c r="AS259" i="1" s="1"/>
  <c r="AR257" i="1"/>
  <c r="AS257" i="1" s="1"/>
  <c r="AR256" i="1"/>
  <c r="AR255" i="1"/>
  <c r="AS255" i="1" s="1"/>
  <c r="AM256" i="1"/>
  <c r="U252" i="4" s="1"/>
  <c r="AR320" i="1" l="1"/>
  <c r="AS320" i="1" s="1"/>
  <c r="AR321" i="1"/>
  <c r="AS321" i="1" s="1"/>
  <c r="AR322" i="1"/>
  <c r="AS322" i="1" s="1"/>
  <c r="AR317" i="1"/>
  <c r="AM317" i="1"/>
  <c r="U313" i="4" s="1"/>
  <c r="AO279" i="1" l="1"/>
  <c r="AP279" i="1"/>
  <c r="AR279" i="1"/>
  <c r="AM279" i="1"/>
  <c r="U275" i="4" s="1"/>
  <c r="AM269" i="1"/>
  <c r="U265" i="4" s="1"/>
  <c r="AR276" i="1"/>
  <c r="AS276" i="1" s="1"/>
  <c r="AR271" i="1"/>
  <c r="AS271" i="1" s="1"/>
  <c r="AR269" i="1"/>
  <c r="AS269" i="1" s="1"/>
  <c r="AR268" i="1"/>
  <c r="AS268" i="1" s="1"/>
  <c r="AR266" i="1"/>
  <c r="AS266" i="1" s="1"/>
  <c r="AR330" i="1" l="1"/>
  <c r="AS330" i="1" s="1"/>
  <c r="AR332" i="1"/>
  <c r="AS332" i="1" s="1"/>
  <c r="AR333" i="1"/>
  <c r="AS333" i="1" s="1"/>
  <c r="AR334" i="1"/>
  <c r="AR329" i="1"/>
  <c r="AS329" i="1" s="1"/>
  <c r="AM330" i="1"/>
  <c r="U326" i="4" s="1"/>
  <c r="AM329" i="1"/>
  <c r="U325" i="4" s="1"/>
  <c r="AR148" i="1" l="1"/>
  <c r="AS148" i="1" s="1"/>
  <c r="AR149" i="1"/>
  <c r="AS149" i="1" s="1"/>
  <c r="AS72" i="1"/>
  <c r="AR73" i="1"/>
  <c r="AR74" i="1"/>
  <c r="AS74" i="1" s="1"/>
  <c r="AR75" i="1"/>
  <c r="AS75" i="1" s="1"/>
  <c r="AR76" i="1"/>
  <c r="AS76" i="1" s="1"/>
  <c r="AR77" i="1"/>
  <c r="AS77" i="1" s="1"/>
  <c r="AR78" i="1"/>
  <c r="AS78" i="1" s="1"/>
  <c r="AR79" i="1"/>
  <c r="AS79" i="1" s="1"/>
  <c r="AR80" i="1"/>
  <c r="AS80" i="1" s="1"/>
  <c r="AR81" i="1"/>
  <c r="AS81" i="1" s="1"/>
  <c r="AR82" i="1"/>
  <c r="AS82" i="1" s="1"/>
  <c r="AR83" i="1"/>
  <c r="AS83" i="1" s="1"/>
  <c r="AR84" i="1"/>
  <c r="AS84" i="1" s="1"/>
  <c r="AR85" i="1"/>
  <c r="AR86" i="1"/>
  <c r="AS86" i="1" s="1"/>
  <c r="AR88" i="1"/>
  <c r="AS88" i="1" s="1"/>
  <c r="AR89" i="1"/>
  <c r="AS89" i="1" s="1"/>
  <c r="AR90" i="1"/>
  <c r="AS90" i="1" s="1"/>
  <c r="AR91" i="1"/>
  <c r="AS91" i="1" s="1"/>
  <c r="AR92" i="1"/>
  <c r="AS92" i="1" s="1"/>
  <c r="AR93" i="1"/>
  <c r="AS93" i="1" s="1"/>
  <c r="AR94" i="1"/>
  <c r="AS94" i="1" s="1"/>
  <c r="AR95" i="1"/>
  <c r="AS95" i="1" s="1"/>
  <c r="AR96" i="1"/>
  <c r="AS96" i="1" s="1"/>
  <c r="AR97" i="1"/>
  <c r="AS97" i="1" s="1"/>
  <c r="AR98" i="1"/>
  <c r="AS98" i="1" s="1"/>
  <c r="AR99" i="1"/>
  <c r="AS99" i="1" s="1"/>
  <c r="AR100" i="1"/>
  <c r="AR101" i="1"/>
  <c r="AR102" i="1"/>
  <c r="AS102" i="1" s="1"/>
  <c r="AR103" i="1"/>
  <c r="AS103" i="1" s="1"/>
  <c r="AR104" i="1"/>
  <c r="AS104" i="1" s="1"/>
  <c r="AR105" i="1"/>
  <c r="AS105" i="1" s="1"/>
  <c r="AR106" i="1"/>
  <c r="AS106" i="1" s="1"/>
  <c r="AR107" i="1"/>
  <c r="AS107" i="1" s="1"/>
  <c r="AR108" i="1"/>
  <c r="AS108" i="1" s="1"/>
  <c r="AR109" i="1"/>
  <c r="AS109" i="1" s="1"/>
  <c r="AR110" i="1"/>
  <c r="AS110" i="1" s="1"/>
  <c r="AR111" i="1"/>
  <c r="AS111" i="1" s="1"/>
  <c r="AR112" i="1"/>
  <c r="AS112" i="1" s="1"/>
  <c r="AR113" i="1"/>
  <c r="AS113" i="1" s="1"/>
  <c r="AR114" i="1"/>
  <c r="AS114" i="1" s="1"/>
  <c r="AR115" i="1"/>
  <c r="AS115" i="1" s="1"/>
  <c r="AR117" i="1"/>
  <c r="AS117" i="1" s="1"/>
  <c r="AR118" i="1"/>
  <c r="AS118" i="1" s="1"/>
  <c r="AS119" i="1"/>
  <c r="AR120" i="1"/>
  <c r="AS120" i="1" s="1"/>
  <c r="AR121" i="1"/>
  <c r="AS121" i="1" s="1"/>
  <c r="AR122" i="1"/>
  <c r="AS122" i="1" s="1"/>
  <c r="AR123" i="1"/>
  <c r="AS123" i="1" s="1"/>
  <c r="AR124" i="1"/>
  <c r="AS124" i="1" s="1"/>
  <c r="AR125" i="1"/>
  <c r="AS125" i="1" s="1"/>
  <c r="AR126" i="1"/>
  <c r="AS126" i="1" s="1"/>
  <c r="AR127" i="1"/>
  <c r="AS127" i="1" s="1"/>
  <c r="AR128" i="1"/>
  <c r="AS128" i="1" s="1"/>
  <c r="AR129" i="1"/>
  <c r="AS129" i="1" s="1"/>
  <c r="AR130" i="1"/>
  <c r="AS130" i="1" s="1"/>
  <c r="AR131" i="1"/>
  <c r="AS131" i="1" s="1"/>
  <c r="AR132" i="1"/>
  <c r="AS132" i="1" s="1"/>
  <c r="AR133" i="1"/>
  <c r="AR134" i="1"/>
  <c r="AS134" i="1" s="1"/>
  <c r="AR135" i="1"/>
  <c r="AS135" i="1" s="1"/>
  <c r="AR136" i="1"/>
  <c r="AS136" i="1" s="1"/>
  <c r="AR137" i="1"/>
  <c r="AS137" i="1" s="1"/>
  <c r="AR138" i="1"/>
  <c r="AS138" i="1" s="1"/>
  <c r="AR139" i="1"/>
  <c r="AS139" i="1" s="1"/>
  <c r="AR140" i="1"/>
  <c r="AS140" i="1" s="1"/>
  <c r="AR141" i="1"/>
  <c r="AR142" i="1"/>
  <c r="AS142" i="1" s="1"/>
  <c r="AR143" i="1"/>
  <c r="AS143" i="1" s="1"/>
  <c r="AR144" i="1"/>
  <c r="AS144" i="1" s="1"/>
  <c r="AR145" i="1"/>
  <c r="AS145" i="1" s="1"/>
  <c r="AR146" i="1"/>
  <c r="AS146" i="1" s="1"/>
  <c r="AR147" i="1"/>
  <c r="AS147" i="1" s="1"/>
  <c r="AR150" i="1"/>
  <c r="AS150" i="1" s="1"/>
  <c r="AR151" i="1"/>
  <c r="AS151" i="1" s="1"/>
  <c r="AR152" i="1"/>
  <c r="AS152" i="1" s="1"/>
  <c r="AR153" i="1"/>
  <c r="AS153" i="1" s="1"/>
  <c r="AR154" i="1"/>
  <c r="AS154" i="1" s="1"/>
  <c r="AR155" i="1"/>
  <c r="AS155" i="1" s="1"/>
  <c r="AR156" i="1"/>
  <c r="AS156" i="1" s="1"/>
  <c r="AR157" i="1"/>
  <c r="AS157" i="1" s="1"/>
  <c r="AR158" i="1"/>
  <c r="AS158" i="1" s="1"/>
  <c r="AR159" i="1"/>
  <c r="AS159" i="1" s="1"/>
  <c r="AR160" i="1"/>
  <c r="AS160" i="1" s="1"/>
  <c r="AR161" i="1"/>
  <c r="AS161" i="1" s="1"/>
  <c r="AR162" i="1"/>
  <c r="AS162" i="1" s="1"/>
  <c r="AR164" i="1"/>
  <c r="AS164" i="1" s="1"/>
  <c r="AR166" i="1"/>
  <c r="AS166" i="1" s="1"/>
  <c r="AR167" i="1"/>
  <c r="AS167" i="1" s="1"/>
  <c r="AR168" i="1"/>
  <c r="AS168" i="1" s="1"/>
  <c r="AR169" i="1"/>
  <c r="AS169" i="1" s="1"/>
  <c r="AR170" i="1"/>
  <c r="AS170" i="1" s="1"/>
  <c r="AR71" i="1"/>
  <c r="AS71" i="1" s="1"/>
  <c r="AP301" i="1" l="1"/>
  <c r="AR508" i="1"/>
  <c r="AS508" i="1" s="1"/>
  <c r="AR359" i="1"/>
  <c r="AS359" i="1" s="1"/>
  <c r="AR358" i="1"/>
  <c r="AR356" i="1"/>
  <c r="AS356" i="1" s="1"/>
  <c r="AR355" i="1"/>
  <c r="AS355" i="1" s="1"/>
  <c r="AR353" i="1"/>
  <c r="AR352" i="1"/>
  <c r="AR351" i="1"/>
  <c r="AS351" i="1" s="1"/>
  <c r="AR350" i="1"/>
  <c r="AS350" i="1" s="1"/>
  <c r="AR349" i="1"/>
  <c r="AR308" i="1"/>
  <c r="AR307" i="1"/>
  <c r="AS307" i="1" s="1"/>
  <c r="AR306" i="1"/>
  <c r="AR305" i="1"/>
  <c r="AS305" i="1" s="1"/>
  <c r="AR304" i="1"/>
  <c r="AR303" i="1"/>
  <c r="AS303" i="1" s="1"/>
  <c r="AR302" i="1"/>
  <c r="AR301" i="1"/>
  <c r="AS301" i="1" s="1"/>
  <c r="AR300" i="1"/>
  <c r="AR253" i="1"/>
  <c r="AR249" i="1"/>
  <c r="AR248" i="1"/>
  <c r="AS248" i="1" s="1"/>
  <c r="AR247" i="1"/>
  <c r="AR20" i="1"/>
  <c r="AS20" i="1" s="1"/>
  <c r="AS16" i="1"/>
  <c r="AM117" i="1"/>
  <c r="U113" i="4" s="1"/>
  <c r="AM118" i="1"/>
  <c r="U114" i="4" s="1"/>
  <c r="AM119" i="1"/>
  <c r="U115" i="4" s="1"/>
  <c r="AM120" i="1"/>
  <c r="U116" i="4" s="1"/>
  <c r="AM121" i="1"/>
  <c r="U117" i="4" s="1"/>
  <c r="AM122" i="1"/>
  <c r="U118" i="4" s="1"/>
  <c r="AM123" i="1"/>
  <c r="U119" i="4" s="1"/>
  <c r="AM124" i="1"/>
  <c r="U120" i="4" s="1"/>
  <c r="AM125" i="1"/>
  <c r="U121" i="4" s="1"/>
  <c r="AM126" i="1"/>
  <c r="U122" i="4" s="1"/>
  <c r="AM127" i="1"/>
  <c r="U123" i="4" s="1"/>
  <c r="AM128" i="1"/>
  <c r="U124" i="4" s="1"/>
  <c r="AM129" i="1"/>
  <c r="U125" i="4" s="1"/>
  <c r="AM130" i="1"/>
  <c r="U126" i="4" s="1"/>
  <c r="AM131" i="1"/>
  <c r="U127" i="4" s="1"/>
  <c r="AM132" i="1"/>
  <c r="U128" i="4" s="1"/>
  <c r="AM133" i="1"/>
  <c r="U129" i="4" s="1"/>
  <c r="AM134" i="1"/>
  <c r="U130" i="4" s="1"/>
  <c r="AM135" i="1"/>
  <c r="U131" i="4" s="1"/>
  <c r="AM136" i="1"/>
  <c r="U132" i="4" s="1"/>
  <c r="AM137" i="1"/>
  <c r="U133" i="4" s="1"/>
  <c r="AM138" i="1"/>
  <c r="U134" i="4" s="1"/>
  <c r="AM139" i="1"/>
  <c r="U135" i="4" s="1"/>
  <c r="AM140" i="1"/>
  <c r="U136" i="4" s="1"/>
  <c r="AM141" i="1"/>
  <c r="U137" i="4" s="1"/>
  <c r="AM142" i="1"/>
  <c r="U138" i="4" s="1"/>
  <c r="AM143" i="1"/>
  <c r="U139" i="4" s="1"/>
  <c r="AM144" i="1"/>
  <c r="U140" i="4" s="1"/>
  <c r="AM145" i="1"/>
  <c r="U141" i="4" s="1"/>
  <c r="AM146" i="1"/>
  <c r="U142" i="4" s="1"/>
  <c r="AM147" i="1"/>
  <c r="U143" i="4" s="1"/>
  <c r="AM148" i="1"/>
  <c r="U144" i="4" s="1"/>
  <c r="AM149" i="1"/>
  <c r="U145" i="4" s="1"/>
  <c r="AM150" i="1"/>
  <c r="U146" i="4" s="1"/>
  <c r="AM151" i="1"/>
  <c r="U147" i="4" s="1"/>
  <c r="AM152" i="1"/>
  <c r="U148" i="4" s="1"/>
  <c r="AM153" i="1"/>
  <c r="U149" i="4" s="1"/>
  <c r="AM154" i="1"/>
  <c r="U150" i="4" s="1"/>
  <c r="AM155" i="1"/>
  <c r="U151" i="4" s="1"/>
  <c r="AM156" i="1"/>
  <c r="U152" i="4" s="1"/>
  <c r="AM157" i="1"/>
  <c r="U153" i="4" s="1"/>
  <c r="AM158" i="1"/>
  <c r="U154" i="4" s="1"/>
  <c r="AM159" i="1"/>
  <c r="U155" i="4" s="1"/>
  <c r="AM160" i="1"/>
  <c r="U156" i="4" s="1"/>
  <c r="AM161" i="1"/>
  <c r="U157" i="4" s="1"/>
  <c r="AM162" i="1"/>
  <c r="U158" i="4" s="1"/>
  <c r="AM163" i="1"/>
  <c r="U159" i="4" s="1"/>
  <c r="AM164" i="1"/>
  <c r="U160" i="4" s="1"/>
  <c r="AM165" i="1"/>
  <c r="U161" i="4" s="1"/>
  <c r="AM166" i="1"/>
  <c r="U162" i="4" s="1"/>
  <c r="AM167" i="1"/>
  <c r="U163" i="4" s="1"/>
  <c r="AM168" i="1"/>
  <c r="U164" i="4" s="1"/>
  <c r="AM169" i="1"/>
  <c r="U165" i="4" s="1"/>
  <c r="AM170" i="1"/>
  <c r="U166" i="4" s="1"/>
  <c r="AM171" i="1"/>
  <c r="U167" i="4" s="1"/>
  <c r="AM172" i="1"/>
  <c r="U168" i="4" s="1"/>
  <c r="AM173" i="1"/>
  <c r="U169" i="4" s="1"/>
  <c r="AM174" i="1"/>
  <c r="U170" i="4" s="1"/>
  <c r="AM175" i="1"/>
  <c r="U171" i="4" s="1"/>
  <c r="AM176" i="1"/>
  <c r="U172" i="4" s="1"/>
  <c r="AM177" i="1"/>
  <c r="U173" i="4" s="1"/>
  <c r="AM178" i="1"/>
  <c r="U174" i="4" s="1"/>
  <c r="AM179" i="1"/>
  <c r="U175" i="4" s="1"/>
  <c r="AM180" i="1"/>
  <c r="U176" i="4" s="1"/>
  <c r="AM181" i="1"/>
  <c r="U177" i="4" s="1"/>
  <c r="AM182" i="1"/>
  <c r="U178" i="4" s="1"/>
  <c r="AM183" i="1"/>
  <c r="U179" i="4" s="1"/>
  <c r="AM184" i="1"/>
  <c r="U180" i="4" s="1"/>
  <c r="AM185" i="1"/>
  <c r="U181" i="4" s="1"/>
  <c r="AM186" i="1"/>
  <c r="U182" i="4" s="1"/>
  <c r="AM187" i="1"/>
  <c r="U183" i="4" s="1"/>
  <c r="AM189" i="1"/>
  <c r="U185" i="4" s="1"/>
  <c r="AM190" i="1"/>
  <c r="U186" i="4" s="1"/>
  <c r="AM191" i="1"/>
  <c r="U187" i="4" s="1"/>
  <c r="AM192" i="1"/>
  <c r="U188" i="4" s="1"/>
  <c r="AM193" i="1"/>
  <c r="U189" i="4" s="1"/>
  <c r="AM194" i="1"/>
  <c r="U190" i="4" s="1"/>
  <c r="AM195" i="1"/>
  <c r="U191" i="4" s="1"/>
  <c r="AM196" i="1"/>
  <c r="U192" i="4" s="1"/>
  <c r="AM197" i="1"/>
  <c r="U193" i="4" s="1"/>
  <c r="AM198" i="1"/>
  <c r="U194" i="4" s="1"/>
  <c r="AM199" i="1"/>
  <c r="U195" i="4" s="1"/>
  <c r="AM200" i="1"/>
  <c r="U196" i="4" s="1"/>
  <c r="AM201" i="1"/>
  <c r="U197" i="4" s="1"/>
  <c r="AM202" i="1"/>
  <c r="U198" i="4" s="1"/>
  <c r="AM203" i="1"/>
  <c r="U199" i="4" s="1"/>
  <c r="AM204" i="1"/>
  <c r="U200" i="4" s="1"/>
  <c r="AM205" i="1"/>
  <c r="U201" i="4" s="1"/>
  <c r="AM206" i="1"/>
  <c r="U202" i="4" s="1"/>
  <c r="AM207" i="1"/>
  <c r="U203" i="4" s="1"/>
  <c r="AM208" i="1"/>
  <c r="U204" i="4" s="1"/>
  <c r="AM209" i="1"/>
  <c r="U205" i="4" s="1"/>
  <c r="AM210" i="1"/>
  <c r="U206" i="4" s="1"/>
  <c r="AM211" i="1"/>
  <c r="U207" i="4" s="1"/>
  <c r="AM212" i="1"/>
  <c r="U208" i="4" s="1"/>
  <c r="AM213" i="1"/>
  <c r="U209" i="4" s="1"/>
  <c r="AM214" i="1"/>
  <c r="U210" i="4" s="1"/>
  <c r="AM215" i="1"/>
  <c r="U211" i="4" s="1"/>
  <c r="AM216" i="1"/>
  <c r="U212" i="4" s="1"/>
  <c r="AM217" i="1"/>
  <c r="U213" i="4" s="1"/>
  <c r="AM218" i="1"/>
  <c r="U214" i="4" s="1"/>
  <c r="AM219" i="1"/>
  <c r="U215" i="4" s="1"/>
  <c r="AM220" i="1"/>
  <c r="U216" i="4" s="1"/>
  <c r="AM221" i="1"/>
  <c r="U217" i="4" s="1"/>
  <c r="AM222" i="1"/>
  <c r="U218" i="4" s="1"/>
  <c r="AM223" i="1"/>
  <c r="U219" i="4" s="1"/>
  <c r="AM224" i="1"/>
  <c r="U220" i="4" s="1"/>
  <c r="AM225" i="1"/>
  <c r="U221" i="4" s="1"/>
  <c r="AM226" i="1"/>
  <c r="U222" i="4" s="1"/>
  <c r="AM227" i="1"/>
  <c r="U223" i="4" s="1"/>
  <c r="AM228" i="1"/>
  <c r="U224" i="4" s="1"/>
  <c r="AM230" i="1"/>
  <c r="U226" i="4" s="1"/>
  <c r="AM231" i="1"/>
  <c r="U227" i="4" s="1"/>
  <c r="AM232" i="1"/>
  <c r="U228" i="4" s="1"/>
  <c r="AM233" i="1"/>
  <c r="U229" i="4" s="1"/>
  <c r="AM234" i="1"/>
  <c r="U230" i="4" s="1"/>
  <c r="AM235" i="1"/>
  <c r="U231" i="4" s="1"/>
  <c r="AM236" i="1"/>
  <c r="U232" i="4" s="1"/>
  <c r="AM237" i="1"/>
  <c r="U233" i="4" s="1"/>
  <c r="AM238" i="1"/>
  <c r="U234" i="4" s="1"/>
  <c r="AM239" i="1"/>
  <c r="U235" i="4" s="1"/>
  <c r="AM240" i="1"/>
  <c r="U236" i="4" s="1"/>
  <c r="AM241" i="1"/>
  <c r="U237" i="4" s="1"/>
  <c r="AM242" i="1"/>
  <c r="U238" i="4" s="1"/>
  <c r="AM243" i="1"/>
  <c r="U239" i="4" s="1"/>
  <c r="AM244" i="1"/>
  <c r="U240" i="4" s="1"/>
  <c r="AM245" i="1"/>
  <c r="U241" i="4" s="1"/>
  <c r="AM246" i="1"/>
  <c r="U242" i="4" s="1"/>
  <c r="AM247" i="1"/>
  <c r="U243" i="4" s="1"/>
  <c r="AM248" i="1"/>
  <c r="U244" i="4" s="1"/>
  <c r="AM249" i="1"/>
  <c r="U245" i="4" s="1"/>
  <c r="AM250" i="1"/>
  <c r="U246" i="4" s="1"/>
  <c r="AM251" i="1"/>
  <c r="U247" i="4" s="1"/>
  <c r="AM252" i="1"/>
  <c r="U248" i="4" s="1"/>
  <c r="AM253" i="1"/>
  <c r="U249" i="4" s="1"/>
  <c r="AM254" i="1"/>
  <c r="U250" i="4" s="1"/>
  <c r="AM255" i="1"/>
  <c r="U251" i="4" s="1"/>
  <c r="AM257" i="1"/>
  <c r="U253" i="4" s="1"/>
  <c r="AM258" i="1"/>
  <c r="U254" i="4" s="1"/>
  <c r="AM259" i="1"/>
  <c r="U255" i="4" s="1"/>
  <c r="AM260" i="1"/>
  <c r="U256" i="4" s="1"/>
  <c r="AM261" i="1"/>
  <c r="U257" i="4" s="1"/>
  <c r="AM262" i="1"/>
  <c r="U258" i="4" s="1"/>
  <c r="AM263" i="1"/>
  <c r="U259" i="4" s="1"/>
  <c r="AM264" i="1"/>
  <c r="U260" i="4" s="1"/>
  <c r="AM265" i="1"/>
  <c r="U261" i="4" s="1"/>
  <c r="AM266" i="1"/>
  <c r="U262" i="4" s="1"/>
  <c r="AM267" i="1"/>
  <c r="U263" i="4" s="1"/>
  <c r="AM268" i="1"/>
  <c r="U264" i="4" s="1"/>
  <c r="AM270" i="1"/>
  <c r="U266" i="4" s="1"/>
  <c r="AM271" i="1"/>
  <c r="U267" i="4" s="1"/>
  <c r="AM272" i="1"/>
  <c r="U268" i="4" s="1"/>
  <c r="AM273" i="1"/>
  <c r="U269" i="4" s="1"/>
  <c r="AM274" i="1"/>
  <c r="U270" i="4" s="1"/>
  <c r="AM275" i="1"/>
  <c r="U271" i="4" s="1"/>
  <c r="AM276" i="1"/>
  <c r="U272" i="4" s="1"/>
  <c r="AM277" i="1"/>
  <c r="U273" i="4" s="1"/>
  <c r="AM278" i="1"/>
  <c r="U274" i="4" s="1"/>
  <c r="AM280" i="1"/>
  <c r="U276" i="4" s="1"/>
  <c r="AM281" i="1"/>
  <c r="U277" i="4" s="1"/>
  <c r="AM282" i="1"/>
  <c r="U278" i="4" s="1"/>
  <c r="AM283" i="1"/>
  <c r="U279" i="4" s="1"/>
  <c r="AM284" i="1"/>
  <c r="U280" i="4" s="1"/>
  <c r="AM285" i="1"/>
  <c r="U281" i="4" s="1"/>
  <c r="AM286" i="1"/>
  <c r="U282" i="4" s="1"/>
  <c r="AM287" i="1"/>
  <c r="U283" i="4" s="1"/>
  <c r="AM288" i="1"/>
  <c r="U284" i="4" s="1"/>
  <c r="AM289" i="1"/>
  <c r="U285" i="4" s="1"/>
  <c r="AM290" i="1"/>
  <c r="U286" i="4" s="1"/>
  <c r="AM291" i="1"/>
  <c r="U287" i="4" s="1"/>
  <c r="AM292" i="1"/>
  <c r="U288" i="4" s="1"/>
  <c r="AM293" i="1"/>
  <c r="U289" i="4" s="1"/>
  <c r="AM294" i="1"/>
  <c r="U290" i="4" s="1"/>
  <c r="AM295" i="1"/>
  <c r="U291" i="4" s="1"/>
  <c r="AM296" i="1"/>
  <c r="U292" i="4" s="1"/>
  <c r="AM297" i="1"/>
  <c r="U293" i="4" s="1"/>
  <c r="AM298" i="1"/>
  <c r="U294" i="4" s="1"/>
  <c r="AM299" i="1"/>
  <c r="U295" i="4" s="1"/>
  <c r="AM300" i="1"/>
  <c r="U296" i="4" s="1"/>
  <c r="AM301" i="1"/>
  <c r="U297" i="4" s="1"/>
  <c r="AM302" i="1"/>
  <c r="U298" i="4" s="1"/>
  <c r="AM303" i="1"/>
  <c r="U299" i="4" s="1"/>
  <c r="AM304" i="1"/>
  <c r="U300" i="4" s="1"/>
  <c r="AM305" i="1"/>
  <c r="U301" i="4" s="1"/>
  <c r="AM306" i="1"/>
  <c r="U302" i="4" s="1"/>
  <c r="AM307" i="1"/>
  <c r="U303" i="4" s="1"/>
  <c r="AM308" i="1"/>
  <c r="U304" i="4" s="1"/>
  <c r="U305" i="4"/>
  <c r="AM311" i="1"/>
  <c r="U307" i="4" s="1"/>
  <c r="AM312" i="1"/>
  <c r="U308" i="4" s="1"/>
  <c r="AM313" i="1"/>
  <c r="U309" i="4" s="1"/>
  <c r="AM314" i="1"/>
  <c r="U310" i="4" s="1"/>
  <c r="AM315" i="1"/>
  <c r="U311" i="4" s="1"/>
  <c r="AM316" i="1"/>
  <c r="U312" i="4" s="1"/>
  <c r="AM318" i="1"/>
  <c r="U314" i="4" s="1"/>
  <c r="AM319" i="1"/>
  <c r="U315" i="4" s="1"/>
  <c r="AM320" i="1"/>
  <c r="U316" i="4" s="1"/>
  <c r="AM321" i="1"/>
  <c r="U317" i="4" s="1"/>
  <c r="AM322" i="1"/>
  <c r="U318" i="4" s="1"/>
  <c r="AM323" i="1"/>
  <c r="U319" i="4" s="1"/>
  <c r="AM324" i="1"/>
  <c r="U320" i="4" s="1"/>
  <c r="AM325" i="1"/>
  <c r="U321" i="4" s="1"/>
  <c r="AM326" i="1"/>
  <c r="U322" i="4" s="1"/>
  <c r="AM327" i="1"/>
  <c r="U323" i="4" s="1"/>
  <c r="AM328" i="1"/>
  <c r="U324" i="4" s="1"/>
  <c r="AM332" i="1"/>
  <c r="U328" i="4" s="1"/>
  <c r="AM336" i="1"/>
  <c r="U332" i="4" s="1"/>
  <c r="AM337" i="1"/>
  <c r="U333" i="4" s="1"/>
  <c r="AM338" i="1"/>
  <c r="U334" i="4" s="1"/>
  <c r="AM339" i="1"/>
  <c r="U335" i="4" s="1"/>
  <c r="AM340" i="1"/>
  <c r="U336" i="4" s="1"/>
  <c r="AM341" i="1"/>
  <c r="U337" i="4" s="1"/>
  <c r="AM342" i="1"/>
  <c r="U338" i="4" s="1"/>
  <c r="AM343" i="1"/>
  <c r="U339" i="4" s="1"/>
  <c r="AM344" i="1"/>
  <c r="U340" i="4" s="1"/>
  <c r="AM345" i="1"/>
  <c r="U341" i="4" s="1"/>
  <c r="AM346" i="1"/>
  <c r="U342" i="4" s="1"/>
  <c r="AM347" i="1"/>
  <c r="U343" i="4" s="1"/>
  <c r="AM348" i="1"/>
  <c r="U344" i="4" s="1"/>
  <c r="AM349" i="1"/>
  <c r="U345" i="4" s="1"/>
  <c r="AM350" i="1"/>
  <c r="U346" i="4" s="1"/>
  <c r="AM351" i="1"/>
  <c r="U347" i="4" s="1"/>
  <c r="AM352" i="1"/>
  <c r="U348" i="4" s="1"/>
  <c r="AM353" i="1"/>
  <c r="U349" i="4" s="1"/>
  <c r="AM354" i="1"/>
  <c r="U350" i="4" s="1"/>
  <c r="AM355" i="1"/>
  <c r="U351" i="4" s="1"/>
  <c r="AM356" i="1"/>
  <c r="U352" i="4" s="1"/>
  <c r="AM357" i="1"/>
  <c r="U353" i="4" s="1"/>
  <c r="AM358" i="1"/>
  <c r="U354" i="4" s="1"/>
  <c r="AM359" i="1"/>
  <c r="U355" i="4" s="1"/>
  <c r="AM362" i="1"/>
  <c r="U358" i="4" s="1"/>
  <c r="AM363" i="1"/>
  <c r="U359" i="4" s="1"/>
  <c r="AM364" i="1"/>
  <c r="U360" i="4" s="1"/>
  <c r="AM365" i="1"/>
  <c r="U361" i="4" s="1"/>
  <c r="AM366" i="1"/>
  <c r="U362" i="4" s="1"/>
  <c r="AM367" i="1"/>
  <c r="U363" i="4" s="1"/>
  <c r="AM368" i="1"/>
  <c r="U364" i="4" s="1"/>
  <c r="AM369" i="1"/>
  <c r="U365" i="4" s="1"/>
  <c r="AM370" i="1"/>
  <c r="U366" i="4" s="1"/>
  <c r="AM371" i="1"/>
  <c r="U367" i="4" s="1"/>
  <c r="AM372" i="1"/>
  <c r="U368" i="4" s="1"/>
  <c r="AM373" i="1"/>
  <c r="U369" i="4" s="1"/>
  <c r="AM374" i="1"/>
  <c r="U370" i="4" s="1"/>
  <c r="AM376" i="1"/>
  <c r="U372" i="4" s="1"/>
  <c r="AM377" i="1"/>
  <c r="U373" i="4" s="1"/>
  <c r="AM378" i="1"/>
  <c r="U374" i="4" s="1"/>
  <c r="AM379" i="1"/>
  <c r="U375" i="4" s="1"/>
  <c r="AM381" i="1"/>
  <c r="U377" i="4" s="1"/>
  <c r="AM382" i="1"/>
  <c r="U378" i="4" s="1"/>
  <c r="AM383" i="1"/>
  <c r="U379" i="4" s="1"/>
  <c r="AM384" i="1"/>
  <c r="U380" i="4" s="1"/>
  <c r="AM385" i="1"/>
  <c r="U381" i="4" s="1"/>
  <c r="AM386" i="1"/>
  <c r="U382" i="4" s="1"/>
  <c r="AM387" i="1"/>
  <c r="U383" i="4" s="1"/>
  <c r="AM388" i="1"/>
  <c r="U384" i="4" s="1"/>
  <c r="AM389" i="1"/>
  <c r="U385" i="4" s="1"/>
  <c r="AM390" i="1"/>
  <c r="U386" i="4" s="1"/>
  <c r="AM391" i="1"/>
  <c r="U387" i="4" s="1"/>
  <c r="AM392" i="1"/>
  <c r="U388" i="4" s="1"/>
  <c r="AM393" i="1"/>
  <c r="U389" i="4" s="1"/>
  <c r="AM394" i="1"/>
  <c r="U390" i="4" s="1"/>
  <c r="AM395" i="1"/>
  <c r="U391" i="4" s="1"/>
  <c r="AM396" i="1"/>
  <c r="U392" i="4" s="1"/>
  <c r="AM397" i="1"/>
  <c r="U393" i="4" s="1"/>
  <c r="AM398" i="1"/>
  <c r="U394" i="4" s="1"/>
  <c r="AM399" i="1"/>
  <c r="U395" i="4" s="1"/>
  <c r="AM400" i="1"/>
  <c r="U396" i="4" s="1"/>
  <c r="AM401" i="1"/>
  <c r="U397" i="4" s="1"/>
  <c r="AM402" i="1"/>
  <c r="U398" i="4" s="1"/>
  <c r="AM403" i="1"/>
  <c r="U399" i="4" s="1"/>
  <c r="AM404" i="1"/>
  <c r="U400" i="4" s="1"/>
  <c r="AM405" i="1"/>
  <c r="U401" i="4" s="1"/>
  <c r="AM406" i="1"/>
  <c r="U402" i="4" s="1"/>
  <c r="AM407" i="1"/>
  <c r="U403" i="4" s="1"/>
  <c r="AM408" i="1"/>
  <c r="U404" i="4" s="1"/>
  <c r="AM409" i="1"/>
  <c r="U405" i="4" s="1"/>
  <c r="AM410" i="1"/>
  <c r="U406" i="4" s="1"/>
  <c r="AM411" i="1"/>
  <c r="U407" i="4" s="1"/>
  <c r="AM412" i="1"/>
  <c r="U408" i="4" s="1"/>
  <c r="AM413" i="1"/>
  <c r="U409" i="4" s="1"/>
  <c r="AM414" i="1"/>
  <c r="U410" i="4" s="1"/>
  <c r="AM416" i="1"/>
  <c r="U412" i="4" s="1"/>
  <c r="AM417" i="1"/>
  <c r="U413" i="4" s="1"/>
  <c r="AM418" i="1"/>
  <c r="U414" i="4" s="1"/>
  <c r="AM419" i="1"/>
  <c r="U415" i="4" s="1"/>
  <c r="AM420" i="1"/>
  <c r="U416" i="4" s="1"/>
  <c r="AM421" i="1"/>
  <c r="U417" i="4" s="1"/>
  <c r="AM422" i="1"/>
  <c r="U418" i="4" s="1"/>
  <c r="AM423" i="1"/>
  <c r="U419" i="4" s="1"/>
  <c r="AM424" i="1"/>
  <c r="U420" i="4" s="1"/>
  <c r="AM425" i="1"/>
  <c r="U421" i="4" s="1"/>
  <c r="AM426" i="1"/>
  <c r="U422" i="4" s="1"/>
  <c r="AM427" i="1"/>
  <c r="U423" i="4" s="1"/>
  <c r="AM428" i="1"/>
  <c r="U424" i="4" s="1"/>
  <c r="AM429" i="1"/>
  <c r="U425" i="4" s="1"/>
  <c r="AM430" i="1"/>
  <c r="U426" i="4" s="1"/>
  <c r="AM431" i="1"/>
  <c r="U427" i="4" s="1"/>
  <c r="AM432" i="1"/>
  <c r="U428" i="4" s="1"/>
  <c r="AM433" i="1"/>
  <c r="U429" i="4" s="1"/>
  <c r="AM434" i="1"/>
  <c r="U430" i="4" s="1"/>
  <c r="AM435" i="1"/>
  <c r="U431" i="4" s="1"/>
  <c r="AM436" i="1"/>
  <c r="U432" i="4" s="1"/>
  <c r="AM437" i="1"/>
  <c r="U433" i="4" s="1"/>
  <c r="AM438" i="1"/>
  <c r="U434" i="4" s="1"/>
  <c r="AM439" i="1"/>
  <c r="U435" i="4" s="1"/>
  <c r="AM440" i="1"/>
  <c r="U436" i="4" s="1"/>
  <c r="AM441" i="1"/>
  <c r="U437" i="4" s="1"/>
  <c r="AM442" i="1"/>
  <c r="U438" i="4" s="1"/>
  <c r="AM443" i="1"/>
  <c r="U439" i="4" s="1"/>
  <c r="AM444" i="1"/>
  <c r="U440" i="4" s="1"/>
  <c r="AM445" i="1"/>
  <c r="U441" i="4" s="1"/>
  <c r="AM446" i="1"/>
  <c r="U442" i="4" s="1"/>
  <c r="AM447" i="1"/>
  <c r="U443" i="4" s="1"/>
  <c r="AM448" i="1"/>
  <c r="U444" i="4" s="1"/>
  <c r="AM449" i="1"/>
  <c r="U445" i="4" s="1"/>
  <c r="AM450" i="1"/>
  <c r="U446" i="4" s="1"/>
  <c r="AM451" i="1"/>
  <c r="U447" i="4" s="1"/>
  <c r="AM452" i="1"/>
  <c r="U448" i="4" s="1"/>
  <c r="AM453" i="1"/>
  <c r="U449" i="4" s="1"/>
  <c r="AM454" i="1"/>
  <c r="U450" i="4" s="1"/>
  <c r="AM455" i="1"/>
  <c r="U451" i="4" s="1"/>
  <c r="AM456" i="1"/>
  <c r="U452" i="4" s="1"/>
  <c r="AM457" i="1"/>
  <c r="U453" i="4" s="1"/>
  <c r="AM458" i="1"/>
  <c r="U454" i="4" s="1"/>
  <c r="AM459" i="1"/>
  <c r="U455" i="4" s="1"/>
  <c r="AM460" i="1"/>
  <c r="U456" i="4" s="1"/>
  <c r="AM461" i="1"/>
  <c r="U457" i="4" s="1"/>
  <c r="AM462" i="1"/>
  <c r="U458" i="4" s="1"/>
  <c r="AM463" i="1"/>
  <c r="U459" i="4" s="1"/>
  <c r="AM464" i="1"/>
  <c r="U460" i="4" s="1"/>
  <c r="AM465" i="1"/>
  <c r="U461" i="4" s="1"/>
  <c r="AM466" i="1"/>
  <c r="U462" i="4" s="1"/>
  <c r="AM467" i="1"/>
  <c r="U463" i="4" s="1"/>
  <c r="AM468" i="1"/>
  <c r="U464" i="4" s="1"/>
  <c r="AM469" i="1"/>
  <c r="U465" i="4" s="1"/>
  <c r="AM470" i="1"/>
  <c r="U466" i="4" s="1"/>
  <c r="AM471" i="1"/>
  <c r="U467" i="4" s="1"/>
  <c r="AM472" i="1"/>
  <c r="U468" i="4" s="1"/>
  <c r="AM473" i="1"/>
  <c r="U469" i="4" s="1"/>
  <c r="AM474" i="1"/>
  <c r="U470" i="4" s="1"/>
  <c r="AM475" i="1"/>
  <c r="U471" i="4" s="1"/>
  <c r="AM476" i="1"/>
  <c r="U472" i="4" s="1"/>
  <c r="AM477" i="1"/>
  <c r="U473" i="4" s="1"/>
  <c r="AM478" i="1"/>
  <c r="U474" i="4" s="1"/>
  <c r="AM479" i="1"/>
  <c r="U475" i="4" s="1"/>
  <c r="AM480" i="1"/>
  <c r="U476" i="4" s="1"/>
  <c r="AM481" i="1"/>
  <c r="U477" i="4" s="1"/>
  <c r="AM482" i="1"/>
  <c r="U478" i="4" s="1"/>
  <c r="AM483" i="1"/>
  <c r="U479" i="4" s="1"/>
  <c r="AM484" i="1"/>
  <c r="U480" i="4" s="1"/>
  <c r="AM485" i="1"/>
  <c r="U481" i="4" s="1"/>
  <c r="AM486" i="1"/>
  <c r="U482" i="4" s="1"/>
  <c r="AM487" i="1"/>
  <c r="U483" i="4" s="1"/>
  <c r="AM488" i="1"/>
  <c r="U484" i="4" s="1"/>
  <c r="AM489" i="1"/>
  <c r="U485" i="4" s="1"/>
  <c r="AM490" i="1"/>
  <c r="U486" i="4" s="1"/>
  <c r="AM491" i="1"/>
  <c r="U487" i="4" s="1"/>
  <c r="AM492" i="1"/>
  <c r="U488" i="4" s="1"/>
  <c r="AM493" i="1"/>
  <c r="U489" i="4" s="1"/>
  <c r="AM494" i="1"/>
  <c r="U490" i="4" s="1"/>
  <c r="AM495" i="1"/>
  <c r="U491" i="4" s="1"/>
  <c r="AM496" i="1"/>
  <c r="U492" i="4" s="1"/>
  <c r="AM497" i="1"/>
  <c r="U493" i="4" s="1"/>
  <c r="AM498" i="1"/>
  <c r="U494" i="4" s="1"/>
  <c r="AM499" i="1"/>
  <c r="U495" i="4" s="1"/>
  <c r="AM500" i="1"/>
  <c r="U496" i="4" s="1"/>
  <c r="AM501" i="1"/>
  <c r="U497" i="4" s="1"/>
  <c r="AM502" i="1"/>
  <c r="U498" i="4" s="1"/>
  <c r="AM503" i="1"/>
  <c r="U499" i="4" s="1"/>
  <c r="AM504" i="1"/>
  <c r="U500" i="4" s="1"/>
  <c r="AM505" i="1"/>
  <c r="U501" i="4" s="1"/>
  <c r="AM506" i="1"/>
  <c r="U502" i="4" s="1"/>
  <c r="AM507" i="1"/>
  <c r="U503" i="4" s="1"/>
  <c r="AM508" i="1"/>
  <c r="U504" i="4" s="1"/>
  <c r="AM509" i="1"/>
  <c r="U505" i="4" s="1"/>
  <c r="AM510" i="1"/>
  <c r="U506" i="4" s="1"/>
  <c r="AM511" i="1"/>
  <c r="U507" i="4" s="1"/>
  <c r="AM512" i="1"/>
  <c r="U508" i="4" s="1"/>
  <c r="AM513" i="1"/>
  <c r="U509" i="4" s="1"/>
  <c r="AM514" i="1"/>
  <c r="U510" i="4" s="1"/>
  <c r="AM515" i="1"/>
  <c r="U511" i="4" s="1"/>
  <c r="AM516" i="1"/>
  <c r="U512" i="4" s="1"/>
  <c r="AM517" i="1"/>
  <c r="U513" i="4" s="1"/>
  <c r="AM518" i="1"/>
  <c r="U514" i="4" s="1"/>
  <c r="AM519" i="1"/>
  <c r="U515" i="4" s="1"/>
  <c r="AM520" i="1"/>
  <c r="U516" i="4" s="1"/>
  <c r="AM521" i="1"/>
  <c r="U517" i="4" s="1"/>
  <c r="AM522" i="1"/>
  <c r="U518" i="4" s="1"/>
  <c r="AM523" i="1"/>
  <c r="U519" i="4" s="1"/>
  <c r="AM524" i="1"/>
  <c r="U520" i="4" s="1"/>
  <c r="AM525" i="1"/>
  <c r="U521" i="4" s="1"/>
  <c r="AM526" i="1"/>
  <c r="U522" i="4" s="1"/>
  <c r="AM527" i="1"/>
  <c r="U523" i="4" s="1"/>
  <c r="AM529" i="1"/>
  <c r="U525" i="4" s="1"/>
  <c r="AM530" i="1"/>
  <c r="U526" i="4" s="1"/>
  <c r="AM531" i="1"/>
  <c r="U527" i="4" s="1"/>
  <c r="AM532" i="1"/>
  <c r="U528" i="4" s="1"/>
  <c r="AM533" i="1"/>
  <c r="U529" i="4" s="1"/>
  <c r="AM534" i="1"/>
  <c r="U530" i="4" s="1"/>
  <c r="AM537" i="1"/>
  <c r="U533" i="4" s="1"/>
  <c r="AM538" i="1"/>
  <c r="U534" i="4" s="1"/>
  <c r="AM539" i="1"/>
  <c r="U535" i="4" s="1"/>
  <c r="AM540" i="1"/>
  <c r="U536" i="4" s="1"/>
  <c r="AM541" i="1"/>
  <c r="U537" i="4" s="1"/>
  <c r="AM544" i="1"/>
  <c r="U540" i="4" s="1"/>
  <c r="AM545" i="1"/>
  <c r="U541" i="4" s="1"/>
  <c r="AM546" i="1"/>
  <c r="U542" i="4" s="1"/>
  <c r="AM547" i="1"/>
  <c r="U543" i="4" s="1"/>
  <c r="AM548" i="1"/>
  <c r="U544" i="4" s="1"/>
  <c r="AM549" i="1"/>
  <c r="U545" i="4" s="1"/>
  <c r="AM550" i="1"/>
  <c r="U546" i="4" s="1"/>
  <c r="AM552" i="1"/>
  <c r="U548" i="4" s="1"/>
  <c r="AM553" i="1"/>
  <c r="U549" i="4" s="1"/>
  <c r="AM554" i="1"/>
  <c r="U550" i="4" s="1"/>
  <c r="AM555" i="1"/>
  <c r="U551" i="4" s="1"/>
  <c r="AM556" i="1"/>
  <c r="U552" i="4" s="1"/>
  <c r="AM558" i="1"/>
  <c r="U554" i="4" s="1"/>
  <c r="AM559" i="1"/>
  <c r="U555" i="4" s="1"/>
  <c r="AM560" i="1"/>
  <c r="U556" i="4" s="1"/>
  <c r="AM561" i="1"/>
  <c r="U557" i="4" s="1"/>
  <c r="AM562" i="1"/>
  <c r="U558" i="4" s="1"/>
  <c r="AM563" i="1"/>
  <c r="U559" i="4" s="1"/>
  <c r="AM564" i="1"/>
  <c r="U560" i="4" s="1"/>
  <c r="AM565" i="1"/>
  <c r="U561" i="4" s="1"/>
  <c r="AM566" i="1"/>
  <c r="U562" i="4" s="1"/>
  <c r="AM567" i="1"/>
  <c r="U563" i="4" s="1"/>
  <c r="AJ9" i="1" l="1"/>
  <c r="AS249" i="1"/>
  <c r="AS302" i="1"/>
  <c r="AS358" i="1"/>
  <c r="AS300" i="1"/>
  <c r="AS353" i="1"/>
  <c r="AS352" i="1"/>
  <c r="AS349" i="1"/>
  <c r="AS308" i="1"/>
  <c r="AS306" i="1"/>
  <c r="AS304" i="1"/>
  <c r="AS253" i="1"/>
  <c r="C233" i="1" l="1"/>
  <c r="E86" i="24" l="1"/>
  <c r="B42" i="32" l="1"/>
  <c r="U6" i="4" l="1"/>
  <c r="AS247" i="1" l="1"/>
  <c r="E155" i="39" l="1"/>
  <c r="C155" i="39"/>
  <c r="B155" i="39"/>
  <c r="A155" i="39"/>
  <c r="C154" i="39"/>
  <c r="B154" i="39"/>
  <c r="A154" i="39"/>
  <c r="E153" i="39"/>
  <c r="C153" i="39"/>
  <c r="B153" i="39"/>
  <c r="A153" i="39"/>
  <c r="C152" i="39"/>
  <c r="B152" i="39"/>
  <c r="A152" i="39"/>
  <c r="E151" i="39"/>
  <c r="C151" i="39"/>
  <c r="B151" i="39"/>
  <c r="A151" i="39"/>
  <c r="C150" i="39"/>
  <c r="B150" i="39"/>
  <c r="A150" i="39"/>
  <c r="E149" i="39"/>
  <c r="C149" i="39"/>
  <c r="B149" i="39"/>
  <c r="A149" i="39"/>
  <c r="C148" i="39"/>
  <c r="B148" i="39"/>
  <c r="A148" i="39"/>
  <c r="E147" i="39"/>
  <c r="C147" i="39"/>
  <c r="B147" i="39"/>
  <c r="A147" i="39"/>
  <c r="C146" i="39"/>
  <c r="B146" i="39"/>
  <c r="A146" i="39"/>
  <c r="E145" i="39"/>
  <c r="C145" i="39"/>
  <c r="B145" i="39"/>
  <c r="A145" i="39"/>
  <c r="C144" i="39"/>
  <c r="B144" i="39"/>
  <c r="A144" i="39"/>
  <c r="E143" i="39"/>
  <c r="C143" i="39"/>
  <c r="B143" i="39"/>
  <c r="A143" i="39"/>
  <c r="C142" i="39"/>
  <c r="B142" i="39"/>
  <c r="A142" i="39"/>
  <c r="E141" i="39"/>
  <c r="C141" i="39"/>
  <c r="B141" i="39"/>
  <c r="A141" i="39"/>
  <c r="C140" i="39"/>
  <c r="B140" i="39"/>
  <c r="A140" i="39"/>
  <c r="E139" i="39"/>
  <c r="C139" i="39"/>
  <c r="B139" i="39"/>
  <c r="A139" i="39"/>
  <c r="E138" i="39"/>
  <c r="C138" i="39"/>
  <c r="B138" i="39"/>
  <c r="A138" i="39"/>
  <c r="E137" i="39"/>
  <c r="C137" i="39"/>
  <c r="B137" i="39"/>
  <c r="A137" i="39"/>
  <c r="E136" i="39"/>
  <c r="C136" i="39"/>
  <c r="B136" i="39"/>
  <c r="A136" i="39"/>
  <c r="E135" i="39"/>
  <c r="C135" i="39"/>
  <c r="B135" i="39"/>
  <c r="A135" i="39"/>
  <c r="E134" i="39"/>
  <c r="C134" i="39"/>
  <c r="B134" i="39"/>
  <c r="A134" i="39"/>
  <c r="E133" i="39"/>
  <c r="C133" i="39"/>
  <c r="B133" i="39"/>
  <c r="A133" i="39"/>
  <c r="E132" i="39"/>
  <c r="C132" i="39"/>
  <c r="B132" i="39"/>
  <c r="A132" i="39"/>
  <c r="C131" i="39"/>
  <c r="B131" i="39"/>
  <c r="A131" i="39"/>
  <c r="E130" i="39"/>
  <c r="C130" i="39"/>
  <c r="B130" i="39"/>
  <c r="A130" i="39"/>
  <c r="E129" i="39"/>
  <c r="C129" i="39"/>
  <c r="B129" i="39"/>
  <c r="A129" i="39"/>
  <c r="E128" i="39"/>
  <c r="C128" i="39"/>
  <c r="B128" i="39"/>
  <c r="A128" i="39"/>
  <c r="E127" i="39"/>
  <c r="C127" i="39"/>
  <c r="B127" i="39"/>
  <c r="A127" i="39"/>
  <c r="E126" i="39"/>
  <c r="C126" i="39"/>
  <c r="B126" i="39"/>
  <c r="A126" i="39"/>
  <c r="E125" i="39"/>
  <c r="C125" i="39"/>
  <c r="B125" i="39"/>
  <c r="A125" i="39"/>
  <c r="E124" i="39"/>
  <c r="C124" i="39"/>
  <c r="B124" i="39"/>
  <c r="A124" i="39"/>
  <c r="C123" i="39"/>
  <c r="B123" i="39"/>
  <c r="A123" i="39"/>
  <c r="C122" i="39"/>
  <c r="A157" i="39" s="1"/>
  <c r="B122" i="39"/>
  <c r="A122" i="39"/>
  <c r="E121" i="39"/>
  <c r="C121" i="39"/>
  <c r="B121" i="39"/>
  <c r="A121" i="39"/>
  <c r="E120" i="39"/>
  <c r="C120" i="39"/>
  <c r="B120" i="39"/>
  <c r="A120" i="39"/>
  <c r="E119" i="39"/>
  <c r="C119" i="39"/>
  <c r="B119" i="39"/>
  <c r="A119" i="39"/>
  <c r="E118" i="39"/>
  <c r="C118" i="39"/>
  <c r="B118" i="39"/>
  <c r="A118" i="39"/>
  <c r="E117" i="39"/>
  <c r="C117" i="39"/>
  <c r="B117" i="39"/>
  <c r="A117" i="39"/>
  <c r="E116" i="39"/>
  <c r="C116" i="39"/>
  <c r="B116" i="39"/>
  <c r="A116" i="39"/>
  <c r="C115" i="39"/>
  <c r="B115" i="39"/>
  <c r="A115" i="39"/>
  <c r="C114" i="39"/>
  <c r="B114" i="39"/>
  <c r="A114" i="39"/>
  <c r="E113" i="39"/>
  <c r="C113" i="39"/>
  <c r="B113" i="39"/>
  <c r="A113" i="39"/>
  <c r="E112" i="39"/>
  <c r="C112" i="39"/>
  <c r="B112" i="39"/>
  <c r="A112" i="39"/>
  <c r="E111" i="39"/>
  <c r="C111" i="39"/>
  <c r="B111" i="39"/>
  <c r="A111" i="39"/>
  <c r="E110" i="39"/>
  <c r="C110" i="39"/>
  <c r="B110" i="39"/>
  <c r="A110" i="39"/>
  <c r="C109" i="39"/>
  <c r="B109" i="39"/>
  <c r="A109" i="39"/>
  <c r="E108" i="39"/>
  <c r="C108" i="39"/>
  <c r="B108" i="39"/>
  <c r="A108" i="39"/>
  <c r="C107" i="39"/>
  <c r="B107" i="39"/>
  <c r="A107" i="39"/>
  <c r="E106" i="39"/>
  <c r="C106" i="39"/>
  <c r="B106" i="39"/>
  <c r="A106" i="39"/>
  <c r="E105" i="39"/>
  <c r="C105" i="39"/>
  <c r="B105" i="39"/>
  <c r="A105" i="39"/>
  <c r="E104" i="39"/>
  <c r="C104" i="39"/>
  <c r="B104" i="39"/>
  <c r="A104" i="39"/>
  <c r="E103" i="39"/>
  <c r="C103" i="39"/>
  <c r="B103" i="39"/>
  <c r="A103" i="39"/>
  <c r="E102" i="39"/>
  <c r="C102" i="39"/>
  <c r="B102" i="39"/>
  <c r="A102" i="39"/>
  <c r="E101" i="39"/>
  <c r="C101" i="39"/>
  <c r="B101" i="39"/>
  <c r="A101" i="39"/>
  <c r="E100" i="39"/>
  <c r="C100" i="39"/>
  <c r="B100" i="39"/>
  <c r="A100" i="39"/>
  <c r="E99" i="39"/>
  <c r="C99" i="39"/>
  <c r="B99" i="39"/>
  <c r="A99" i="39"/>
  <c r="C98" i="39"/>
  <c r="B98" i="39"/>
  <c r="A98" i="39"/>
  <c r="E97" i="39"/>
  <c r="C97" i="39"/>
  <c r="B97" i="39"/>
  <c r="A97" i="39"/>
  <c r="E96" i="39"/>
  <c r="C96" i="39"/>
  <c r="B96" i="39"/>
  <c r="A96" i="39"/>
  <c r="C95" i="39"/>
  <c r="B95" i="39"/>
  <c r="A95" i="39"/>
  <c r="E94" i="39"/>
  <c r="C94" i="39"/>
  <c r="B94" i="39"/>
  <c r="A94" i="39"/>
  <c r="C93" i="39"/>
  <c r="B93" i="39"/>
  <c r="A93" i="39"/>
  <c r="E92" i="39"/>
  <c r="C92" i="39"/>
  <c r="B92" i="39"/>
  <c r="A92" i="39"/>
  <c r="C91" i="39"/>
  <c r="B91" i="39"/>
  <c r="A91" i="39"/>
  <c r="C90" i="39"/>
  <c r="B90" i="39"/>
  <c r="A90" i="39"/>
  <c r="E89" i="39"/>
  <c r="C89" i="39"/>
  <c r="B89" i="39"/>
  <c r="A89" i="39"/>
  <c r="E88" i="39"/>
  <c r="C88" i="39"/>
  <c r="B88" i="39"/>
  <c r="A88" i="39"/>
  <c r="E87" i="39"/>
  <c r="C87" i="39"/>
  <c r="B87" i="39"/>
  <c r="A87" i="39"/>
  <c r="E86" i="39"/>
  <c r="C86" i="39"/>
  <c r="B86" i="39"/>
  <c r="A86" i="39"/>
  <c r="E85" i="39"/>
  <c r="C85" i="39"/>
  <c r="B85" i="39"/>
  <c r="A85" i="39"/>
  <c r="E84" i="39"/>
  <c r="C84" i="39"/>
  <c r="B84" i="39"/>
  <c r="A84" i="39"/>
  <c r="E83" i="39"/>
  <c r="C83" i="39"/>
  <c r="B83" i="39"/>
  <c r="A83" i="39"/>
  <c r="C82" i="39"/>
  <c r="B82" i="39"/>
  <c r="A82" i="39"/>
  <c r="E81" i="39"/>
  <c r="C81" i="39"/>
  <c r="B81" i="39"/>
  <c r="A81" i="39"/>
  <c r="C80" i="39"/>
  <c r="B80" i="39"/>
  <c r="A80" i="39"/>
  <c r="C79" i="39"/>
  <c r="B79" i="39"/>
  <c r="A79" i="39"/>
  <c r="E78" i="39"/>
  <c r="C78" i="39"/>
  <c r="B78" i="39"/>
  <c r="A78" i="39"/>
  <c r="G77" i="39"/>
  <c r="E77" i="39"/>
  <c r="C77" i="39"/>
  <c r="B77" i="39"/>
  <c r="A77" i="39"/>
  <c r="E76" i="39"/>
  <c r="C76" i="39"/>
  <c r="B76" i="39"/>
  <c r="A76" i="39"/>
  <c r="E75" i="39"/>
  <c r="C75" i="39"/>
  <c r="B75" i="39"/>
  <c r="A75" i="39"/>
  <c r="E74" i="39"/>
  <c r="C74" i="39"/>
  <c r="B74" i="39"/>
  <c r="A74" i="39"/>
  <c r="E73" i="39"/>
  <c r="C73" i="39"/>
  <c r="B73" i="39"/>
  <c r="A73" i="39"/>
  <c r="C72" i="39"/>
  <c r="B72" i="39"/>
  <c r="A72" i="39"/>
  <c r="E71" i="39"/>
  <c r="C71" i="39"/>
  <c r="B71" i="39"/>
  <c r="A71" i="39"/>
  <c r="E70" i="39"/>
  <c r="C70" i="39"/>
  <c r="B70" i="39"/>
  <c r="A70" i="39"/>
  <c r="E69" i="39"/>
  <c r="C69" i="39"/>
  <c r="B69" i="39"/>
  <c r="A69" i="39"/>
  <c r="E68" i="39"/>
  <c r="C68" i="39"/>
  <c r="B68" i="39"/>
  <c r="A68" i="39"/>
  <c r="C67" i="39"/>
  <c r="B67" i="39"/>
  <c r="A67" i="39"/>
  <c r="E66" i="39"/>
  <c r="C66" i="39"/>
  <c r="B66" i="39"/>
  <c r="A66" i="39"/>
  <c r="E65" i="39"/>
  <c r="C65" i="39"/>
  <c r="B65" i="39"/>
  <c r="A65" i="39"/>
  <c r="E64" i="39"/>
  <c r="C64" i="39"/>
  <c r="B64" i="39"/>
  <c r="A64" i="39"/>
  <c r="E63" i="39"/>
  <c r="C63" i="39"/>
  <c r="B63" i="39"/>
  <c r="A63" i="39"/>
  <c r="E62" i="39"/>
  <c r="C62" i="39"/>
  <c r="B62" i="39"/>
  <c r="A62" i="39"/>
  <c r="C61" i="39"/>
  <c r="B61" i="39"/>
  <c r="A61" i="39"/>
  <c r="E60" i="39"/>
  <c r="C60" i="39"/>
  <c r="B60" i="39"/>
  <c r="A60" i="39"/>
  <c r="E59" i="39"/>
  <c r="C59" i="39"/>
  <c r="B59" i="39"/>
  <c r="A59" i="39"/>
  <c r="E58" i="39"/>
  <c r="C58" i="39"/>
  <c r="B58" i="39"/>
  <c r="A58" i="39"/>
  <c r="E57" i="39"/>
  <c r="C57" i="39"/>
  <c r="B57" i="39"/>
  <c r="A57" i="39"/>
  <c r="E56" i="39"/>
  <c r="C56" i="39"/>
  <c r="B56" i="39"/>
  <c r="A56" i="39"/>
  <c r="E55" i="39"/>
  <c r="C55" i="39"/>
  <c r="B55" i="39"/>
  <c r="A55" i="39"/>
  <c r="C54" i="39"/>
  <c r="B54" i="39"/>
  <c r="A54" i="39"/>
  <c r="E53" i="39"/>
  <c r="C53" i="39"/>
  <c r="B53" i="39"/>
  <c r="A53" i="39"/>
  <c r="E52" i="39"/>
  <c r="C52" i="39"/>
  <c r="B52" i="39"/>
  <c r="A52" i="39"/>
  <c r="C51" i="39"/>
  <c r="B51" i="39"/>
  <c r="A51" i="39"/>
  <c r="E50" i="39"/>
  <c r="C50" i="39"/>
  <c r="B50" i="39"/>
  <c r="A50" i="39"/>
  <c r="C49" i="39"/>
  <c r="B49" i="39"/>
  <c r="A49" i="39"/>
  <c r="E48" i="39"/>
  <c r="C48" i="39"/>
  <c r="B48" i="39"/>
  <c r="A48" i="39"/>
  <c r="E47" i="39"/>
  <c r="C47" i="39"/>
  <c r="B47" i="39"/>
  <c r="A47" i="39"/>
  <c r="C46" i="39"/>
  <c r="B46" i="39"/>
  <c r="A46" i="39"/>
  <c r="E45" i="39"/>
  <c r="C45" i="39"/>
  <c r="B45" i="39"/>
  <c r="A45" i="39"/>
  <c r="E44" i="39"/>
  <c r="C44" i="39"/>
  <c r="B44" i="39"/>
  <c r="A44" i="39"/>
  <c r="C43" i="39"/>
  <c r="B43" i="39"/>
  <c r="A43" i="39"/>
  <c r="C42" i="39"/>
  <c r="B42" i="39"/>
  <c r="A42" i="39"/>
  <c r="E41" i="39"/>
  <c r="C41" i="39"/>
  <c r="B41" i="39"/>
  <c r="A41" i="39"/>
  <c r="E40" i="39"/>
  <c r="C40" i="39"/>
  <c r="B40" i="39"/>
  <c r="A40" i="39"/>
  <c r="C39" i="39"/>
  <c r="B39" i="39"/>
  <c r="A39" i="39"/>
  <c r="E38" i="39"/>
  <c r="C38" i="39"/>
  <c r="B38" i="39"/>
  <c r="A38" i="39"/>
  <c r="E37" i="39"/>
  <c r="C37" i="39"/>
  <c r="B37" i="39"/>
  <c r="A37" i="39"/>
  <c r="E36" i="39"/>
  <c r="C36" i="39"/>
  <c r="B36" i="39"/>
  <c r="A36" i="39"/>
  <c r="E35" i="39"/>
  <c r="C35" i="39"/>
  <c r="B35" i="39"/>
  <c r="A35" i="39"/>
  <c r="E34" i="39"/>
  <c r="C34" i="39"/>
  <c r="B34" i="39"/>
  <c r="A34" i="39"/>
  <c r="E33" i="39"/>
  <c r="C33" i="39"/>
  <c r="B33" i="39"/>
  <c r="A33" i="39"/>
  <c r="C32" i="39"/>
  <c r="B32" i="39"/>
  <c r="A32" i="39"/>
  <c r="E31" i="39"/>
  <c r="C31" i="39"/>
  <c r="B31" i="39"/>
  <c r="A31" i="39"/>
  <c r="E30" i="39"/>
  <c r="C30" i="39"/>
  <c r="B30" i="39"/>
  <c r="A30" i="39"/>
  <c r="C29" i="39"/>
  <c r="B29" i="39"/>
  <c r="A29" i="39"/>
  <c r="E28" i="39"/>
  <c r="C28" i="39"/>
  <c r="B28" i="39"/>
  <c r="A28" i="39"/>
  <c r="E27" i="39"/>
  <c r="C27" i="39"/>
  <c r="B27" i="39"/>
  <c r="A27" i="39"/>
  <c r="E26" i="39"/>
  <c r="C26" i="39"/>
  <c r="B26" i="39"/>
  <c r="A26" i="39"/>
  <c r="E25" i="39"/>
  <c r="C25" i="39"/>
  <c r="B25" i="39"/>
  <c r="A25" i="39"/>
  <c r="E24" i="39"/>
  <c r="C24" i="39"/>
  <c r="B24" i="39"/>
  <c r="A24" i="39"/>
  <c r="E23" i="39"/>
  <c r="C23" i="39"/>
  <c r="B23" i="39"/>
  <c r="A23" i="39"/>
  <c r="E22" i="39"/>
  <c r="C22" i="39"/>
  <c r="B22" i="39"/>
  <c r="A22" i="39"/>
  <c r="E21" i="39"/>
  <c r="C21" i="39"/>
  <c r="B21" i="39"/>
  <c r="A21" i="39"/>
  <c r="E20" i="39"/>
  <c r="C20" i="39"/>
  <c r="B20" i="39"/>
  <c r="A20" i="39"/>
  <c r="E19" i="39"/>
  <c r="C19" i="39"/>
  <c r="B19" i="39"/>
  <c r="A19" i="39"/>
  <c r="C18" i="39"/>
  <c r="B18" i="39"/>
  <c r="A18" i="39"/>
  <c r="E17" i="39"/>
  <c r="C17" i="39"/>
  <c r="B17" i="39"/>
  <c r="A17" i="39"/>
  <c r="E16" i="39"/>
  <c r="C16" i="39"/>
  <c r="B16" i="39"/>
  <c r="A16" i="39"/>
  <c r="E15" i="39"/>
  <c r="C15" i="39"/>
  <c r="B15" i="39"/>
  <c r="A15" i="39"/>
  <c r="C14" i="39"/>
  <c r="B14" i="39"/>
  <c r="A14" i="39"/>
  <c r="E13" i="39"/>
  <c r="C13" i="39"/>
  <c r="B13" i="39"/>
  <c r="A13" i="39"/>
  <c r="E12" i="39"/>
  <c r="C12" i="39"/>
  <c r="B12" i="39"/>
  <c r="A12" i="39"/>
  <c r="C11" i="39"/>
  <c r="B11" i="39"/>
  <c r="A11" i="39"/>
  <c r="C10" i="39"/>
  <c r="B10" i="39"/>
  <c r="A10" i="39"/>
  <c r="E155" i="38"/>
  <c r="C155" i="38"/>
  <c r="B155" i="38"/>
  <c r="A155" i="38"/>
  <c r="C154" i="38"/>
  <c r="B154" i="38"/>
  <c r="A154" i="38"/>
  <c r="E153" i="38"/>
  <c r="C153" i="38"/>
  <c r="B153" i="38"/>
  <c r="A153" i="38"/>
  <c r="C152" i="38"/>
  <c r="B152" i="38"/>
  <c r="A152" i="38"/>
  <c r="E151" i="38"/>
  <c r="C151" i="38"/>
  <c r="B151" i="38"/>
  <c r="A151" i="38"/>
  <c r="C150" i="38"/>
  <c r="B150" i="38"/>
  <c r="A150" i="38"/>
  <c r="E149" i="38"/>
  <c r="C149" i="38"/>
  <c r="B149" i="38"/>
  <c r="A149" i="38"/>
  <c r="C148" i="38"/>
  <c r="B148" i="38"/>
  <c r="A148" i="38"/>
  <c r="E147" i="38"/>
  <c r="C147" i="38"/>
  <c r="B147" i="38"/>
  <c r="A147" i="38"/>
  <c r="C146" i="38"/>
  <c r="B146" i="38"/>
  <c r="A146" i="38"/>
  <c r="E145" i="38"/>
  <c r="C145" i="38"/>
  <c r="B145" i="38"/>
  <c r="A145" i="38"/>
  <c r="C144" i="38"/>
  <c r="B144" i="38"/>
  <c r="A144" i="38"/>
  <c r="E143" i="38"/>
  <c r="C143" i="38"/>
  <c r="B143" i="38"/>
  <c r="A143" i="38"/>
  <c r="C142" i="38"/>
  <c r="B142" i="38"/>
  <c r="A142" i="38"/>
  <c r="E141" i="38"/>
  <c r="C141" i="38"/>
  <c r="B141" i="38"/>
  <c r="A141" i="38"/>
  <c r="C140" i="38"/>
  <c r="B140" i="38"/>
  <c r="A140" i="38"/>
  <c r="E139" i="38"/>
  <c r="C139" i="38"/>
  <c r="B139" i="38"/>
  <c r="A139" i="38"/>
  <c r="E138" i="38"/>
  <c r="C138" i="38"/>
  <c r="B138" i="38"/>
  <c r="A138" i="38"/>
  <c r="E137" i="38"/>
  <c r="C137" i="38"/>
  <c r="B137" i="38"/>
  <c r="A137" i="38"/>
  <c r="E136" i="38"/>
  <c r="C136" i="38"/>
  <c r="B136" i="38"/>
  <c r="A136" i="38"/>
  <c r="E135" i="38"/>
  <c r="C135" i="38"/>
  <c r="B135" i="38"/>
  <c r="A135" i="38"/>
  <c r="E134" i="38"/>
  <c r="C134" i="38"/>
  <c r="B134" i="38"/>
  <c r="A134" i="38"/>
  <c r="E133" i="38"/>
  <c r="C133" i="38"/>
  <c r="B133" i="38"/>
  <c r="A133" i="38"/>
  <c r="E132" i="38"/>
  <c r="C132" i="38"/>
  <c r="B132" i="38"/>
  <c r="A132" i="38"/>
  <c r="C131" i="38"/>
  <c r="B131" i="38"/>
  <c r="A131" i="38"/>
  <c r="E130" i="38"/>
  <c r="C130" i="38"/>
  <c r="B130" i="38"/>
  <c r="A130" i="38"/>
  <c r="E129" i="38"/>
  <c r="C129" i="38"/>
  <c r="B129" i="38"/>
  <c r="A129" i="38"/>
  <c r="E128" i="38"/>
  <c r="C128" i="38"/>
  <c r="B128" i="38"/>
  <c r="A128" i="38"/>
  <c r="E127" i="38"/>
  <c r="C127" i="38"/>
  <c r="B127" i="38"/>
  <c r="A127" i="38"/>
  <c r="E126" i="38"/>
  <c r="C126" i="38"/>
  <c r="B126" i="38"/>
  <c r="A126" i="38"/>
  <c r="E125" i="38"/>
  <c r="C125" i="38"/>
  <c r="B125" i="38"/>
  <c r="A125" i="38"/>
  <c r="E124" i="38"/>
  <c r="C124" i="38"/>
  <c r="B124" i="38"/>
  <c r="A124" i="38"/>
  <c r="C123" i="38"/>
  <c r="B123" i="38"/>
  <c r="A123" i="38"/>
  <c r="C122" i="38"/>
  <c r="B122" i="38"/>
  <c r="A122" i="38"/>
  <c r="E121" i="38"/>
  <c r="C121" i="38"/>
  <c r="B121" i="38"/>
  <c r="A121" i="38"/>
  <c r="E120" i="38"/>
  <c r="C120" i="38"/>
  <c r="B120" i="38"/>
  <c r="A120" i="38"/>
  <c r="E119" i="38"/>
  <c r="C119" i="38"/>
  <c r="B119" i="38"/>
  <c r="A119" i="38"/>
  <c r="E118" i="38"/>
  <c r="C118" i="38"/>
  <c r="B118" i="38"/>
  <c r="A118" i="38"/>
  <c r="E117" i="38"/>
  <c r="C117" i="38"/>
  <c r="B117" i="38"/>
  <c r="A117" i="38"/>
  <c r="E116" i="38"/>
  <c r="C116" i="38"/>
  <c r="B116" i="38"/>
  <c r="A116" i="38"/>
  <c r="C115" i="38"/>
  <c r="B115" i="38"/>
  <c r="A115" i="38"/>
  <c r="C114" i="38"/>
  <c r="A157" i="38" s="1"/>
  <c r="B114" i="38"/>
  <c r="A114" i="38"/>
  <c r="E113" i="38"/>
  <c r="C113" i="38"/>
  <c r="B113" i="38"/>
  <c r="A113" i="38"/>
  <c r="E112" i="38"/>
  <c r="C112" i="38"/>
  <c r="B112" i="38"/>
  <c r="A112" i="38"/>
  <c r="E111" i="38"/>
  <c r="C111" i="38"/>
  <c r="B111" i="38"/>
  <c r="A111" i="38"/>
  <c r="E110" i="38"/>
  <c r="C110" i="38"/>
  <c r="B110" i="38"/>
  <c r="A110" i="38"/>
  <c r="C109" i="38"/>
  <c r="B109" i="38"/>
  <c r="A109" i="38"/>
  <c r="E108" i="38"/>
  <c r="C108" i="38"/>
  <c r="B108" i="38"/>
  <c r="A108" i="38"/>
  <c r="C107" i="38"/>
  <c r="B107" i="38"/>
  <c r="A107" i="38"/>
  <c r="E106" i="38"/>
  <c r="C106" i="38"/>
  <c r="B106" i="38"/>
  <c r="A106" i="38"/>
  <c r="E105" i="38"/>
  <c r="C105" i="38"/>
  <c r="B105" i="38"/>
  <c r="A105" i="38"/>
  <c r="E104" i="38"/>
  <c r="C104" i="38"/>
  <c r="B104" i="38"/>
  <c r="A104" i="38"/>
  <c r="E103" i="38"/>
  <c r="C103" i="38"/>
  <c r="B103" i="38"/>
  <c r="A103" i="38"/>
  <c r="E102" i="38"/>
  <c r="C102" i="38"/>
  <c r="B102" i="38"/>
  <c r="A102" i="38"/>
  <c r="E101" i="38"/>
  <c r="C101" i="38"/>
  <c r="B101" i="38"/>
  <c r="A101" i="38"/>
  <c r="E100" i="38"/>
  <c r="C100" i="38"/>
  <c r="B100" i="38"/>
  <c r="A100" i="38"/>
  <c r="E99" i="38"/>
  <c r="C99" i="38"/>
  <c r="B99" i="38"/>
  <c r="A99" i="38"/>
  <c r="C98" i="38"/>
  <c r="B98" i="38"/>
  <c r="A98" i="38"/>
  <c r="E97" i="38"/>
  <c r="C97" i="38"/>
  <c r="B97" i="38"/>
  <c r="A97" i="38"/>
  <c r="E96" i="38"/>
  <c r="C96" i="38"/>
  <c r="B96" i="38"/>
  <c r="A96" i="38"/>
  <c r="C95" i="38"/>
  <c r="B95" i="38"/>
  <c r="A95" i="38"/>
  <c r="E94" i="38"/>
  <c r="C94" i="38"/>
  <c r="B94" i="38"/>
  <c r="A94" i="38"/>
  <c r="C93" i="38"/>
  <c r="B93" i="38"/>
  <c r="A93" i="38"/>
  <c r="E92" i="38"/>
  <c r="C92" i="38"/>
  <c r="B92" i="38"/>
  <c r="A92" i="38"/>
  <c r="C91" i="38"/>
  <c r="B91" i="38"/>
  <c r="A91" i="38"/>
  <c r="C90" i="38"/>
  <c r="B90" i="38"/>
  <c r="A90" i="38"/>
  <c r="E89" i="38"/>
  <c r="C89" i="38"/>
  <c r="B89" i="38"/>
  <c r="A89" i="38"/>
  <c r="E88" i="38"/>
  <c r="C88" i="38"/>
  <c r="B88" i="38"/>
  <c r="A88" i="38"/>
  <c r="E87" i="38"/>
  <c r="C87" i="38"/>
  <c r="B87" i="38"/>
  <c r="A87" i="38"/>
  <c r="E86" i="38"/>
  <c r="C86" i="38"/>
  <c r="B86" i="38"/>
  <c r="A86" i="38"/>
  <c r="E85" i="38"/>
  <c r="C85" i="38"/>
  <c r="B85" i="38"/>
  <c r="A85" i="38"/>
  <c r="E84" i="38"/>
  <c r="C84" i="38"/>
  <c r="B84" i="38"/>
  <c r="A84" i="38"/>
  <c r="E83" i="38"/>
  <c r="C83" i="38"/>
  <c r="B83" i="38"/>
  <c r="A83" i="38"/>
  <c r="C82" i="38"/>
  <c r="B82" i="38"/>
  <c r="A82" i="38"/>
  <c r="E81" i="38"/>
  <c r="C81" i="38"/>
  <c r="B81" i="38"/>
  <c r="A81" i="38"/>
  <c r="C80" i="38"/>
  <c r="B80" i="38"/>
  <c r="A80" i="38"/>
  <c r="C79" i="38"/>
  <c r="B79" i="38"/>
  <c r="A79" i="38"/>
  <c r="E78" i="38"/>
  <c r="C78" i="38"/>
  <c r="B78" i="38"/>
  <c r="A78" i="38"/>
  <c r="G77" i="38"/>
  <c r="E77" i="38"/>
  <c r="C77" i="38"/>
  <c r="B77" i="38"/>
  <c r="A77" i="38"/>
  <c r="E76" i="38"/>
  <c r="C76" i="38"/>
  <c r="B76" i="38"/>
  <c r="A76" i="38"/>
  <c r="E75" i="38"/>
  <c r="C75" i="38"/>
  <c r="B75" i="38"/>
  <c r="A75" i="38"/>
  <c r="E74" i="38"/>
  <c r="C74" i="38"/>
  <c r="B74" i="38"/>
  <c r="A74" i="38"/>
  <c r="E73" i="38"/>
  <c r="C73" i="38"/>
  <c r="B73" i="38"/>
  <c r="A73" i="38"/>
  <c r="C72" i="38"/>
  <c r="B72" i="38"/>
  <c r="A72" i="38"/>
  <c r="E71" i="38"/>
  <c r="C71" i="38"/>
  <c r="B71" i="38"/>
  <c r="A71" i="38"/>
  <c r="E70" i="38"/>
  <c r="C70" i="38"/>
  <c r="B70" i="38"/>
  <c r="A70" i="38"/>
  <c r="E69" i="38"/>
  <c r="C69" i="38"/>
  <c r="B69" i="38"/>
  <c r="A69" i="38"/>
  <c r="E68" i="38"/>
  <c r="C68" i="38"/>
  <c r="B68" i="38"/>
  <c r="A68" i="38"/>
  <c r="C67" i="38"/>
  <c r="B67" i="38"/>
  <c r="A67" i="38"/>
  <c r="E66" i="38"/>
  <c r="C66" i="38"/>
  <c r="B66" i="38"/>
  <c r="A66" i="38"/>
  <c r="E65" i="38"/>
  <c r="C65" i="38"/>
  <c r="B65" i="38"/>
  <c r="A65" i="38"/>
  <c r="E64" i="38"/>
  <c r="C64" i="38"/>
  <c r="B64" i="38"/>
  <c r="A64" i="38"/>
  <c r="E63" i="38"/>
  <c r="C63" i="38"/>
  <c r="B63" i="38"/>
  <c r="A63" i="38"/>
  <c r="E62" i="38"/>
  <c r="C62" i="38"/>
  <c r="B62" i="38"/>
  <c r="A62" i="38"/>
  <c r="C61" i="38"/>
  <c r="B61" i="38"/>
  <c r="A61" i="38"/>
  <c r="E60" i="38"/>
  <c r="C60" i="38"/>
  <c r="B60" i="38"/>
  <c r="A60" i="38"/>
  <c r="E59" i="38"/>
  <c r="C59" i="38"/>
  <c r="B59" i="38"/>
  <c r="A59" i="38"/>
  <c r="E58" i="38"/>
  <c r="C58" i="38"/>
  <c r="B58" i="38"/>
  <c r="A58" i="38"/>
  <c r="E57" i="38"/>
  <c r="C57" i="38"/>
  <c r="B57" i="38"/>
  <c r="A57" i="38"/>
  <c r="E56" i="38"/>
  <c r="C56" i="38"/>
  <c r="B56" i="38"/>
  <c r="A56" i="38"/>
  <c r="E55" i="38"/>
  <c r="C55" i="38"/>
  <c r="B55" i="38"/>
  <c r="A55" i="38"/>
  <c r="C54" i="38"/>
  <c r="B54" i="38"/>
  <c r="A54" i="38"/>
  <c r="E53" i="38"/>
  <c r="C53" i="38"/>
  <c r="B53" i="38"/>
  <c r="A53" i="38"/>
  <c r="E52" i="38"/>
  <c r="C52" i="38"/>
  <c r="B52" i="38"/>
  <c r="A52" i="38"/>
  <c r="C51" i="38"/>
  <c r="B51" i="38"/>
  <c r="A51" i="38"/>
  <c r="E50" i="38"/>
  <c r="C50" i="38"/>
  <c r="B50" i="38"/>
  <c r="A50" i="38"/>
  <c r="C49" i="38"/>
  <c r="B49" i="38"/>
  <c r="A49" i="38"/>
  <c r="E48" i="38"/>
  <c r="C48" i="38"/>
  <c r="B48" i="38"/>
  <c r="A48" i="38"/>
  <c r="E47" i="38"/>
  <c r="C47" i="38"/>
  <c r="B47" i="38"/>
  <c r="A47" i="38"/>
  <c r="C46" i="38"/>
  <c r="B46" i="38"/>
  <c r="A46" i="38"/>
  <c r="E45" i="38"/>
  <c r="C45" i="38"/>
  <c r="B45" i="38"/>
  <c r="A45" i="38"/>
  <c r="E44" i="38"/>
  <c r="C44" i="38"/>
  <c r="B44" i="38"/>
  <c r="A44" i="38"/>
  <c r="C43" i="38"/>
  <c r="B43" i="38"/>
  <c r="A43" i="38"/>
  <c r="C42" i="38"/>
  <c r="B42" i="38"/>
  <c r="A42" i="38"/>
  <c r="E41" i="38"/>
  <c r="C41" i="38"/>
  <c r="B41" i="38"/>
  <c r="A41" i="38"/>
  <c r="E40" i="38"/>
  <c r="C40" i="38"/>
  <c r="B40" i="38"/>
  <c r="A40" i="38"/>
  <c r="C39" i="38"/>
  <c r="B39" i="38"/>
  <c r="A39" i="38"/>
  <c r="E38" i="38"/>
  <c r="C38" i="38"/>
  <c r="B38" i="38"/>
  <c r="A38" i="38"/>
  <c r="E37" i="38"/>
  <c r="C37" i="38"/>
  <c r="B37" i="38"/>
  <c r="A37" i="38"/>
  <c r="E36" i="38"/>
  <c r="C36" i="38"/>
  <c r="B36" i="38"/>
  <c r="A36" i="38"/>
  <c r="E35" i="38"/>
  <c r="C35" i="38"/>
  <c r="B35" i="38"/>
  <c r="A35" i="38"/>
  <c r="E34" i="38"/>
  <c r="C34" i="38"/>
  <c r="B34" i="38"/>
  <c r="A34" i="38"/>
  <c r="E33" i="38"/>
  <c r="C33" i="38"/>
  <c r="B33" i="38"/>
  <c r="A33" i="38"/>
  <c r="C32" i="38"/>
  <c r="B32" i="38"/>
  <c r="A32" i="38"/>
  <c r="E31" i="38"/>
  <c r="C31" i="38"/>
  <c r="B31" i="38"/>
  <c r="A31" i="38"/>
  <c r="E30" i="38"/>
  <c r="C30" i="38"/>
  <c r="B30" i="38"/>
  <c r="A30" i="38"/>
  <c r="C29" i="38"/>
  <c r="B29" i="38"/>
  <c r="A29" i="38"/>
  <c r="E28" i="38"/>
  <c r="C28" i="38"/>
  <c r="B28" i="38"/>
  <c r="A28" i="38"/>
  <c r="E27" i="38"/>
  <c r="C27" i="38"/>
  <c r="B27" i="38"/>
  <c r="A27" i="38"/>
  <c r="E26" i="38"/>
  <c r="C26" i="38"/>
  <c r="B26" i="38"/>
  <c r="A26" i="38"/>
  <c r="E25" i="38"/>
  <c r="C25" i="38"/>
  <c r="B25" i="38"/>
  <c r="A25" i="38"/>
  <c r="E24" i="38"/>
  <c r="C24" i="38"/>
  <c r="B24" i="38"/>
  <c r="A24" i="38"/>
  <c r="E23" i="38"/>
  <c r="C23" i="38"/>
  <c r="B23" i="38"/>
  <c r="A23" i="38"/>
  <c r="E22" i="38"/>
  <c r="C22" i="38"/>
  <c r="B22" i="38"/>
  <c r="A22" i="38"/>
  <c r="E21" i="38"/>
  <c r="C21" i="38"/>
  <c r="B21" i="38"/>
  <c r="A21" i="38"/>
  <c r="E20" i="38"/>
  <c r="C20" i="38"/>
  <c r="B20" i="38"/>
  <c r="A20" i="38"/>
  <c r="E19" i="38"/>
  <c r="C19" i="38"/>
  <c r="B19" i="38"/>
  <c r="A19" i="38"/>
  <c r="C18" i="38"/>
  <c r="B18" i="38"/>
  <c r="A18" i="38"/>
  <c r="E17" i="38"/>
  <c r="C17" i="38"/>
  <c r="B17" i="38"/>
  <c r="A17" i="38"/>
  <c r="E16" i="38"/>
  <c r="C16" i="38"/>
  <c r="B16" i="38"/>
  <c r="A16" i="38"/>
  <c r="E15" i="38"/>
  <c r="C15" i="38"/>
  <c r="B15" i="38"/>
  <c r="A15" i="38"/>
  <c r="C14" i="38"/>
  <c r="B14" i="38"/>
  <c r="A14" i="38"/>
  <c r="E13" i="38"/>
  <c r="C13" i="38"/>
  <c r="B13" i="38"/>
  <c r="A13" i="38"/>
  <c r="E12" i="38"/>
  <c r="C12" i="38"/>
  <c r="B12" i="38"/>
  <c r="A12" i="38"/>
  <c r="C11" i="38"/>
  <c r="B11" i="38"/>
  <c r="A11" i="38"/>
  <c r="C10" i="38"/>
  <c r="B10" i="38"/>
  <c r="A10" i="38"/>
  <c r="E155" i="37"/>
  <c r="C155" i="37"/>
  <c r="B155" i="37"/>
  <c r="A155" i="37"/>
  <c r="C154" i="37"/>
  <c r="B154" i="37"/>
  <c r="A154" i="37"/>
  <c r="E153" i="37"/>
  <c r="C153" i="37"/>
  <c r="B153" i="37"/>
  <c r="A153" i="37"/>
  <c r="C152" i="37"/>
  <c r="B152" i="37"/>
  <c r="A152" i="37"/>
  <c r="E151" i="37"/>
  <c r="C151" i="37"/>
  <c r="B151" i="37"/>
  <c r="A151" i="37"/>
  <c r="C150" i="37"/>
  <c r="B150" i="37"/>
  <c r="A150" i="37"/>
  <c r="E149" i="37"/>
  <c r="C149" i="37"/>
  <c r="B149" i="37"/>
  <c r="A149" i="37"/>
  <c r="C148" i="37"/>
  <c r="B148" i="37"/>
  <c r="A148" i="37"/>
  <c r="E147" i="37"/>
  <c r="C147" i="37"/>
  <c r="B147" i="37"/>
  <c r="A147" i="37"/>
  <c r="C146" i="37"/>
  <c r="B146" i="37"/>
  <c r="A146" i="37"/>
  <c r="E145" i="37"/>
  <c r="C145" i="37"/>
  <c r="B145" i="37"/>
  <c r="A145" i="37"/>
  <c r="C144" i="37"/>
  <c r="B144" i="37"/>
  <c r="A144" i="37"/>
  <c r="E143" i="37"/>
  <c r="C143" i="37"/>
  <c r="B143" i="37"/>
  <c r="A143" i="37"/>
  <c r="C142" i="37"/>
  <c r="B142" i="37"/>
  <c r="A142" i="37"/>
  <c r="E141" i="37"/>
  <c r="C141" i="37"/>
  <c r="B141" i="37"/>
  <c r="A141" i="37"/>
  <c r="C140" i="37"/>
  <c r="B140" i="37"/>
  <c r="A140" i="37"/>
  <c r="E139" i="37"/>
  <c r="C139" i="37"/>
  <c r="B139" i="37"/>
  <c r="A139" i="37"/>
  <c r="E138" i="37"/>
  <c r="C138" i="37"/>
  <c r="B138" i="37"/>
  <c r="A138" i="37"/>
  <c r="E137" i="37"/>
  <c r="C137" i="37"/>
  <c r="B137" i="37"/>
  <c r="A137" i="37"/>
  <c r="E136" i="37"/>
  <c r="C136" i="37"/>
  <c r="B136" i="37"/>
  <c r="A136" i="37"/>
  <c r="E135" i="37"/>
  <c r="C135" i="37"/>
  <c r="B135" i="37"/>
  <c r="A135" i="37"/>
  <c r="E134" i="37"/>
  <c r="C134" i="37"/>
  <c r="B134" i="37"/>
  <c r="A134" i="37"/>
  <c r="E133" i="37"/>
  <c r="C133" i="37"/>
  <c r="B133" i="37"/>
  <c r="A133" i="37"/>
  <c r="E132" i="37"/>
  <c r="C132" i="37"/>
  <c r="B132" i="37"/>
  <c r="A132" i="37"/>
  <c r="C131" i="37"/>
  <c r="B131" i="37"/>
  <c r="A131" i="37"/>
  <c r="E130" i="37"/>
  <c r="C130" i="37"/>
  <c r="B130" i="37"/>
  <c r="A130" i="37"/>
  <c r="E129" i="37"/>
  <c r="C129" i="37"/>
  <c r="B129" i="37"/>
  <c r="A129" i="37"/>
  <c r="E128" i="37"/>
  <c r="C128" i="37"/>
  <c r="B128" i="37"/>
  <c r="A128" i="37"/>
  <c r="E127" i="37"/>
  <c r="C127" i="37"/>
  <c r="B127" i="37"/>
  <c r="A127" i="37"/>
  <c r="E126" i="37"/>
  <c r="C126" i="37"/>
  <c r="B126" i="37"/>
  <c r="A126" i="37"/>
  <c r="E125" i="37"/>
  <c r="C125" i="37"/>
  <c r="B125" i="37"/>
  <c r="A125" i="37"/>
  <c r="E124" i="37"/>
  <c r="C124" i="37"/>
  <c r="B124" i="37"/>
  <c r="A124" i="37"/>
  <c r="C123" i="37"/>
  <c r="B123" i="37"/>
  <c r="A123" i="37"/>
  <c r="C122" i="37"/>
  <c r="B122" i="37"/>
  <c r="A122" i="37"/>
  <c r="E121" i="37"/>
  <c r="C121" i="37"/>
  <c r="B121" i="37"/>
  <c r="A121" i="37"/>
  <c r="E120" i="37"/>
  <c r="C120" i="37"/>
  <c r="B120" i="37"/>
  <c r="A120" i="37"/>
  <c r="E119" i="37"/>
  <c r="C119" i="37"/>
  <c r="B119" i="37"/>
  <c r="A119" i="37"/>
  <c r="E118" i="37"/>
  <c r="C118" i="37"/>
  <c r="B118" i="37"/>
  <c r="A118" i="37"/>
  <c r="E117" i="37"/>
  <c r="C117" i="37"/>
  <c r="B117" i="37"/>
  <c r="A117" i="37"/>
  <c r="E116" i="37"/>
  <c r="C116" i="37"/>
  <c r="B116" i="37"/>
  <c r="A116" i="37"/>
  <c r="C115" i="37"/>
  <c r="B115" i="37"/>
  <c r="A115" i="37"/>
  <c r="C114" i="37"/>
  <c r="B114" i="37"/>
  <c r="A114" i="37"/>
  <c r="E113" i="37"/>
  <c r="C113" i="37"/>
  <c r="B113" i="37"/>
  <c r="A113" i="37"/>
  <c r="E112" i="37"/>
  <c r="C112" i="37"/>
  <c r="B112" i="37"/>
  <c r="A112" i="37"/>
  <c r="E111" i="37"/>
  <c r="C111" i="37"/>
  <c r="B111" i="37"/>
  <c r="A111" i="37"/>
  <c r="E110" i="37"/>
  <c r="C110" i="37"/>
  <c r="B110" i="37"/>
  <c r="A110" i="37"/>
  <c r="C109" i="37"/>
  <c r="B109" i="37"/>
  <c r="A109" i="37"/>
  <c r="E108" i="37"/>
  <c r="C108" i="37"/>
  <c r="B108" i="37"/>
  <c r="A108" i="37"/>
  <c r="C107" i="37"/>
  <c r="B107" i="37"/>
  <c r="A107" i="37"/>
  <c r="E106" i="37"/>
  <c r="C106" i="37"/>
  <c r="B106" i="37"/>
  <c r="A106" i="37"/>
  <c r="E105" i="37"/>
  <c r="C105" i="37"/>
  <c r="B105" i="37"/>
  <c r="A105" i="37"/>
  <c r="E104" i="37"/>
  <c r="C104" i="37"/>
  <c r="B104" i="37"/>
  <c r="A104" i="37"/>
  <c r="E103" i="37"/>
  <c r="C103" i="37"/>
  <c r="B103" i="37"/>
  <c r="A103" i="37"/>
  <c r="E102" i="37"/>
  <c r="C102" i="37"/>
  <c r="B102" i="37"/>
  <c r="A102" i="37"/>
  <c r="E101" i="37"/>
  <c r="C101" i="37"/>
  <c r="B101" i="37"/>
  <c r="A101" i="37"/>
  <c r="E100" i="37"/>
  <c r="C100" i="37"/>
  <c r="B100" i="37"/>
  <c r="A100" i="37"/>
  <c r="E99" i="37"/>
  <c r="C99" i="37"/>
  <c r="B99" i="37"/>
  <c r="A99" i="37"/>
  <c r="C98" i="37"/>
  <c r="B98" i="37"/>
  <c r="A98" i="37"/>
  <c r="E97" i="37"/>
  <c r="C97" i="37"/>
  <c r="B97" i="37"/>
  <c r="A97" i="37"/>
  <c r="E96" i="37"/>
  <c r="C96" i="37"/>
  <c r="B96" i="37"/>
  <c r="A96" i="37"/>
  <c r="C95" i="37"/>
  <c r="B95" i="37"/>
  <c r="A95" i="37"/>
  <c r="E94" i="37"/>
  <c r="C94" i="37"/>
  <c r="B94" i="37"/>
  <c r="A94" i="37"/>
  <c r="C93" i="37"/>
  <c r="B93" i="37"/>
  <c r="A93" i="37"/>
  <c r="E92" i="37"/>
  <c r="C92" i="37"/>
  <c r="B92" i="37"/>
  <c r="A92" i="37"/>
  <c r="C91" i="37"/>
  <c r="B91" i="37"/>
  <c r="A91" i="37"/>
  <c r="C90" i="37"/>
  <c r="A157" i="37" s="1"/>
  <c r="B90" i="37"/>
  <c r="A90" i="37"/>
  <c r="E89" i="37"/>
  <c r="C89" i="37"/>
  <c r="B89" i="37"/>
  <c r="A89" i="37"/>
  <c r="E88" i="37"/>
  <c r="C88" i="37"/>
  <c r="B88" i="37"/>
  <c r="A88" i="37"/>
  <c r="E87" i="37"/>
  <c r="C87" i="37"/>
  <c r="B87" i="37"/>
  <c r="A87" i="37"/>
  <c r="E86" i="37"/>
  <c r="C86" i="37"/>
  <c r="B86" i="37"/>
  <c r="A86" i="37"/>
  <c r="E85" i="37"/>
  <c r="C85" i="37"/>
  <c r="B85" i="37"/>
  <c r="A85" i="37"/>
  <c r="E84" i="37"/>
  <c r="C84" i="37"/>
  <c r="B84" i="37"/>
  <c r="A84" i="37"/>
  <c r="E83" i="37"/>
  <c r="C83" i="37"/>
  <c r="B83" i="37"/>
  <c r="A83" i="37"/>
  <c r="C82" i="37"/>
  <c r="B82" i="37"/>
  <c r="A82" i="37"/>
  <c r="E81" i="37"/>
  <c r="C81" i="37"/>
  <c r="B81" i="37"/>
  <c r="A81" i="37"/>
  <c r="C80" i="37"/>
  <c r="B80" i="37"/>
  <c r="A80" i="37"/>
  <c r="C79" i="37"/>
  <c r="B79" i="37"/>
  <c r="A79" i="37"/>
  <c r="E78" i="37"/>
  <c r="C78" i="37"/>
  <c r="B78" i="37"/>
  <c r="A78" i="37"/>
  <c r="G77" i="37"/>
  <c r="E77" i="37"/>
  <c r="C77" i="37"/>
  <c r="B77" i="37"/>
  <c r="A77" i="37"/>
  <c r="E76" i="37"/>
  <c r="C76" i="37"/>
  <c r="B76" i="37"/>
  <c r="A76" i="37"/>
  <c r="E75" i="37"/>
  <c r="C75" i="37"/>
  <c r="B75" i="37"/>
  <c r="A75" i="37"/>
  <c r="E74" i="37"/>
  <c r="C74" i="37"/>
  <c r="B74" i="37"/>
  <c r="A74" i="37"/>
  <c r="E73" i="37"/>
  <c r="C73" i="37"/>
  <c r="B73" i="37"/>
  <c r="A73" i="37"/>
  <c r="C72" i="37"/>
  <c r="B72" i="37"/>
  <c r="A72" i="37"/>
  <c r="E71" i="37"/>
  <c r="C71" i="37"/>
  <c r="B71" i="37"/>
  <c r="A71" i="37"/>
  <c r="E70" i="37"/>
  <c r="C70" i="37"/>
  <c r="B70" i="37"/>
  <c r="A70" i="37"/>
  <c r="E69" i="37"/>
  <c r="C69" i="37"/>
  <c r="B69" i="37"/>
  <c r="A69" i="37"/>
  <c r="E68" i="37"/>
  <c r="C68" i="37"/>
  <c r="B68" i="37"/>
  <c r="A68" i="37"/>
  <c r="C67" i="37"/>
  <c r="B67" i="37"/>
  <c r="A67" i="37"/>
  <c r="E66" i="37"/>
  <c r="C66" i="37"/>
  <c r="B66" i="37"/>
  <c r="A66" i="37"/>
  <c r="E65" i="37"/>
  <c r="C65" i="37"/>
  <c r="B65" i="37"/>
  <c r="A65" i="37"/>
  <c r="E64" i="37"/>
  <c r="C64" i="37"/>
  <c r="B64" i="37"/>
  <c r="A64" i="37"/>
  <c r="E63" i="37"/>
  <c r="C63" i="37"/>
  <c r="B63" i="37"/>
  <c r="A63" i="37"/>
  <c r="E62" i="37"/>
  <c r="C62" i="37"/>
  <c r="B62" i="37"/>
  <c r="A62" i="37"/>
  <c r="C61" i="37"/>
  <c r="B61" i="37"/>
  <c r="A61" i="37"/>
  <c r="E60" i="37"/>
  <c r="C60" i="37"/>
  <c r="B60" i="37"/>
  <c r="A60" i="37"/>
  <c r="E59" i="37"/>
  <c r="C59" i="37"/>
  <c r="B59" i="37"/>
  <c r="A59" i="37"/>
  <c r="E58" i="37"/>
  <c r="C58" i="37"/>
  <c r="B58" i="37"/>
  <c r="A58" i="37"/>
  <c r="E57" i="37"/>
  <c r="C57" i="37"/>
  <c r="B57" i="37"/>
  <c r="A57" i="37"/>
  <c r="E56" i="37"/>
  <c r="C56" i="37"/>
  <c r="B56" i="37"/>
  <c r="A56" i="37"/>
  <c r="E55" i="37"/>
  <c r="C55" i="37"/>
  <c r="B55" i="37"/>
  <c r="A55" i="37"/>
  <c r="C54" i="37"/>
  <c r="B54" i="37"/>
  <c r="A54" i="37"/>
  <c r="E53" i="37"/>
  <c r="C53" i="37"/>
  <c r="B53" i="37"/>
  <c r="A53" i="37"/>
  <c r="E52" i="37"/>
  <c r="C52" i="37"/>
  <c r="B52" i="37"/>
  <c r="A52" i="37"/>
  <c r="C51" i="37"/>
  <c r="B51" i="37"/>
  <c r="A51" i="37"/>
  <c r="E50" i="37"/>
  <c r="C50" i="37"/>
  <c r="B50" i="37"/>
  <c r="A50" i="37"/>
  <c r="C49" i="37"/>
  <c r="B49" i="37"/>
  <c r="A49" i="37"/>
  <c r="E48" i="37"/>
  <c r="C48" i="37"/>
  <c r="B48" i="37"/>
  <c r="A48" i="37"/>
  <c r="E47" i="37"/>
  <c r="C47" i="37"/>
  <c r="B47" i="37"/>
  <c r="A47" i="37"/>
  <c r="C46" i="37"/>
  <c r="B46" i="37"/>
  <c r="A46" i="37"/>
  <c r="E45" i="37"/>
  <c r="C45" i="37"/>
  <c r="B45" i="37"/>
  <c r="A45" i="37"/>
  <c r="E44" i="37"/>
  <c r="C44" i="37"/>
  <c r="B44" i="37"/>
  <c r="A44" i="37"/>
  <c r="C43" i="37"/>
  <c r="B43" i="37"/>
  <c r="A43" i="37"/>
  <c r="C42" i="37"/>
  <c r="B42" i="37"/>
  <c r="A42" i="37"/>
  <c r="E41" i="37"/>
  <c r="C41" i="37"/>
  <c r="B41" i="37"/>
  <c r="A41" i="37"/>
  <c r="E40" i="37"/>
  <c r="C40" i="37"/>
  <c r="B40" i="37"/>
  <c r="A40" i="37"/>
  <c r="C39" i="37"/>
  <c r="B39" i="37"/>
  <c r="A39" i="37"/>
  <c r="E38" i="37"/>
  <c r="C38" i="37"/>
  <c r="B38" i="37"/>
  <c r="A38" i="37"/>
  <c r="E37" i="37"/>
  <c r="C37" i="37"/>
  <c r="B37" i="37"/>
  <c r="A37" i="37"/>
  <c r="E36" i="37"/>
  <c r="C36" i="37"/>
  <c r="B36" i="37"/>
  <c r="A36" i="37"/>
  <c r="E35" i="37"/>
  <c r="C35" i="37"/>
  <c r="B35" i="37"/>
  <c r="A35" i="37"/>
  <c r="E34" i="37"/>
  <c r="C34" i="37"/>
  <c r="B34" i="37"/>
  <c r="A34" i="37"/>
  <c r="E33" i="37"/>
  <c r="C33" i="37"/>
  <c r="B33" i="37"/>
  <c r="A33" i="37"/>
  <c r="C32" i="37"/>
  <c r="B32" i="37"/>
  <c r="A32" i="37"/>
  <c r="E31" i="37"/>
  <c r="C31" i="37"/>
  <c r="B31" i="37"/>
  <c r="A31" i="37"/>
  <c r="E30" i="37"/>
  <c r="C30" i="37"/>
  <c r="B30" i="37"/>
  <c r="A30" i="37"/>
  <c r="C29" i="37"/>
  <c r="B29" i="37"/>
  <c r="A29" i="37"/>
  <c r="E28" i="37"/>
  <c r="C28" i="37"/>
  <c r="B28" i="37"/>
  <c r="A28" i="37"/>
  <c r="E27" i="37"/>
  <c r="C27" i="37"/>
  <c r="B27" i="37"/>
  <c r="A27" i="37"/>
  <c r="E26" i="37"/>
  <c r="C26" i="37"/>
  <c r="B26" i="37"/>
  <c r="A26" i="37"/>
  <c r="E25" i="37"/>
  <c r="C25" i="37"/>
  <c r="B25" i="37"/>
  <c r="A25" i="37"/>
  <c r="E24" i="37"/>
  <c r="C24" i="37"/>
  <c r="B24" i="37"/>
  <c r="A24" i="37"/>
  <c r="E23" i="37"/>
  <c r="C23" i="37"/>
  <c r="B23" i="37"/>
  <c r="A23" i="37"/>
  <c r="E22" i="37"/>
  <c r="C22" i="37"/>
  <c r="B22" i="37"/>
  <c r="A22" i="37"/>
  <c r="E21" i="37"/>
  <c r="C21" i="37"/>
  <c r="B21" i="37"/>
  <c r="A21" i="37"/>
  <c r="E20" i="37"/>
  <c r="C20" i="37"/>
  <c r="B20" i="37"/>
  <c r="A20" i="37"/>
  <c r="E19" i="37"/>
  <c r="C19" i="37"/>
  <c r="B19" i="37"/>
  <c r="A19" i="37"/>
  <c r="C18" i="37"/>
  <c r="B18" i="37"/>
  <c r="A18" i="37"/>
  <c r="E17" i="37"/>
  <c r="C17" i="37"/>
  <c r="B17" i="37"/>
  <c r="A17" i="37"/>
  <c r="E16" i="37"/>
  <c r="C16" i="37"/>
  <c r="B16" i="37"/>
  <c r="A16" i="37"/>
  <c r="E15" i="37"/>
  <c r="C15" i="37"/>
  <c r="B15" i="37"/>
  <c r="A15" i="37"/>
  <c r="C14" i="37"/>
  <c r="B14" i="37"/>
  <c r="A14" i="37"/>
  <c r="E13" i="37"/>
  <c r="C13" i="37"/>
  <c r="B13" i="37"/>
  <c r="A13" i="37"/>
  <c r="E12" i="37"/>
  <c r="C12" i="37"/>
  <c r="B12" i="37"/>
  <c r="A12" i="37"/>
  <c r="C11" i="37"/>
  <c r="B11" i="37"/>
  <c r="A11" i="37"/>
  <c r="C10" i="37"/>
  <c r="B10" i="37"/>
  <c r="A10" i="37"/>
  <c r="E155" i="36"/>
  <c r="C155" i="36"/>
  <c r="B155" i="36"/>
  <c r="A155" i="36"/>
  <c r="C154" i="36"/>
  <c r="B154" i="36"/>
  <c r="A154" i="36"/>
  <c r="E153" i="36"/>
  <c r="C153" i="36"/>
  <c r="B153" i="36"/>
  <c r="A153" i="36"/>
  <c r="C152" i="36"/>
  <c r="B152" i="36"/>
  <c r="A152" i="36"/>
  <c r="E151" i="36"/>
  <c r="C151" i="36"/>
  <c r="B151" i="36"/>
  <c r="A151" i="36"/>
  <c r="C150" i="36"/>
  <c r="B150" i="36"/>
  <c r="A150" i="36"/>
  <c r="E149" i="36"/>
  <c r="C149" i="36"/>
  <c r="B149" i="36"/>
  <c r="A149" i="36"/>
  <c r="C148" i="36"/>
  <c r="B148" i="36"/>
  <c r="A148" i="36"/>
  <c r="E147" i="36"/>
  <c r="C147" i="36"/>
  <c r="B147" i="36"/>
  <c r="A147" i="36"/>
  <c r="C146" i="36"/>
  <c r="B146" i="36"/>
  <c r="A146" i="36"/>
  <c r="E145" i="36"/>
  <c r="C145" i="36"/>
  <c r="B145" i="36"/>
  <c r="A145" i="36"/>
  <c r="C144" i="36"/>
  <c r="B144" i="36"/>
  <c r="A144" i="36"/>
  <c r="E143" i="36"/>
  <c r="C143" i="36"/>
  <c r="B143" i="36"/>
  <c r="A143" i="36"/>
  <c r="C142" i="36"/>
  <c r="B142" i="36"/>
  <c r="A142" i="36"/>
  <c r="E141" i="36"/>
  <c r="C141" i="36"/>
  <c r="B141" i="36"/>
  <c r="A141" i="36"/>
  <c r="C140" i="36"/>
  <c r="B140" i="36"/>
  <c r="A140" i="36"/>
  <c r="E139" i="36"/>
  <c r="C139" i="36"/>
  <c r="B139" i="36"/>
  <c r="A139" i="36"/>
  <c r="E138" i="36"/>
  <c r="C138" i="36"/>
  <c r="B138" i="36"/>
  <c r="A138" i="36"/>
  <c r="E137" i="36"/>
  <c r="C137" i="36"/>
  <c r="B137" i="36"/>
  <c r="A137" i="36"/>
  <c r="E136" i="36"/>
  <c r="C136" i="36"/>
  <c r="B136" i="36"/>
  <c r="A136" i="36"/>
  <c r="E135" i="36"/>
  <c r="C135" i="36"/>
  <c r="B135" i="36"/>
  <c r="A135" i="36"/>
  <c r="E134" i="36"/>
  <c r="C134" i="36"/>
  <c r="B134" i="36"/>
  <c r="A134" i="36"/>
  <c r="E133" i="36"/>
  <c r="C133" i="36"/>
  <c r="B133" i="36"/>
  <c r="A133" i="36"/>
  <c r="E132" i="36"/>
  <c r="C132" i="36"/>
  <c r="B132" i="36"/>
  <c r="A132" i="36"/>
  <c r="C131" i="36"/>
  <c r="B131" i="36"/>
  <c r="A131" i="36"/>
  <c r="E130" i="36"/>
  <c r="C130" i="36"/>
  <c r="B130" i="36"/>
  <c r="A130" i="36"/>
  <c r="E129" i="36"/>
  <c r="C129" i="36"/>
  <c r="B129" i="36"/>
  <c r="A129" i="36"/>
  <c r="E128" i="36"/>
  <c r="C128" i="36"/>
  <c r="B128" i="36"/>
  <c r="A128" i="36"/>
  <c r="E127" i="36"/>
  <c r="C127" i="36"/>
  <c r="B127" i="36"/>
  <c r="A127" i="36"/>
  <c r="E126" i="36"/>
  <c r="C126" i="36"/>
  <c r="B126" i="36"/>
  <c r="A126" i="36"/>
  <c r="E125" i="36"/>
  <c r="C125" i="36"/>
  <c r="B125" i="36"/>
  <c r="A125" i="36"/>
  <c r="E124" i="36"/>
  <c r="C124" i="36"/>
  <c r="B124" i="36"/>
  <c r="A124" i="36"/>
  <c r="C123" i="36"/>
  <c r="B123" i="36"/>
  <c r="A123" i="36"/>
  <c r="C122" i="36"/>
  <c r="B122" i="36"/>
  <c r="A122" i="36"/>
  <c r="E121" i="36"/>
  <c r="C121" i="36"/>
  <c r="B121" i="36"/>
  <c r="A121" i="36"/>
  <c r="E120" i="36"/>
  <c r="C120" i="36"/>
  <c r="B120" i="36"/>
  <c r="A120" i="36"/>
  <c r="E119" i="36"/>
  <c r="C119" i="36"/>
  <c r="B119" i="36"/>
  <c r="A119" i="36"/>
  <c r="E118" i="36"/>
  <c r="C118" i="36"/>
  <c r="B118" i="36"/>
  <c r="A118" i="36"/>
  <c r="E117" i="36"/>
  <c r="C117" i="36"/>
  <c r="B117" i="36"/>
  <c r="A117" i="36"/>
  <c r="E116" i="36"/>
  <c r="C116" i="36"/>
  <c r="B116" i="36"/>
  <c r="A116" i="36"/>
  <c r="C115" i="36"/>
  <c r="B115" i="36"/>
  <c r="A115" i="36"/>
  <c r="C114" i="36"/>
  <c r="B114" i="36"/>
  <c r="A114" i="36"/>
  <c r="E113" i="36"/>
  <c r="C113" i="36"/>
  <c r="B113" i="36"/>
  <c r="A113" i="36"/>
  <c r="E112" i="36"/>
  <c r="C112" i="36"/>
  <c r="B112" i="36"/>
  <c r="A112" i="36"/>
  <c r="E111" i="36"/>
  <c r="C111" i="36"/>
  <c r="B111" i="36"/>
  <c r="A111" i="36"/>
  <c r="E110" i="36"/>
  <c r="C110" i="36"/>
  <c r="B110" i="36"/>
  <c r="A110" i="36"/>
  <c r="C109" i="36"/>
  <c r="B109" i="36"/>
  <c r="A109" i="36"/>
  <c r="E108" i="36"/>
  <c r="C108" i="36"/>
  <c r="B108" i="36"/>
  <c r="A108" i="36"/>
  <c r="C107" i="36"/>
  <c r="B107" i="36"/>
  <c r="A107" i="36"/>
  <c r="E106" i="36"/>
  <c r="C106" i="36"/>
  <c r="B106" i="36"/>
  <c r="A106" i="36"/>
  <c r="E105" i="36"/>
  <c r="C105" i="36"/>
  <c r="B105" i="36"/>
  <c r="A105" i="36"/>
  <c r="E104" i="36"/>
  <c r="C104" i="36"/>
  <c r="B104" i="36"/>
  <c r="A104" i="36"/>
  <c r="E103" i="36"/>
  <c r="C103" i="36"/>
  <c r="B103" i="36"/>
  <c r="A103" i="36"/>
  <c r="E102" i="36"/>
  <c r="C102" i="36"/>
  <c r="B102" i="36"/>
  <c r="A102" i="36"/>
  <c r="E101" i="36"/>
  <c r="C101" i="36"/>
  <c r="B101" i="36"/>
  <c r="A101" i="36"/>
  <c r="E100" i="36"/>
  <c r="C100" i="36"/>
  <c r="B100" i="36"/>
  <c r="A100" i="36"/>
  <c r="E99" i="36"/>
  <c r="C99" i="36"/>
  <c r="B99" i="36"/>
  <c r="A99" i="36"/>
  <c r="C98" i="36"/>
  <c r="B98" i="36"/>
  <c r="A98" i="36"/>
  <c r="E97" i="36"/>
  <c r="C97" i="36"/>
  <c r="B97" i="36"/>
  <c r="A97" i="36"/>
  <c r="E96" i="36"/>
  <c r="C96" i="36"/>
  <c r="B96" i="36"/>
  <c r="A96" i="36"/>
  <c r="C95" i="36"/>
  <c r="B95" i="36"/>
  <c r="A95" i="36"/>
  <c r="E94" i="36"/>
  <c r="C94" i="36"/>
  <c r="B94" i="36"/>
  <c r="A94" i="36"/>
  <c r="C93" i="36"/>
  <c r="B93" i="36"/>
  <c r="A93" i="36"/>
  <c r="E92" i="36"/>
  <c r="C92" i="36"/>
  <c r="B92" i="36"/>
  <c r="A92" i="36"/>
  <c r="C91" i="36"/>
  <c r="B91" i="36"/>
  <c r="A91" i="36"/>
  <c r="C90" i="36"/>
  <c r="B90" i="36"/>
  <c r="A90" i="36"/>
  <c r="E89" i="36"/>
  <c r="C89" i="36"/>
  <c r="B89" i="36"/>
  <c r="A89" i="36"/>
  <c r="E88" i="36"/>
  <c r="C88" i="36"/>
  <c r="B88" i="36"/>
  <c r="A88" i="36"/>
  <c r="E87" i="36"/>
  <c r="C87" i="36"/>
  <c r="B87" i="36"/>
  <c r="A87" i="36"/>
  <c r="C86" i="36"/>
  <c r="B86" i="36"/>
  <c r="A86" i="36"/>
  <c r="E85" i="36"/>
  <c r="C85" i="36"/>
  <c r="B85" i="36"/>
  <c r="A85" i="36"/>
  <c r="E84" i="36"/>
  <c r="C84" i="36"/>
  <c r="B84" i="36"/>
  <c r="A84" i="36"/>
  <c r="E83" i="36"/>
  <c r="C83" i="36"/>
  <c r="B83" i="36"/>
  <c r="A83" i="36"/>
  <c r="C82" i="36"/>
  <c r="B82" i="36"/>
  <c r="A82" i="36"/>
  <c r="E81" i="36"/>
  <c r="C81" i="36"/>
  <c r="B81" i="36"/>
  <c r="A81" i="36"/>
  <c r="C80" i="36"/>
  <c r="B80" i="36"/>
  <c r="A80" i="36"/>
  <c r="C79" i="36"/>
  <c r="A157" i="36" s="1"/>
  <c r="B79" i="36"/>
  <c r="A79" i="36"/>
  <c r="E78" i="36"/>
  <c r="C78" i="36"/>
  <c r="B78" i="36"/>
  <c r="A78" i="36"/>
  <c r="G77" i="36"/>
  <c r="E77" i="36"/>
  <c r="C77" i="36"/>
  <c r="B77" i="36"/>
  <c r="A77" i="36"/>
  <c r="E76" i="36"/>
  <c r="C76" i="36"/>
  <c r="B76" i="36"/>
  <c r="A76" i="36"/>
  <c r="E75" i="36"/>
  <c r="C75" i="36"/>
  <c r="B75" i="36"/>
  <c r="A75" i="36"/>
  <c r="E74" i="36"/>
  <c r="C74" i="36"/>
  <c r="B74" i="36"/>
  <c r="A74" i="36"/>
  <c r="E73" i="36"/>
  <c r="C73" i="36"/>
  <c r="B73" i="36"/>
  <c r="A73" i="36"/>
  <c r="C72" i="36"/>
  <c r="B72" i="36"/>
  <c r="A72" i="36"/>
  <c r="E71" i="36"/>
  <c r="C71" i="36"/>
  <c r="B71" i="36"/>
  <c r="A71" i="36"/>
  <c r="E70" i="36"/>
  <c r="C70" i="36"/>
  <c r="B70" i="36"/>
  <c r="A70" i="36"/>
  <c r="E69" i="36"/>
  <c r="C69" i="36"/>
  <c r="B69" i="36"/>
  <c r="A69" i="36"/>
  <c r="E68" i="36"/>
  <c r="C68" i="36"/>
  <c r="B68" i="36"/>
  <c r="A68" i="36"/>
  <c r="C67" i="36"/>
  <c r="B67" i="36"/>
  <c r="A67" i="36"/>
  <c r="E66" i="36"/>
  <c r="C66" i="36"/>
  <c r="B66" i="36"/>
  <c r="A66" i="36"/>
  <c r="E65" i="36"/>
  <c r="C65" i="36"/>
  <c r="B65" i="36"/>
  <c r="A65" i="36"/>
  <c r="E64" i="36"/>
  <c r="C64" i="36"/>
  <c r="B64" i="36"/>
  <c r="A64" i="36"/>
  <c r="E63" i="36"/>
  <c r="C63" i="36"/>
  <c r="B63" i="36"/>
  <c r="A63" i="36"/>
  <c r="E62" i="36"/>
  <c r="C62" i="36"/>
  <c r="B62" i="36"/>
  <c r="A62" i="36"/>
  <c r="C61" i="36"/>
  <c r="B61" i="36"/>
  <c r="A61" i="36"/>
  <c r="E60" i="36"/>
  <c r="C60" i="36"/>
  <c r="B60" i="36"/>
  <c r="A60" i="36"/>
  <c r="E59" i="36"/>
  <c r="C59" i="36"/>
  <c r="B59" i="36"/>
  <c r="A59" i="36"/>
  <c r="E58" i="36"/>
  <c r="C58" i="36"/>
  <c r="B58" i="36"/>
  <c r="A58" i="36"/>
  <c r="E57" i="36"/>
  <c r="C57" i="36"/>
  <c r="B57" i="36"/>
  <c r="A57" i="36"/>
  <c r="E56" i="36"/>
  <c r="C56" i="36"/>
  <c r="B56" i="36"/>
  <c r="A56" i="36"/>
  <c r="E55" i="36"/>
  <c r="C55" i="36"/>
  <c r="B55" i="36"/>
  <c r="A55" i="36"/>
  <c r="C54" i="36"/>
  <c r="B54" i="36"/>
  <c r="A54" i="36"/>
  <c r="E53" i="36"/>
  <c r="C53" i="36"/>
  <c r="B53" i="36"/>
  <c r="A53" i="36"/>
  <c r="E52" i="36"/>
  <c r="C52" i="36"/>
  <c r="B52" i="36"/>
  <c r="A52" i="36"/>
  <c r="C51" i="36"/>
  <c r="B51" i="36"/>
  <c r="A51" i="36"/>
  <c r="E50" i="36"/>
  <c r="C50" i="36"/>
  <c r="B50" i="36"/>
  <c r="A50" i="36"/>
  <c r="C49" i="36"/>
  <c r="B49" i="36"/>
  <c r="A49" i="36"/>
  <c r="E48" i="36"/>
  <c r="C48" i="36"/>
  <c r="B48" i="36"/>
  <c r="A48" i="36"/>
  <c r="E47" i="36"/>
  <c r="C47" i="36"/>
  <c r="B47" i="36"/>
  <c r="A47" i="36"/>
  <c r="C46" i="36"/>
  <c r="B46" i="36"/>
  <c r="A46" i="36"/>
  <c r="E45" i="36"/>
  <c r="C45" i="36"/>
  <c r="B45" i="36"/>
  <c r="A45" i="36"/>
  <c r="E44" i="36"/>
  <c r="C44" i="36"/>
  <c r="B44" i="36"/>
  <c r="A44" i="36"/>
  <c r="C43" i="36"/>
  <c r="B43" i="36"/>
  <c r="A43" i="36"/>
  <c r="C42" i="36"/>
  <c r="B42" i="36"/>
  <c r="A42" i="36"/>
  <c r="E41" i="36"/>
  <c r="C41" i="36"/>
  <c r="B41" i="36"/>
  <c r="A41" i="36"/>
  <c r="E40" i="36"/>
  <c r="C40" i="36"/>
  <c r="B40" i="36"/>
  <c r="A40" i="36"/>
  <c r="C39" i="36"/>
  <c r="B39" i="36"/>
  <c r="A39" i="36"/>
  <c r="E38" i="36"/>
  <c r="C38" i="36"/>
  <c r="B38" i="36"/>
  <c r="A38" i="36"/>
  <c r="E37" i="36"/>
  <c r="C37" i="36"/>
  <c r="B37" i="36"/>
  <c r="A37" i="36"/>
  <c r="E36" i="36"/>
  <c r="C36" i="36"/>
  <c r="B36" i="36"/>
  <c r="A36" i="36"/>
  <c r="E35" i="36"/>
  <c r="C35" i="36"/>
  <c r="B35" i="36"/>
  <c r="A35" i="36"/>
  <c r="E34" i="36"/>
  <c r="C34" i="36"/>
  <c r="B34" i="36"/>
  <c r="A34" i="36"/>
  <c r="E33" i="36"/>
  <c r="C33" i="36"/>
  <c r="B33" i="36"/>
  <c r="A33" i="36"/>
  <c r="C32" i="36"/>
  <c r="B32" i="36"/>
  <c r="A32" i="36"/>
  <c r="E31" i="36"/>
  <c r="C31" i="36"/>
  <c r="B31" i="36"/>
  <c r="A31" i="36"/>
  <c r="E30" i="36"/>
  <c r="C30" i="36"/>
  <c r="B30" i="36"/>
  <c r="A30" i="36"/>
  <c r="C29" i="36"/>
  <c r="B29" i="36"/>
  <c r="A29" i="36"/>
  <c r="E28" i="36"/>
  <c r="C28" i="36"/>
  <c r="B28" i="36"/>
  <c r="A28" i="36"/>
  <c r="E27" i="36"/>
  <c r="C27" i="36"/>
  <c r="B27" i="36"/>
  <c r="A27" i="36"/>
  <c r="E26" i="36"/>
  <c r="C26" i="36"/>
  <c r="B26" i="36"/>
  <c r="A26" i="36"/>
  <c r="E25" i="36"/>
  <c r="C25" i="36"/>
  <c r="B25" i="36"/>
  <c r="A25" i="36"/>
  <c r="E24" i="36"/>
  <c r="C24" i="36"/>
  <c r="B24" i="36"/>
  <c r="A24" i="36"/>
  <c r="E23" i="36"/>
  <c r="C23" i="36"/>
  <c r="B23" i="36"/>
  <c r="A23" i="36"/>
  <c r="E22" i="36"/>
  <c r="C22" i="36"/>
  <c r="B22" i="36"/>
  <c r="A22" i="36"/>
  <c r="E21" i="36"/>
  <c r="C21" i="36"/>
  <c r="B21" i="36"/>
  <c r="A21" i="36"/>
  <c r="E20" i="36"/>
  <c r="C20" i="36"/>
  <c r="B20" i="36"/>
  <c r="A20" i="36"/>
  <c r="E19" i="36"/>
  <c r="C19" i="36"/>
  <c r="B19" i="36"/>
  <c r="A19" i="36"/>
  <c r="C18" i="36"/>
  <c r="B18" i="36"/>
  <c r="A18" i="36"/>
  <c r="E17" i="36"/>
  <c r="C17" i="36"/>
  <c r="B17" i="36"/>
  <c r="A17" i="36"/>
  <c r="E16" i="36"/>
  <c r="C16" i="36"/>
  <c r="B16" i="36"/>
  <c r="A16" i="36"/>
  <c r="E15" i="36"/>
  <c r="C15" i="36"/>
  <c r="B15" i="36"/>
  <c r="A15" i="36"/>
  <c r="C14" i="36"/>
  <c r="B14" i="36"/>
  <c r="A14" i="36"/>
  <c r="E13" i="36"/>
  <c r="C13" i="36"/>
  <c r="B13" i="36"/>
  <c r="A13" i="36"/>
  <c r="E12" i="36"/>
  <c r="C12" i="36"/>
  <c r="B12" i="36"/>
  <c r="A12" i="36"/>
  <c r="C11" i="36"/>
  <c r="B11" i="36"/>
  <c r="A11" i="36"/>
  <c r="C10" i="36"/>
  <c r="B10" i="36"/>
  <c r="A10" i="36"/>
  <c r="E155" i="35"/>
  <c r="C155" i="35"/>
  <c r="B155" i="35"/>
  <c r="A155" i="35"/>
  <c r="C154" i="35"/>
  <c r="B154" i="35"/>
  <c r="A154" i="35"/>
  <c r="E153" i="35"/>
  <c r="C153" i="35"/>
  <c r="B153" i="35"/>
  <c r="A153" i="35"/>
  <c r="C152" i="35"/>
  <c r="B152" i="35"/>
  <c r="A152" i="35"/>
  <c r="E151" i="35"/>
  <c r="C151" i="35"/>
  <c r="B151" i="35"/>
  <c r="A151" i="35"/>
  <c r="C150" i="35"/>
  <c r="B150" i="35"/>
  <c r="A150" i="35"/>
  <c r="E149" i="35"/>
  <c r="C149" i="35"/>
  <c r="B149" i="35"/>
  <c r="A149" i="35"/>
  <c r="C148" i="35"/>
  <c r="B148" i="35"/>
  <c r="A148" i="35"/>
  <c r="E147" i="35"/>
  <c r="C147" i="35"/>
  <c r="B147" i="35"/>
  <c r="A147" i="35"/>
  <c r="C146" i="35"/>
  <c r="B146" i="35"/>
  <c r="A146" i="35"/>
  <c r="E145" i="35"/>
  <c r="C145" i="35"/>
  <c r="B145" i="35"/>
  <c r="A145" i="35"/>
  <c r="C144" i="35"/>
  <c r="B144" i="35"/>
  <c r="A144" i="35"/>
  <c r="E143" i="35"/>
  <c r="C143" i="35"/>
  <c r="B143" i="35"/>
  <c r="A143" i="35"/>
  <c r="C142" i="35"/>
  <c r="B142" i="35"/>
  <c r="A142" i="35"/>
  <c r="E141" i="35"/>
  <c r="C141" i="35"/>
  <c r="B141" i="35"/>
  <c r="A141" i="35"/>
  <c r="C140" i="35"/>
  <c r="B140" i="35"/>
  <c r="A140" i="35"/>
  <c r="E139" i="35"/>
  <c r="C139" i="35"/>
  <c r="B139" i="35"/>
  <c r="A139" i="35"/>
  <c r="E138" i="35"/>
  <c r="C138" i="35"/>
  <c r="B138" i="35"/>
  <c r="A138" i="35"/>
  <c r="E137" i="35"/>
  <c r="C137" i="35"/>
  <c r="B137" i="35"/>
  <c r="A137" i="35"/>
  <c r="E136" i="35"/>
  <c r="C136" i="35"/>
  <c r="B136" i="35"/>
  <c r="A136" i="35"/>
  <c r="E135" i="35"/>
  <c r="C135" i="35"/>
  <c r="B135" i="35"/>
  <c r="A135" i="35"/>
  <c r="E134" i="35"/>
  <c r="C134" i="35"/>
  <c r="B134" i="35"/>
  <c r="A134" i="35"/>
  <c r="E133" i="35"/>
  <c r="C133" i="35"/>
  <c r="B133" i="35"/>
  <c r="A133" i="35"/>
  <c r="E132" i="35"/>
  <c r="C132" i="35"/>
  <c r="B132" i="35"/>
  <c r="A132" i="35"/>
  <c r="C131" i="35"/>
  <c r="B131" i="35"/>
  <c r="A131" i="35"/>
  <c r="E130" i="35"/>
  <c r="C130" i="35"/>
  <c r="B130" i="35"/>
  <c r="A130" i="35"/>
  <c r="E129" i="35"/>
  <c r="C129" i="35"/>
  <c r="B129" i="35"/>
  <c r="A129" i="35"/>
  <c r="E128" i="35"/>
  <c r="C128" i="35"/>
  <c r="B128" i="35"/>
  <c r="A128" i="35"/>
  <c r="E127" i="35"/>
  <c r="C127" i="35"/>
  <c r="B127" i="35"/>
  <c r="A127" i="35"/>
  <c r="E126" i="35"/>
  <c r="C126" i="35"/>
  <c r="B126" i="35"/>
  <c r="A126" i="35"/>
  <c r="E125" i="35"/>
  <c r="C125" i="35"/>
  <c r="B125" i="35"/>
  <c r="A125" i="35"/>
  <c r="E124" i="35"/>
  <c r="C124" i="35"/>
  <c r="B124" i="35"/>
  <c r="A124" i="35"/>
  <c r="C123" i="35"/>
  <c r="B123" i="35"/>
  <c r="A123" i="35"/>
  <c r="C122" i="35"/>
  <c r="B122" i="35"/>
  <c r="A122" i="35"/>
  <c r="E121" i="35"/>
  <c r="C121" i="35"/>
  <c r="B121" i="35"/>
  <c r="A121" i="35"/>
  <c r="E120" i="35"/>
  <c r="C120" i="35"/>
  <c r="B120" i="35"/>
  <c r="A120" i="35"/>
  <c r="E119" i="35"/>
  <c r="C119" i="35"/>
  <c r="B119" i="35"/>
  <c r="A119" i="35"/>
  <c r="E118" i="35"/>
  <c r="C118" i="35"/>
  <c r="B118" i="35"/>
  <c r="A118" i="35"/>
  <c r="E117" i="35"/>
  <c r="C117" i="35"/>
  <c r="B117" i="35"/>
  <c r="A117" i="35"/>
  <c r="E116" i="35"/>
  <c r="C116" i="35"/>
  <c r="B116" i="35"/>
  <c r="A116" i="35"/>
  <c r="C115" i="35"/>
  <c r="B115" i="35"/>
  <c r="A115" i="35"/>
  <c r="C114" i="35"/>
  <c r="B114" i="35"/>
  <c r="A114" i="35"/>
  <c r="E113" i="35"/>
  <c r="C113" i="35"/>
  <c r="B113" i="35"/>
  <c r="A113" i="35"/>
  <c r="E112" i="35"/>
  <c r="C112" i="35"/>
  <c r="B112" i="35"/>
  <c r="A112" i="35"/>
  <c r="E111" i="35"/>
  <c r="C111" i="35"/>
  <c r="B111" i="35"/>
  <c r="A111" i="35"/>
  <c r="E110" i="35"/>
  <c r="C110" i="35"/>
  <c r="B110" i="35"/>
  <c r="A110" i="35"/>
  <c r="C109" i="35"/>
  <c r="B109" i="35"/>
  <c r="A109" i="35"/>
  <c r="E108" i="35"/>
  <c r="C108" i="35"/>
  <c r="B108" i="35"/>
  <c r="A108" i="35"/>
  <c r="C107" i="35"/>
  <c r="B107" i="35"/>
  <c r="A107" i="35"/>
  <c r="E106" i="35"/>
  <c r="C106" i="35"/>
  <c r="B106" i="35"/>
  <c r="A106" i="35"/>
  <c r="E105" i="35"/>
  <c r="C105" i="35"/>
  <c r="B105" i="35"/>
  <c r="A105" i="35"/>
  <c r="E104" i="35"/>
  <c r="C104" i="35"/>
  <c r="B104" i="35"/>
  <c r="A104" i="35"/>
  <c r="E103" i="35"/>
  <c r="C103" i="35"/>
  <c r="B103" i="35"/>
  <c r="A103" i="35"/>
  <c r="E102" i="35"/>
  <c r="C102" i="35"/>
  <c r="B102" i="35"/>
  <c r="A102" i="35"/>
  <c r="E101" i="35"/>
  <c r="C101" i="35"/>
  <c r="B101" i="35"/>
  <c r="A101" i="35"/>
  <c r="E100" i="35"/>
  <c r="C100" i="35"/>
  <c r="B100" i="35"/>
  <c r="A100" i="35"/>
  <c r="E99" i="35"/>
  <c r="C99" i="35"/>
  <c r="B99" i="35"/>
  <c r="A99" i="35"/>
  <c r="C98" i="35"/>
  <c r="B98" i="35"/>
  <c r="A98" i="35"/>
  <c r="E97" i="35"/>
  <c r="C97" i="35"/>
  <c r="B97" i="35"/>
  <c r="A97" i="35"/>
  <c r="E96" i="35"/>
  <c r="C96" i="35"/>
  <c r="B96" i="35"/>
  <c r="A96" i="35"/>
  <c r="C95" i="35"/>
  <c r="B95" i="35"/>
  <c r="A95" i="35"/>
  <c r="E94" i="35"/>
  <c r="C94" i="35"/>
  <c r="B94" i="35"/>
  <c r="A94" i="35"/>
  <c r="C93" i="35"/>
  <c r="B93" i="35"/>
  <c r="A93" i="35"/>
  <c r="E92" i="35"/>
  <c r="C92" i="35"/>
  <c r="B92" i="35"/>
  <c r="A92" i="35"/>
  <c r="C91" i="35"/>
  <c r="B91" i="35"/>
  <c r="A91" i="35"/>
  <c r="C90" i="35"/>
  <c r="B90" i="35"/>
  <c r="A90" i="35"/>
  <c r="E89" i="35"/>
  <c r="C89" i="35"/>
  <c r="B89" i="35"/>
  <c r="A89" i="35"/>
  <c r="E88" i="35"/>
  <c r="C88" i="35"/>
  <c r="B88" i="35"/>
  <c r="A88" i="35"/>
  <c r="E87" i="35"/>
  <c r="C87" i="35"/>
  <c r="B87" i="35"/>
  <c r="A87" i="35"/>
  <c r="E86" i="35"/>
  <c r="C86" i="35"/>
  <c r="B86" i="35"/>
  <c r="A86" i="35"/>
  <c r="E85" i="35"/>
  <c r="C85" i="35"/>
  <c r="B85" i="35"/>
  <c r="A85" i="35"/>
  <c r="E84" i="35"/>
  <c r="C84" i="35"/>
  <c r="B84" i="35"/>
  <c r="A84" i="35"/>
  <c r="E83" i="35"/>
  <c r="C83" i="35"/>
  <c r="B83" i="35"/>
  <c r="A83" i="35"/>
  <c r="C82" i="35"/>
  <c r="B82" i="35"/>
  <c r="A82" i="35"/>
  <c r="E81" i="35"/>
  <c r="C81" i="35"/>
  <c r="B81" i="35"/>
  <c r="A81" i="35"/>
  <c r="C80" i="35"/>
  <c r="B80" i="35"/>
  <c r="A80" i="35"/>
  <c r="C79" i="35"/>
  <c r="B79" i="35"/>
  <c r="A79" i="35"/>
  <c r="E78" i="35"/>
  <c r="C78" i="35"/>
  <c r="B78" i="35"/>
  <c r="A78" i="35"/>
  <c r="G77" i="35"/>
  <c r="E77" i="35"/>
  <c r="C77" i="35"/>
  <c r="B77" i="35"/>
  <c r="A77" i="35"/>
  <c r="E76" i="35"/>
  <c r="C76" i="35"/>
  <c r="B76" i="35"/>
  <c r="A76" i="35"/>
  <c r="E75" i="35"/>
  <c r="C75" i="35"/>
  <c r="B75" i="35"/>
  <c r="A75" i="35"/>
  <c r="E74" i="35"/>
  <c r="C74" i="35"/>
  <c r="B74" i="35"/>
  <c r="A74" i="35"/>
  <c r="E73" i="35"/>
  <c r="C73" i="35"/>
  <c r="B73" i="35"/>
  <c r="A73" i="35"/>
  <c r="C72" i="35"/>
  <c r="B72" i="35"/>
  <c r="A72" i="35"/>
  <c r="E71" i="35"/>
  <c r="C71" i="35"/>
  <c r="B71" i="35"/>
  <c r="A71" i="35"/>
  <c r="E70" i="35"/>
  <c r="C70" i="35"/>
  <c r="B70" i="35"/>
  <c r="A70" i="35"/>
  <c r="E69" i="35"/>
  <c r="C69" i="35"/>
  <c r="B69" i="35"/>
  <c r="A69" i="35"/>
  <c r="E68" i="35"/>
  <c r="C68" i="35"/>
  <c r="B68" i="35"/>
  <c r="A68" i="35"/>
  <c r="C67" i="35"/>
  <c r="B67" i="35"/>
  <c r="A67" i="35"/>
  <c r="E66" i="35"/>
  <c r="C66" i="35"/>
  <c r="B66" i="35"/>
  <c r="A66" i="35"/>
  <c r="E65" i="35"/>
  <c r="C65" i="35"/>
  <c r="B65" i="35"/>
  <c r="A65" i="35"/>
  <c r="E64" i="35"/>
  <c r="C64" i="35"/>
  <c r="B64" i="35"/>
  <c r="A64" i="35"/>
  <c r="E63" i="35"/>
  <c r="C63" i="35"/>
  <c r="B63" i="35"/>
  <c r="A63" i="35"/>
  <c r="E62" i="35"/>
  <c r="C62" i="35"/>
  <c r="B62" i="35"/>
  <c r="A62" i="35"/>
  <c r="C61" i="35"/>
  <c r="B61" i="35"/>
  <c r="A61" i="35"/>
  <c r="E60" i="35"/>
  <c r="C60" i="35"/>
  <c r="B60" i="35"/>
  <c r="A60" i="35"/>
  <c r="E59" i="35"/>
  <c r="C59" i="35"/>
  <c r="B59" i="35"/>
  <c r="A59" i="35"/>
  <c r="E58" i="35"/>
  <c r="C58" i="35"/>
  <c r="B58" i="35"/>
  <c r="A58" i="35"/>
  <c r="E57" i="35"/>
  <c r="C57" i="35"/>
  <c r="B57" i="35"/>
  <c r="A57" i="35"/>
  <c r="E56" i="35"/>
  <c r="C56" i="35"/>
  <c r="B56" i="35"/>
  <c r="A56" i="35"/>
  <c r="E55" i="35"/>
  <c r="C55" i="35"/>
  <c r="B55" i="35"/>
  <c r="A55" i="35"/>
  <c r="C54" i="35"/>
  <c r="B54" i="35"/>
  <c r="A54" i="35"/>
  <c r="E53" i="35"/>
  <c r="C53" i="35"/>
  <c r="B53" i="35"/>
  <c r="A53" i="35"/>
  <c r="E52" i="35"/>
  <c r="C52" i="35"/>
  <c r="B52" i="35"/>
  <c r="A52" i="35"/>
  <c r="C51" i="35"/>
  <c r="B51" i="35"/>
  <c r="A51" i="35"/>
  <c r="E50" i="35"/>
  <c r="C50" i="35"/>
  <c r="B50" i="35"/>
  <c r="A50" i="35"/>
  <c r="C49" i="35"/>
  <c r="B49" i="35"/>
  <c r="A49" i="35"/>
  <c r="E48" i="35"/>
  <c r="C48" i="35"/>
  <c r="B48" i="35"/>
  <c r="A48" i="35"/>
  <c r="E47" i="35"/>
  <c r="C47" i="35"/>
  <c r="B47" i="35"/>
  <c r="A47" i="35"/>
  <c r="C46" i="35"/>
  <c r="B46" i="35"/>
  <c r="A46" i="35"/>
  <c r="E45" i="35"/>
  <c r="C45" i="35"/>
  <c r="B45" i="35"/>
  <c r="A45" i="35"/>
  <c r="E44" i="35"/>
  <c r="C44" i="35"/>
  <c r="B44" i="35"/>
  <c r="A44" i="35"/>
  <c r="C43" i="35"/>
  <c r="B43" i="35"/>
  <c r="A43" i="35"/>
  <c r="C42" i="35"/>
  <c r="A157" i="35" s="1"/>
  <c r="B42" i="35"/>
  <c r="A42" i="35"/>
  <c r="E41" i="35"/>
  <c r="C41" i="35"/>
  <c r="B41" i="35"/>
  <c r="A41" i="35"/>
  <c r="E40" i="35"/>
  <c r="C40" i="35"/>
  <c r="B40" i="35"/>
  <c r="A40" i="35"/>
  <c r="C39" i="35"/>
  <c r="B39" i="35"/>
  <c r="A39" i="35"/>
  <c r="E38" i="35"/>
  <c r="C38" i="35"/>
  <c r="B38" i="35"/>
  <c r="A38" i="35"/>
  <c r="E37" i="35"/>
  <c r="C37" i="35"/>
  <c r="B37" i="35"/>
  <c r="A37" i="35"/>
  <c r="E36" i="35"/>
  <c r="C36" i="35"/>
  <c r="B36" i="35"/>
  <c r="A36" i="35"/>
  <c r="E35" i="35"/>
  <c r="C35" i="35"/>
  <c r="B35" i="35"/>
  <c r="A35" i="35"/>
  <c r="E34" i="35"/>
  <c r="C34" i="35"/>
  <c r="B34" i="35"/>
  <c r="A34" i="35"/>
  <c r="E33" i="35"/>
  <c r="C33" i="35"/>
  <c r="B33" i="35"/>
  <c r="A33" i="35"/>
  <c r="C32" i="35"/>
  <c r="B32" i="35"/>
  <c r="A32" i="35"/>
  <c r="E31" i="35"/>
  <c r="C31" i="35"/>
  <c r="B31" i="35"/>
  <c r="A31" i="35"/>
  <c r="E30" i="35"/>
  <c r="C30" i="35"/>
  <c r="B30" i="35"/>
  <c r="A30" i="35"/>
  <c r="C29" i="35"/>
  <c r="B29" i="35"/>
  <c r="A29" i="35"/>
  <c r="E28" i="35"/>
  <c r="C28" i="35"/>
  <c r="B28" i="35"/>
  <c r="A28" i="35"/>
  <c r="E27" i="35"/>
  <c r="C27" i="35"/>
  <c r="B27" i="35"/>
  <c r="A27" i="35"/>
  <c r="E26" i="35"/>
  <c r="C26" i="35"/>
  <c r="B26" i="35"/>
  <c r="A26" i="35"/>
  <c r="E25" i="35"/>
  <c r="C25" i="35"/>
  <c r="B25" i="35"/>
  <c r="A25" i="35"/>
  <c r="E24" i="35"/>
  <c r="C24" i="35"/>
  <c r="B24" i="35"/>
  <c r="A24" i="35"/>
  <c r="E23" i="35"/>
  <c r="C23" i="35"/>
  <c r="B23" i="35"/>
  <c r="A23" i="35"/>
  <c r="E22" i="35"/>
  <c r="C22" i="35"/>
  <c r="B22" i="35"/>
  <c r="A22" i="35"/>
  <c r="E21" i="35"/>
  <c r="C21" i="35"/>
  <c r="B21" i="35"/>
  <c r="A21" i="35"/>
  <c r="E20" i="35"/>
  <c r="C20" i="35"/>
  <c r="B20" i="35"/>
  <c r="A20" i="35"/>
  <c r="E19" i="35"/>
  <c r="C19" i="35"/>
  <c r="B19" i="35"/>
  <c r="A19" i="35"/>
  <c r="C18" i="35"/>
  <c r="B18" i="35"/>
  <c r="A18" i="35"/>
  <c r="E17" i="35"/>
  <c r="C17" i="35"/>
  <c r="B17" i="35"/>
  <c r="A17" i="35"/>
  <c r="E16" i="35"/>
  <c r="C16" i="35"/>
  <c r="B16" i="35"/>
  <c r="A16" i="35"/>
  <c r="E15" i="35"/>
  <c r="C15" i="35"/>
  <c r="B15" i="35"/>
  <c r="A15" i="35"/>
  <c r="C14" i="35"/>
  <c r="B14" i="35"/>
  <c r="A14" i="35"/>
  <c r="E13" i="35"/>
  <c r="C13" i="35"/>
  <c r="B13" i="35"/>
  <c r="A13" i="35"/>
  <c r="E12" i="35"/>
  <c r="C12" i="35"/>
  <c r="B12" i="35"/>
  <c r="A12" i="35"/>
  <c r="C11" i="35"/>
  <c r="B11" i="35"/>
  <c r="A11" i="35"/>
  <c r="C10" i="35"/>
  <c r="B10" i="35"/>
  <c r="A10" i="35"/>
  <c r="E155" i="34"/>
  <c r="C155" i="34"/>
  <c r="B155" i="34"/>
  <c r="A155" i="34"/>
  <c r="C154" i="34"/>
  <c r="B154" i="34"/>
  <c r="A154" i="34"/>
  <c r="E153" i="34"/>
  <c r="C153" i="34"/>
  <c r="B153" i="34"/>
  <c r="A153" i="34"/>
  <c r="C152" i="34"/>
  <c r="B152" i="34"/>
  <c r="A152" i="34"/>
  <c r="E151" i="34"/>
  <c r="C151" i="34"/>
  <c r="B151" i="34"/>
  <c r="A151" i="34"/>
  <c r="C150" i="34"/>
  <c r="B150" i="34"/>
  <c r="A150" i="34"/>
  <c r="E149" i="34"/>
  <c r="C149" i="34"/>
  <c r="B149" i="34"/>
  <c r="A149" i="34"/>
  <c r="C148" i="34"/>
  <c r="B148" i="34"/>
  <c r="A148" i="34"/>
  <c r="E147" i="34"/>
  <c r="C147" i="34"/>
  <c r="B147" i="34"/>
  <c r="A147" i="34"/>
  <c r="C146" i="34"/>
  <c r="B146" i="34"/>
  <c r="A146" i="34"/>
  <c r="E145" i="34"/>
  <c r="C145" i="34"/>
  <c r="B145" i="34"/>
  <c r="A145" i="34"/>
  <c r="C144" i="34"/>
  <c r="B144" i="34"/>
  <c r="A144" i="34"/>
  <c r="E143" i="34"/>
  <c r="C143" i="34"/>
  <c r="B143" i="34"/>
  <c r="A143" i="34"/>
  <c r="C142" i="34"/>
  <c r="B142" i="34"/>
  <c r="A142" i="34"/>
  <c r="E141" i="34"/>
  <c r="C141" i="34"/>
  <c r="B141" i="34"/>
  <c r="A141" i="34"/>
  <c r="C140" i="34"/>
  <c r="B140" i="34"/>
  <c r="A140" i="34"/>
  <c r="E139" i="34"/>
  <c r="C139" i="34"/>
  <c r="B139" i="34"/>
  <c r="A139" i="34"/>
  <c r="E138" i="34"/>
  <c r="C138" i="34"/>
  <c r="B138" i="34"/>
  <c r="A138" i="34"/>
  <c r="E137" i="34"/>
  <c r="C137" i="34"/>
  <c r="B137" i="34"/>
  <c r="A137" i="34"/>
  <c r="E136" i="34"/>
  <c r="C136" i="34"/>
  <c r="B136" i="34"/>
  <c r="A136" i="34"/>
  <c r="E135" i="34"/>
  <c r="C135" i="34"/>
  <c r="B135" i="34"/>
  <c r="A135" i="34"/>
  <c r="E134" i="34"/>
  <c r="C134" i="34"/>
  <c r="B134" i="34"/>
  <c r="A134" i="34"/>
  <c r="E133" i="34"/>
  <c r="C133" i="34"/>
  <c r="B133" i="34"/>
  <c r="A133" i="34"/>
  <c r="E132" i="34"/>
  <c r="C132" i="34"/>
  <c r="B132" i="34"/>
  <c r="A132" i="34"/>
  <c r="C131" i="34"/>
  <c r="B131" i="34"/>
  <c r="A131" i="34"/>
  <c r="E130" i="34"/>
  <c r="C130" i="34"/>
  <c r="B130" i="34"/>
  <c r="A130" i="34"/>
  <c r="E129" i="34"/>
  <c r="C129" i="34"/>
  <c r="B129" i="34"/>
  <c r="A129" i="34"/>
  <c r="E128" i="34"/>
  <c r="C128" i="34"/>
  <c r="B128" i="34"/>
  <c r="A128" i="34"/>
  <c r="E127" i="34"/>
  <c r="C127" i="34"/>
  <c r="B127" i="34"/>
  <c r="A127" i="34"/>
  <c r="E126" i="34"/>
  <c r="C126" i="34"/>
  <c r="B126" i="34"/>
  <c r="A126" i="34"/>
  <c r="E125" i="34"/>
  <c r="C125" i="34"/>
  <c r="B125" i="34"/>
  <c r="A125" i="34"/>
  <c r="E124" i="34"/>
  <c r="C124" i="34"/>
  <c r="B124" i="34"/>
  <c r="A124" i="34"/>
  <c r="C123" i="34"/>
  <c r="B123" i="34"/>
  <c r="A123" i="34"/>
  <c r="C122" i="34"/>
  <c r="B122" i="34"/>
  <c r="A122" i="34"/>
  <c r="E121" i="34"/>
  <c r="C121" i="34"/>
  <c r="B121" i="34"/>
  <c r="A121" i="34"/>
  <c r="E120" i="34"/>
  <c r="C120" i="34"/>
  <c r="B120" i="34"/>
  <c r="A120" i="34"/>
  <c r="E119" i="34"/>
  <c r="C119" i="34"/>
  <c r="B119" i="34"/>
  <c r="A119" i="34"/>
  <c r="E118" i="34"/>
  <c r="C118" i="34"/>
  <c r="B118" i="34"/>
  <c r="A118" i="34"/>
  <c r="E117" i="34"/>
  <c r="C117" i="34"/>
  <c r="B117" i="34"/>
  <c r="A117" i="34"/>
  <c r="E116" i="34"/>
  <c r="C116" i="34"/>
  <c r="B116" i="34"/>
  <c r="A116" i="34"/>
  <c r="C115" i="34"/>
  <c r="B115" i="34"/>
  <c r="A115" i="34"/>
  <c r="C114" i="34"/>
  <c r="B114" i="34"/>
  <c r="A114" i="34"/>
  <c r="E113" i="34"/>
  <c r="C113" i="34"/>
  <c r="B113" i="34"/>
  <c r="A113" i="34"/>
  <c r="E112" i="34"/>
  <c r="C112" i="34"/>
  <c r="B112" i="34"/>
  <c r="A112" i="34"/>
  <c r="E111" i="34"/>
  <c r="C111" i="34"/>
  <c r="B111" i="34"/>
  <c r="A111" i="34"/>
  <c r="E110" i="34"/>
  <c r="C110" i="34"/>
  <c r="B110" i="34"/>
  <c r="A110" i="34"/>
  <c r="C109" i="34"/>
  <c r="B109" i="34"/>
  <c r="A109" i="34"/>
  <c r="E108" i="34"/>
  <c r="C108" i="34"/>
  <c r="B108" i="34"/>
  <c r="A108" i="34"/>
  <c r="C107" i="34"/>
  <c r="B107" i="34"/>
  <c r="A107" i="34"/>
  <c r="E106" i="34"/>
  <c r="C106" i="34"/>
  <c r="B106" i="34"/>
  <c r="A106" i="34"/>
  <c r="E105" i="34"/>
  <c r="C105" i="34"/>
  <c r="B105" i="34"/>
  <c r="A105" i="34"/>
  <c r="E104" i="34"/>
  <c r="C104" i="34"/>
  <c r="B104" i="34"/>
  <c r="A104" i="34"/>
  <c r="E103" i="34"/>
  <c r="C103" i="34"/>
  <c r="B103" i="34"/>
  <c r="A103" i="34"/>
  <c r="E102" i="34"/>
  <c r="C102" i="34"/>
  <c r="B102" i="34"/>
  <c r="A102" i="34"/>
  <c r="E101" i="34"/>
  <c r="C101" i="34"/>
  <c r="B101" i="34"/>
  <c r="A101" i="34"/>
  <c r="E100" i="34"/>
  <c r="C100" i="34"/>
  <c r="B100" i="34"/>
  <c r="A100" i="34"/>
  <c r="E99" i="34"/>
  <c r="C99" i="34"/>
  <c r="B99" i="34"/>
  <c r="A99" i="34"/>
  <c r="C98" i="34"/>
  <c r="B98" i="34"/>
  <c r="A98" i="34"/>
  <c r="E97" i="34"/>
  <c r="C97" i="34"/>
  <c r="B97" i="34"/>
  <c r="A97" i="34"/>
  <c r="E96" i="34"/>
  <c r="C96" i="34"/>
  <c r="B96" i="34"/>
  <c r="A96" i="34"/>
  <c r="C95" i="34"/>
  <c r="B95" i="34"/>
  <c r="A95" i="34"/>
  <c r="E94" i="34"/>
  <c r="C94" i="34"/>
  <c r="B94" i="34"/>
  <c r="A94" i="34"/>
  <c r="C93" i="34"/>
  <c r="B93" i="34"/>
  <c r="A93" i="34"/>
  <c r="E92" i="34"/>
  <c r="C92" i="34"/>
  <c r="B92" i="34"/>
  <c r="A92" i="34"/>
  <c r="C91" i="34"/>
  <c r="B91" i="34"/>
  <c r="A91" i="34"/>
  <c r="C90" i="34"/>
  <c r="B90" i="34"/>
  <c r="A90" i="34"/>
  <c r="E89" i="34"/>
  <c r="C89" i="34"/>
  <c r="B89" i="34"/>
  <c r="A89" i="34"/>
  <c r="E88" i="34"/>
  <c r="C88" i="34"/>
  <c r="B88" i="34"/>
  <c r="A88" i="34"/>
  <c r="E87" i="34"/>
  <c r="C87" i="34"/>
  <c r="B87" i="34"/>
  <c r="A87" i="34"/>
  <c r="E86" i="34"/>
  <c r="C86" i="34"/>
  <c r="B86" i="34"/>
  <c r="A86" i="34"/>
  <c r="E85" i="34"/>
  <c r="C85" i="34"/>
  <c r="B85" i="34"/>
  <c r="A85" i="34"/>
  <c r="E84" i="34"/>
  <c r="C84" i="34"/>
  <c r="B84" i="34"/>
  <c r="A84" i="34"/>
  <c r="E83" i="34"/>
  <c r="C83" i="34"/>
  <c r="B83" i="34"/>
  <c r="A83" i="34"/>
  <c r="C82" i="34"/>
  <c r="B82" i="34"/>
  <c r="A82" i="34"/>
  <c r="E81" i="34"/>
  <c r="C81" i="34"/>
  <c r="B81" i="34"/>
  <c r="A81" i="34"/>
  <c r="C80" i="34"/>
  <c r="B80" i="34"/>
  <c r="A80" i="34"/>
  <c r="C79" i="34"/>
  <c r="B79" i="34"/>
  <c r="A79" i="34"/>
  <c r="E78" i="34"/>
  <c r="C78" i="34"/>
  <c r="B78" i="34"/>
  <c r="A78" i="34"/>
  <c r="G77" i="34"/>
  <c r="E77" i="34"/>
  <c r="C77" i="34"/>
  <c r="B77" i="34"/>
  <c r="A77" i="34"/>
  <c r="E76" i="34"/>
  <c r="C76" i="34"/>
  <c r="B76" i="34"/>
  <c r="A76" i="34"/>
  <c r="E75" i="34"/>
  <c r="C75" i="34"/>
  <c r="B75" i="34"/>
  <c r="A75" i="34"/>
  <c r="E74" i="34"/>
  <c r="C74" i="34"/>
  <c r="B74" i="34"/>
  <c r="A74" i="34"/>
  <c r="E73" i="34"/>
  <c r="C73" i="34"/>
  <c r="B73" i="34"/>
  <c r="A73" i="34"/>
  <c r="C72" i="34"/>
  <c r="B72" i="34"/>
  <c r="A72" i="34"/>
  <c r="E71" i="34"/>
  <c r="C71" i="34"/>
  <c r="B71" i="34"/>
  <c r="A71" i="34"/>
  <c r="E70" i="34"/>
  <c r="C70" i="34"/>
  <c r="B70" i="34"/>
  <c r="A70" i="34"/>
  <c r="E69" i="34"/>
  <c r="C69" i="34"/>
  <c r="B69" i="34"/>
  <c r="A69" i="34"/>
  <c r="E68" i="34"/>
  <c r="C68" i="34"/>
  <c r="B68" i="34"/>
  <c r="A68" i="34"/>
  <c r="C67" i="34"/>
  <c r="B67" i="34"/>
  <c r="A67" i="34"/>
  <c r="E66" i="34"/>
  <c r="C66" i="34"/>
  <c r="B66" i="34"/>
  <c r="A66" i="34"/>
  <c r="E65" i="34"/>
  <c r="C65" i="34"/>
  <c r="B65" i="34"/>
  <c r="A65" i="34"/>
  <c r="E64" i="34"/>
  <c r="C64" i="34"/>
  <c r="B64" i="34"/>
  <c r="A64" i="34"/>
  <c r="E63" i="34"/>
  <c r="C63" i="34"/>
  <c r="B63" i="34"/>
  <c r="A63" i="34"/>
  <c r="E62" i="34"/>
  <c r="C62" i="34"/>
  <c r="B62" i="34"/>
  <c r="A62" i="34"/>
  <c r="C61" i="34"/>
  <c r="B61" i="34"/>
  <c r="A61" i="34"/>
  <c r="E60" i="34"/>
  <c r="C60" i="34"/>
  <c r="B60" i="34"/>
  <c r="A60" i="34"/>
  <c r="E59" i="34"/>
  <c r="C59" i="34"/>
  <c r="B59" i="34"/>
  <c r="A59" i="34"/>
  <c r="E58" i="34"/>
  <c r="C58" i="34"/>
  <c r="B58" i="34"/>
  <c r="A58" i="34"/>
  <c r="E57" i="34"/>
  <c r="C57" i="34"/>
  <c r="B57" i="34"/>
  <c r="A57" i="34"/>
  <c r="E56" i="34"/>
  <c r="C56" i="34"/>
  <c r="B56" i="34"/>
  <c r="A56" i="34"/>
  <c r="E55" i="34"/>
  <c r="C55" i="34"/>
  <c r="B55" i="34"/>
  <c r="A55" i="34"/>
  <c r="C54" i="34"/>
  <c r="B54" i="34"/>
  <c r="A54" i="34"/>
  <c r="E53" i="34"/>
  <c r="C53" i="34"/>
  <c r="B53" i="34"/>
  <c r="A53" i="34"/>
  <c r="E52" i="34"/>
  <c r="C52" i="34"/>
  <c r="B52" i="34"/>
  <c r="A52" i="34"/>
  <c r="C51" i="34"/>
  <c r="B51" i="34"/>
  <c r="A51" i="34"/>
  <c r="E50" i="34"/>
  <c r="C50" i="34"/>
  <c r="B50" i="34"/>
  <c r="A50" i="34"/>
  <c r="C49" i="34"/>
  <c r="B49" i="34"/>
  <c r="A49" i="34"/>
  <c r="E48" i="34"/>
  <c r="C48" i="34"/>
  <c r="B48" i="34"/>
  <c r="A48" i="34"/>
  <c r="E47" i="34"/>
  <c r="C47" i="34"/>
  <c r="B47" i="34"/>
  <c r="A47" i="34"/>
  <c r="C46" i="34"/>
  <c r="B46" i="34"/>
  <c r="A46" i="34"/>
  <c r="E45" i="34"/>
  <c r="C45" i="34"/>
  <c r="B45" i="34"/>
  <c r="A45" i="34"/>
  <c r="E44" i="34"/>
  <c r="C44" i="34"/>
  <c r="B44" i="34"/>
  <c r="A44" i="34"/>
  <c r="C43" i="34"/>
  <c r="B43" i="34"/>
  <c r="A43" i="34"/>
  <c r="C42" i="34"/>
  <c r="B42" i="34"/>
  <c r="A42" i="34"/>
  <c r="E41" i="34"/>
  <c r="C41" i="34"/>
  <c r="B41" i="34"/>
  <c r="A41" i="34"/>
  <c r="E40" i="34"/>
  <c r="C40" i="34"/>
  <c r="B40" i="34"/>
  <c r="A40" i="34"/>
  <c r="C39" i="34"/>
  <c r="B39" i="34"/>
  <c r="A39" i="34"/>
  <c r="E38" i="34"/>
  <c r="C38" i="34"/>
  <c r="B38" i="34"/>
  <c r="A38" i="34"/>
  <c r="E37" i="34"/>
  <c r="C37" i="34"/>
  <c r="B37" i="34"/>
  <c r="A37" i="34"/>
  <c r="E36" i="34"/>
  <c r="C36" i="34"/>
  <c r="B36" i="34"/>
  <c r="A36" i="34"/>
  <c r="E35" i="34"/>
  <c r="C35" i="34"/>
  <c r="B35" i="34"/>
  <c r="A35" i="34"/>
  <c r="E34" i="34"/>
  <c r="C34" i="34"/>
  <c r="B34" i="34"/>
  <c r="A34" i="34"/>
  <c r="E33" i="34"/>
  <c r="C33" i="34"/>
  <c r="B33" i="34"/>
  <c r="A33" i="34"/>
  <c r="C32" i="34"/>
  <c r="B32" i="34"/>
  <c r="A32" i="34"/>
  <c r="E31" i="34"/>
  <c r="C31" i="34"/>
  <c r="B31" i="34"/>
  <c r="A31" i="34"/>
  <c r="E30" i="34"/>
  <c r="C30" i="34"/>
  <c r="B30" i="34"/>
  <c r="A30" i="34"/>
  <c r="C29" i="34"/>
  <c r="B29" i="34"/>
  <c r="A29" i="34"/>
  <c r="E28" i="34"/>
  <c r="C28" i="34"/>
  <c r="B28" i="34"/>
  <c r="A28" i="34"/>
  <c r="E27" i="34"/>
  <c r="C27" i="34"/>
  <c r="B27" i="34"/>
  <c r="A27" i="34"/>
  <c r="E26" i="34"/>
  <c r="C26" i="34"/>
  <c r="B26" i="34"/>
  <c r="A26" i="34"/>
  <c r="E25" i="34"/>
  <c r="C25" i="34"/>
  <c r="B25" i="34"/>
  <c r="A25" i="34"/>
  <c r="E24" i="34"/>
  <c r="C24" i="34"/>
  <c r="B24" i="34"/>
  <c r="A24" i="34"/>
  <c r="E23" i="34"/>
  <c r="C23" i="34"/>
  <c r="B23" i="34"/>
  <c r="A23" i="34"/>
  <c r="E22" i="34"/>
  <c r="C22" i="34"/>
  <c r="B22" i="34"/>
  <c r="A22" i="34"/>
  <c r="E21" i="34"/>
  <c r="C21" i="34"/>
  <c r="B21" i="34"/>
  <c r="A21" i="34"/>
  <c r="E20" i="34"/>
  <c r="C20" i="34"/>
  <c r="B20" i="34"/>
  <c r="A20" i="34"/>
  <c r="E19" i="34"/>
  <c r="C19" i="34"/>
  <c r="B19" i="34"/>
  <c r="A19" i="34"/>
  <c r="C18" i="34"/>
  <c r="B18" i="34"/>
  <c r="A18" i="34"/>
  <c r="E17" i="34"/>
  <c r="C17" i="34"/>
  <c r="B17" i="34"/>
  <c r="A17" i="34"/>
  <c r="E16" i="34"/>
  <c r="C16" i="34"/>
  <c r="B16" i="34"/>
  <c r="A16" i="34"/>
  <c r="E15" i="34"/>
  <c r="C15" i="34"/>
  <c r="B15" i="34"/>
  <c r="A15" i="34"/>
  <c r="C14" i="34"/>
  <c r="B14" i="34"/>
  <c r="A14" i="34"/>
  <c r="E13" i="34"/>
  <c r="C13" i="34"/>
  <c r="B13" i="34"/>
  <c r="A13" i="34"/>
  <c r="C12" i="34"/>
  <c r="B12" i="34"/>
  <c r="A12" i="34"/>
  <c r="C11" i="34"/>
  <c r="A157" i="34" s="1"/>
  <c r="B11" i="34"/>
  <c r="A11" i="34"/>
  <c r="C10" i="34"/>
  <c r="B10" i="34"/>
  <c r="A10" i="34"/>
  <c r="A42" i="32"/>
  <c r="A79" i="32"/>
  <c r="A90" i="32"/>
  <c r="A114" i="32"/>
  <c r="A122" i="32"/>
  <c r="A10" i="32"/>
  <c r="B10" i="32"/>
  <c r="C10" i="32"/>
  <c r="A11" i="32"/>
  <c r="B11" i="32"/>
  <c r="C11" i="32"/>
  <c r="A12" i="32"/>
  <c r="B12" i="32"/>
  <c r="C12" i="32"/>
  <c r="E12" i="32"/>
  <c r="A13" i="32"/>
  <c r="B13" i="32"/>
  <c r="C13" i="32"/>
  <c r="E13" i="32"/>
  <c r="A14" i="32"/>
  <c r="B14" i="32"/>
  <c r="C14" i="32"/>
  <c r="A15" i="32"/>
  <c r="B15" i="32"/>
  <c r="C15" i="32"/>
  <c r="E15" i="32"/>
  <c r="A16" i="32"/>
  <c r="B16" i="32"/>
  <c r="C16" i="32"/>
  <c r="E16" i="32"/>
  <c r="A17" i="32"/>
  <c r="B17" i="32"/>
  <c r="C17" i="32"/>
  <c r="E17" i="32"/>
  <c r="A18" i="32"/>
  <c r="B18" i="32"/>
  <c r="C18" i="32"/>
  <c r="A19" i="32"/>
  <c r="B19" i="32"/>
  <c r="C19" i="32"/>
  <c r="E19" i="32"/>
  <c r="A20" i="32"/>
  <c r="B20" i="32"/>
  <c r="C20" i="32"/>
  <c r="E20" i="32"/>
  <c r="A21" i="32"/>
  <c r="B21" i="32"/>
  <c r="C21" i="32"/>
  <c r="E21" i="32"/>
  <c r="A22" i="32"/>
  <c r="B22" i="32"/>
  <c r="C22" i="32"/>
  <c r="E22" i="32"/>
  <c r="A23" i="32"/>
  <c r="B23" i="32"/>
  <c r="C23" i="32"/>
  <c r="E23" i="32"/>
  <c r="A24" i="32"/>
  <c r="B24" i="32"/>
  <c r="C24" i="32"/>
  <c r="E24" i="32"/>
  <c r="A25" i="32"/>
  <c r="B25" i="32"/>
  <c r="C25" i="32"/>
  <c r="E25" i="32"/>
  <c r="A26" i="32"/>
  <c r="B26" i="32"/>
  <c r="C26" i="32"/>
  <c r="E26" i="32"/>
  <c r="A27" i="32"/>
  <c r="B27" i="32"/>
  <c r="C27" i="32"/>
  <c r="E27" i="32"/>
  <c r="A28" i="32"/>
  <c r="B28" i="32"/>
  <c r="C28" i="32"/>
  <c r="E28" i="32"/>
  <c r="A29" i="32"/>
  <c r="B29" i="32"/>
  <c r="C29" i="32"/>
  <c r="A30" i="32"/>
  <c r="B30" i="32"/>
  <c r="C30" i="32"/>
  <c r="E30" i="32"/>
  <c r="A31" i="32"/>
  <c r="B31" i="32"/>
  <c r="C31" i="32"/>
  <c r="E31" i="32"/>
  <c r="A32" i="32"/>
  <c r="B32" i="32"/>
  <c r="C32" i="32"/>
  <c r="A33" i="32"/>
  <c r="B33" i="32"/>
  <c r="C33" i="32"/>
  <c r="E33" i="32"/>
  <c r="A34" i="32"/>
  <c r="B34" i="32"/>
  <c r="C34" i="32"/>
  <c r="E34" i="32"/>
  <c r="A35" i="32"/>
  <c r="B35" i="32"/>
  <c r="C35" i="32"/>
  <c r="E35" i="32"/>
  <c r="A36" i="32"/>
  <c r="B36" i="32"/>
  <c r="C36" i="32"/>
  <c r="E36" i="32"/>
  <c r="A37" i="32"/>
  <c r="B37" i="32"/>
  <c r="C37" i="32"/>
  <c r="E37" i="32"/>
  <c r="A38" i="32"/>
  <c r="B38" i="32"/>
  <c r="C38" i="32"/>
  <c r="E38" i="32"/>
  <c r="A39" i="32"/>
  <c r="B39" i="32"/>
  <c r="C39" i="32"/>
  <c r="A40" i="32"/>
  <c r="B40" i="32"/>
  <c r="C40" i="32"/>
  <c r="E40" i="32"/>
  <c r="A41" i="32"/>
  <c r="B41" i="32"/>
  <c r="C41" i="32"/>
  <c r="E41" i="32"/>
  <c r="C42" i="32"/>
  <c r="A43" i="32"/>
  <c r="B43" i="32"/>
  <c r="C43" i="32"/>
  <c r="A44" i="32"/>
  <c r="B44" i="32"/>
  <c r="C44" i="32"/>
  <c r="E44" i="32"/>
  <c r="A45" i="32"/>
  <c r="B45" i="32"/>
  <c r="C45" i="32"/>
  <c r="E45" i="32"/>
  <c r="A46" i="32"/>
  <c r="B46" i="32"/>
  <c r="C46" i="32"/>
  <c r="A47" i="32"/>
  <c r="B47" i="32"/>
  <c r="C47" i="32"/>
  <c r="E47" i="32"/>
  <c r="A48" i="32"/>
  <c r="B48" i="32"/>
  <c r="C48" i="32"/>
  <c r="E48" i="32"/>
  <c r="A49" i="32"/>
  <c r="B49" i="32"/>
  <c r="C49" i="32"/>
  <c r="A50" i="32"/>
  <c r="B50" i="32"/>
  <c r="C50" i="32"/>
  <c r="E50" i="32"/>
  <c r="A51" i="32"/>
  <c r="B51" i="32"/>
  <c r="C51" i="32"/>
  <c r="A52" i="32"/>
  <c r="B52" i="32"/>
  <c r="C52" i="32"/>
  <c r="E52" i="32"/>
  <c r="A53" i="32"/>
  <c r="B53" i="32"/>
  <c r="C53" i="32"/>
  <c r="E53" i="32"/>
  <c r="A54" i="32"/>
  <c r="B54" i="32"/>
  <c r="C54" i="32"/>
  <c r="A55" i="32"/>
  <c r="B55" i="32"/>
  <c r="C55" i="32"/>
  <c r="E55" i="32"/>
  <c r="A56" i="32"/>
  <c r="B56" i="32"/>
  <c r="C56" i="32"/>
  <c r="E56" i="32"/>
  <c r="A57" i="32"/>
  <c r="B57" i="32"/>
  <c r="C57" i="32"/>
  <c r="E57" i="32"/>
  <c r="A58" i="32"/>
  <c r="B58" i="32"/>
  <c r="C58" i="32"/>
  <c r="E58" i="32"/>
  <c r="A59" i="32"/>
  <c r="B59" i="32"/>
  <c r="C59" i="32"/>
  <c r="E59" i="32"/>
  <c r="A60" i="32"/>
  <c r="B60" i="32"/>
  <c r="C60" i="32"/>
  <c r="E60" i="32"/>
  <c r="A61" i="32"/>
  <c r="B61" i="32"/>
  <c r="C61" i="32"/>
  <c r="A62" i="32"/>
  <c r="B62" i="32"/>
  <c r="C62" i="32"/>
  <c r="E62" i="32"/>
  <c r="A63" i="32"/>
  <c r="B63" i="32"/>
  <c r="C63" i="32"/>
  <c r="E63" i="32"/>
  <c r="A64" i="32"/>
  <c r="B64" i="32"/>
  <c r="C64" i="32"/>
  <c r="E64" i="32"/>
  <c r="A65" i="32"/>
  <c r="B65" i="32"/>
  <c r="C65" i="32"/>
  <c r="E65" i="32"/>
  <c r="A66" i="32"/>
  <c r="B66" i="32"/>
  <c r="C66" i="32"/>
  <c r="E66" i="32"/>
  <c r="A67" i="32"/>
  <c r="B67" i="32"/>
  <c r="C67" i="32"/>
  <c r="A68" i="32"/>
  <c r="B68" i="32"/>
  <c r="C68" i="32"/>
  <c r="E68" i="32"/>
  <c r="A69" i="32"/>
  <c r="B69" i="32"/>
  <c r="C69" i="32"/>
  <c r="A70" i="32"/>
  <c r="B70" i="32"/>
  <c r="C70" i="32"/>
  <c r="E70" i="32"/>
  <c r="A71" i="32"/>
  <c r="B71" i="32"/>
  <c r="C71" i="32"/>
  <c r="E71" i="32"/>
  <c r="A72" i="32"/>
  <c r="B72" i="32"/>
  <c r="C72" i="32"/>
  <c r="A73" i="32"/>
  <c r="B73" i="32"/>
  <c r="C73" i="32"/>
  <c r="E73" i="32"/>
  <c r="A74" i="32"/>
  <c r="B74" i="32"/>
  <c r="C74" i="32"/>
  <c r="E74" i="32"/>
  <c r="A75" i="32"/>
  <c r="B75" i="32"/>
  <c r="C75" i="32"/>
  <c r="E75" i="32"/>
  <c r="A76" i="32"/>
  <c r="B76" i="32"/>
  <c r="C76" i="32"/>
  <c r="E76" i="32"/>
  <c r="A77" i="32"/>
  <c r="B77" i="32"/>
  <c r="C77" i="32"/>
  <c r="G77" i="32"/>
  <c r="A78" i="32"/>
  <c r="B78" i="32"/>
  <c r="C78" i="32"/>
  <c r="E78" i="32"/>
  <c r="B79" i="32"/>
  <c r="C79" i="32"/>
  <c r="A80" i="32"/>
  <c r="B80" i="32"/>
  <c r="C80" i="32"/>
  <c r="A81" i="32"/>
  <c r="B81" i="32"/>
  <c r="C81" i="32"/>
  <c r="E81" i="32"/>
  <c r="A82" i="32"/>
  <c r="B82" i="32"/>
  <c r="C82" i="32"/>
  <c r="A83" i="32"/>
  <c r="B83" i="32"/>
  <c r="C83" i="32"/>
  <c r="E83" i="32"/>
  <c r="A84" i="32"/>
  <c r="B84" i="32"/>
  <c r="C84" i="32"/>
  <c r="A85" i="32"/>
  <c r="B85" i="32"/>
  <c r="C85" i="32"/>
  <c r="E85" i="32"/>
  <c r="A86" i="32"/>
  <c r="B86" i="32"/>
  <c r="C86" i="32"/>
  <c r="A87" i="32"/>
  <c r="B87" i="32"/>
  <c r="C87" i="32"/>
  <c r="E87" i="32"/>
  <c r="A88" i="32"/>
  <c r="B88" i="32"/>
  <c r="C88" i="32"/>
  <c r="E88" i="32"/>
  <c r="A89" i="32"/>
  <c r="B89" i="32"/>
  <c r="C89" i="32"/>
  <c r="E89" i="32"/>
  <c r="B90" i="32"/>
  <c r="C90" i="32"/>
  <c r="A91" i="32"/>
  <c r="B91" i="32"/>
  <c r="C91" i="32"/>
  <c r="A92" i="32"/>
  <c r="B92" i="32"/>
  <c r="C92" i="32"/>
  <c r="E92" i="32"/>
  <c r="A93" i="32"/>
  <c r="B93" i="32"/>
  <c r="C93" i="32"/>
  <c r="A94" i="32"/>
  <c r="B94" i="32"/>
  <c r="C94" i="32"/>
  <c r="E94" i="32"/>
  <c r="A95" i="32"/>
  <c r="B95" i="32"/>
  <c r="C95" i="32"/>
  <c r="A96" i="32"/>
  <c r="B96" i="32"/>
  <c r="C96" i="32"/>
  <c r="E96" i="32"/>
  <c r="A97" i="32"/>
  <c r="B97" i="32"/>
  <c r="C97" i="32"/>
  <c r="E97" i="32"/>
  <c r="A98" i="32"/>
  <c r="B98" i="32"/>
  <c r="C98" i="32"/>
  <c r="A99" i="32"/>
  <c r="B99" i="32"/>
  <c r="C99" i="32"/>
  <c r="E99" i="32"/>
  <c r="A100" i="32"/>
  <c r="B100" i="32"/>
  <c r="C100" i="32"/>
  <c r="E100" i="32"/>
  <c r="A101" i="32"/>
  <c r="B101" i="32"/>
  <c r="C101" i="32"/>
  <c r="E101" i="32"/>
  <c r="A102" i="32"/>
  <c r="B102" i="32"/>
  <c r="C102" i="32"/>
  <c r="E102" i="32"/>
  <c r="A103" i="32"/>
  <c r="B103" i="32"/>
  <c r="C103" i="32"/>
  <c r="E103" i="32"/>
  <c r="A104" i="32"/>
  <c r="B104" i="32"/>
  <c r="C104" i="32"/>
  <c r="E104" i="32"/>
  <c r="A105" i="32"/>
  <c r="B105" i="32"/>
  <c r="C105" i="32"/>
  <c r="E105" i="32"/>
  <c r="A106" i="32"/>
  <c r="B106" i="32"/>
  <c r="C106" i="32"/>
  <c r="E106" i="32"/>
  <c r="A107" i="32"/>
  <c r="B107" i="32"/>
  <c r="C107" i="32"/>
  <c r="A108" i="32"/>
  <c r="B108" i="32"/>
  <c r="C108" i="32"/>
  <c r="E108" i="32"/>
  <c r="A109" i="32"/>
  <c r="B109" i="32"/>
  <c r="C109" i="32"/>
  <c r="A110" i="32"/>
  <c r="B110" i="32"/>
  <c r="C110" i="32"/>
  <c r="E110" i="32"/>
  <c r="A111" i="32"/>
  <c r="B111" i="32"/>
  <c r="C111" i="32"/>
  <c r="E111" i="32"/>
  <c r="A112" i="32"/>
  <c r="B112" i="32"/>
  <c r="C112" i="32"/>
  <c r="E112" i="32"/>
  <c r="A113" i="32"/>
  <c r="B113" i="32"/>
  <c r="C113" i="32"/>
  <c r="E113" i="32"/>
  <c r="B114" i="32"/>
  <c r="C114" i="32"/>
  <c r="A115" i="32"/>
  <c r="B115" i="32"/>
  <c r="C115" i="32"/>
  <c r="A116" i="32"/>
  <c r="B116" i="32"/>
  <c r="C116" i="32"/>
  <c r="E116" i="32"/>
  <c r="A117" i="32"/>
  <c r="B117" i="32"/>
  <c r="C117" i="32"/>
  <c r="E117" i="32"/>
  <c r="A118" i="32"/>
  <c r="B118" i="32"/>
  <c r="C118" i="32"/>
  <c r="E118" i="32"/>
  <c r="A119" i="32"/>
  <c r="B119" i="32"/>
  <c r="C119" i="32"/>
  <c r="E119" i="32"/>
  <c r="A120" i="32"/>
  <c r="B120" i="32"/>
  <c r="C120" i="32"/>
  <c r="E120" i="32"/>
  <c r="A121" i="32"/>
  <c r="B121" i="32"/>
  <c r="C121" i="32"/>
  <c r="E121" i="32"/>
  <c r="B122" i="32"/>
  <c r="C122" i="32"/>
  <c r="A123" i="32"/>
  <c r="B123" i="32"/>
  <c r="C123" i="32"/>
  <c r="A124" i="32"/>
  <c r="B124" i="32"/>
  <c r="C124" i="32"/>
  <c r="E124" i="32"/>
  <c r="A125" i="32"/>
  <c r="B125" i="32"/>
  <c r="C125" i="32"/>
  <c r="E125" i="32"/>
  <c r="A126" i="32"/>
  <c r="B126" i="32"/>
  <c r="C126" i="32"/>
  <c r="E126" i="32"/>
  <c r="A127" i="32"/>
  <c r="B127" i="32"/>
  <c r="C127" i="32"/>
  <c r="E127" i="32"/>
  <c r="A128" i="32"/>
  <c r="B128" i="32"/>
  <c r="C128" i="32"/>
  <c r="E128" i="32"/>
  <c r="A129" i="32"/>
  <c r="B129" i="32"/>
  <c r="C129" i="32"/>
  <c r="E129" i="32"/>
  <c r="A130" i="32"/>
  <c r="B130" i="32"/>
  <c r="C130" i="32"/>
  <c r="E130" i="32"/>
  <c r="A131" i="32"/>
  <c r="B131" i="32"/>
  <c r="C131" i="32"/>
  <c r="A132" i="32"/>
  <c r="B132" i="32"/>
  <c r="C132" i="32"/>
  <c r="E132" i="32"/>
  <c r="A133" i="32"/>
  <c r="B133" i="32"/>
  <c r="C133" i="32"/>
  <c r="E133" i="32"/>
  <c r="A134" i="32"/>
  <c r="B134" i="32"/>
  <c r="C134" i="32"/>
  <c r="E134" i="32"/>
  <c r="A135" i="32"/>
  <c r="B135" i="32"/>
  <c r="C135" i="32"/>
  <c r="E135" i="32"/>
  <c r="A136" i="32"/>
  <c r="B136" i="32"/>
  <c r="C136" i="32"/>
  <c r="E136" i="32"/>
  <c r="A137" i="32"/>
  <c r="B137" i="32"/>
  <c r="C137" i="32"/>
  <c r="E137" i="32"/>
  <c r="A138" i="32"/>
  <c r="B138" i="32"/>
  <c r="C138" i="32"/>
  <c r="E138" i="32"/>
  <c r="A139" i="32"/>
  <c r="B139" i="32"/>
  <c r="C139" i="32"/>
  <c r="E139" i="32"/>
  <c r="A140" i="32"/>
  <c r="B140" i="32"/>
  <c r="C140" i="32"/>
  <c r="A141" i="32"/>
  <c r="B141" i="32"/>
  <c r="C141" i="32"/>
  <c r="E141" i="32"/>
  <c r="A142" i="32"/>
  <c r="B142" i="32"/>
  <c r="C142" i="32"/>
  <c r="A143" i="32"/>
  <c r="B143" i="32"/>
  <c r="C143" i="32"/>
  <c r="E143" i="32"/>
  <c r="A144" i="32"/>
  <c r="B144" i="32"/>
  <c r="C144" i="32"/>
  <c r="A145" i="32"/>
  <c r="B145" i="32"/>
  <c r="C145" i="32"/>
  <c r="E145" i="32"/>
  <c r="A146" i="32"/>
  <c r="B146" i="32"/>
  <c r="C146" i="32"/>
  <c r="A147" i="32"/>
  <c r="B147" i="32"/>
  <c r="C147" i="32"/>
  <c r="E147" i="32"/>
  <c r="A148" i="32"/>
  <c r="B148" i="32"/>
  <c r="C148" i="32"/>
  <c r="A149" i="32"/>
  <c r="B149" i="32"/>
  <c r="C149" i="32"/>
  <c r="E149" i="32"/>
  <c r="A150" i="32"/>
  <c r="B150" i="32"/>
  <c r="C150" i="32"/>
  <c r="A151" i="32"/>
  <c r="B151" i="32"/>
  <c r="C151" i="32"/>
  <c r="E151" i="32"/>
  <c r="A152" i="32"/>
  <c r="B152" i="32"/>
  <c r="C152" i="32"/>
  <c r="A153" i="32"/>
  <c r="B153" i="32"/>
  <c r="C153" i="32"/>
  <c r="E153" i="32"/>
  <c r="A154" i="32"/>
  <c r="B154" i="32"/>
  <c r="C154" i="32"/>
  <c r="A155" i="32"/>
  <c r="B155" i="32"/>
  <c r="C155" i="32"/>
  <c r="E155" i="32"/>
  <c r="E49" i="24"/>
  <c r="E49" i="32" s="1"/>
  <c r="E49" i="39" l="1"/>
  <c r="E49" i="36"/>
  <c r="E49" i="37"/>
  <c r="E49" i="38"/>
  <c r="E49" i="34"/>
  <c r="AS387" i="1"/>
  <c r="AS386" i="1"/>
  <c r="AS385" i="1"/>
  <c r="E18" i="24" l="1"/>
  <c r="D138" i="24"/>
  <c r="D155" i="24"/>
  <c r="D153" i="24"/>
  <c r="D151" i="24"/>
  <c r="D149" i="24"/>
  <c r="D147" i="24"/>
  <c r="D145" i="24"/>
  <c r="D143" i="24"/>
  <c r="D141" i="24"/>
  <c r="D139" i="24"/>
  <c r="D137" i="24"/>
  <c r="D136" i="24"/>
  <c r="D135" i="24"/>
  <c r="D134" i="24"/>
  <c r="D133" i="24"/>
  <c r="D132" i="24"/>
  <c r="D130" i="24"/>
  <c r="D129" i="24"/>
  <c r="D128" i="24"/>
  <c r="D127" i="24"/>
  <c r="D126" i="24"/>
  <c r="D125" i="24"/>
  <c r="D124" i="24"/>
  <c r="D121" i="24"/>
  <c r="D120" i="24"/>
  <c r="D119" i="24"/>
  <c r="D118" i="24"/>
  <c r="D117" i="24"/>
  <c r="D116" i="24"/>
  <c r="D113" i="24"/>
  <c r="D112" i="24"/>
  <c r="D111" i="24"/>
  <c r="D110" i="24"/>
  <c r="D108" i="24"/>
  <c r="D106" i="24"/>
  <c r="D105" i="24"/>
  <c r="D104" i="24"/>
  <c r="D103" i="24"/>
  <c r="D102" i="24"/>
  <c r="D101" i="24"/>
  <c r="D100" i="24"/>
  <c r="D99" i="24"/>
  <c r="D97" i="24"/>
  <c r="D96" i="24"/>
  <c r="D94" i="24"/>
  <c r="D92" i="24"/>
  <c r="D89" i="24"/>
  <c r="D88" i="24"/>
  <c r="D87" i="24"/>
  <c r="D85" i="24"/>
  <c r="D83" i="24"/>
  <c r="D81" i="24"/>
  <c r="D78" i="24"/>
  <c r="D76" i="24"/>
  <c r="D75" i="24"/>
  <c r="D74" i="24"/>
  <c r="D73" i="24"/>
  <c r="D71" i="24"/>
  <c r="D70" i="24"/>
  <c r="D68" i="24"/>
  <c r="D66" i="24"/>
  <c r="D65" i="24"/>
  <c r="D64" i="24"/>
  <c r="D63" i="24"/>
  <c r="D62" i="24"/>
  <c r="D60" i="24"/>
  <c r="D59" i="24"/>
  <c r="D58" i="24"/>
  <c r="D57" i="24"/>
  <c r="D56" i="24"/>
  <c r="D55" i="24"/>
  <c r="D53" i="24"/>
  <c r="D52" i="24"/>
  <c r="D50" i="24"/>
  <c r="D48" i="24"/>
  <c r="D47" i="24"/>
  <c r="D45" i="24"/>
  <c r="D44" i="24"/>
  <c r="D41" i="24"/>
  <c r="D40" i="24"/>
  <c r="D38" i="24"/>
  <c r="D37" i="24"/>
  <c r="D36" i="24"/>
  <c r="D35" i="24"/>
  <c r="D34" i="24"/>
  <c r="D33" i="24"/>
  <c r="D31" i="24"/>
  <c r="D30" i="24"/>
  <c r="D28" i="24"/>
  <c r="D27" i="24"/>
  <c r="D26" i="24"/>
  <c r="D25" i="24"/>
  <c r="D24" i="24"/>
  <c r="D23" i="24"/>
  <c r="D22" i="24"/>
  <c r="D21" i="24"/>
  <c r="D20" i="24"/>
  <c r="D19" i="24"/>
  <c r="D16" i="24"/>
  <c r="D17" i="24"/>
  <c r="D15" i="24"/>
  <c r="E154" i="24"/>
  <c r="E152" i="24"/>
  <c r="E150" i="24"/>
  <c r="E148" i="24"/>
  <c r="E146" i="24"/>
  <c r="E144" i="24"/>
  <c r="E142" i="24"/>
  <c r="E140" i="24"/>
  <c r="E131" i="24"/>
  <c r="E123" i="24"/>
  <c r="E115" i="24"/>
  <c r="E109" i="24"/>
  <c r="E107" i="24"/>
  <c r="E95" i="24"/>
  <c r="E93" i="24"/>
  <c r="E91" i="24"/>
  <c r="E86" i="32"/>
  <c r="E84" i="32"/>
  <c r="E82" i="24"/>
  <c r="E80" i="24"/>
  <c r="E77" i="32"/>
  <c r="E72" i="24"/>
  <c r="E69" i="32"/>
  <c r="E67" i="24"/>
  <c r="E61" i="24"/>
  <c r="E54" i="24"/>
  <c r="E51" i="24"/>
  <c r="E46" i="24"/>
  <c r="E43" i="24"/>
  <c r="E39" i="24"/>
  <c r="E32" i="24"/>
  <c r="E29" i="24"/>
  <c r="E14" i="24"/>
  <c r="L403" i="1"/>
  <c r="AS73" i="1"/>
  <c r="AS180" i="1"/>
  <c r="AS391" i="1"/>
  <c r="AS536" i="1"/>
  <c r="D14" i="24" l="1"/>
  <c r="E51" i="32"/>
  <c r="E51" i="39"/>
  <c r="E51" i="38"/>
  <c r="E51" i="37"/>
  <c r="E51" i="36"/>
  <c r="E51" i="34"/>
  <c r="E93" i="32"/>
  <c r="E93" i="39"/>
  <c r="E93" i="38"/>
  <c r="E93" i="37"/>
  <c r="E93" i="36"/>
  <c r="E93" i="35"/>
  <c r="E93" i="34"/>
  <c r="E148" i="32"/>
  <c r="E148" i="39"/>
  <c r="E148" i="38"/>
  <c r="E148" i="37"/>
  <c r="E148" i="36"/>
  <c r="E148" i="35"/>
  <c r="E148" i="34"/>
  <c r="E14" i="32"/>
  <c r="E14" i="39"/>
  <c r="E14" i="38"/>
  <c r="E14" i="37"/>
  <c r="E14" i="36"/>
  <c r="E14" i="35"/>
  <c r="E43" i="32"/>
  <c r="E43" i="39"/>
  <c r="E43" i="38"/>
  <c r="E43" i="37"/>
  <c r="E43" i="36"/>
  <c r="E43" i="34"/>
  <c r="E123" i="32"/>
  <c r="E123" i="39"/>
  <c r="E123" i="38"/>
  <c r="E123" i="37"/>
  <c r="E123" i="36"/>
  <c r="E123" i="35"/>
  <c r="E123" i="34"/>
  <c r="E144" i="32"/>
  <c r="E144" i="39"/>
  <c r="E144" i="38"/>
  <c r="E144" i="37"/>
  <c r="E144" i="36"/>
  <c r="E144" i="35"/>
  <c r="E144" i="34"/>
  <c r="E152" i="32"/>
  <c r="E152" i="39"/>
  <c r="E152" i="38"/>
  <c r="E152" i="37"/>
  <c r="E152" i="36"/>
  <c r="E152" i="35"/>
  <c r="E152" i="34"/>
  <c r="E140" i="32"/>
  <c r="E140" i="39"/>
  <c r="E140" i="38"/>
  <c r="E140" i="37"/>
  <c r="E140" i="36"/>
  <c r="E140" i="35"/>
  <c r="E140" i="34"/>
  <c r="E29" i="32"/>
  <c r="E29" i="39"/>
  <c r="E29" i="38"/>
  <c r="E29" i="37"/>
  <c r="E29" i="36"/>
  <c r="E29" i="35"/>
  <c r="E80" i="32"/>
  <c r="E80" i="39"/>
  <c r="E80" i="38"/>
  <c r="E80" i="37"/>
  <c r="E80" i="35"/>
  <c r="E80" i="34"/>
  <c r="E91" i="32"/>
  <c r="E91" i="39"/>
  <c r="E91" i="38"/>
  <c r="E91" i="37"/>
  <c r="E91" i="36"/>
  <c r="E91" i="35"/>
  <c r="E91" i="34"/>
  <c r="E107" i="32"/>
  <c r="E107" i="39"/>
  <c r="E107" i="38"/>
  <c r="E107" i="37"/>
  <c r="E107" i="36"/>
  <c r="E107" i="35"/>
  <c r="E107" i="34"/>
  <c r="E131" i="32"/>
  <c r="E131" i="39"/>
  <c r="E131" i="38"/>
  <c r="E131" i="37"/>
  <c r="E131" i="36"/>
  <c r="E131" i="35"/>
  <c r="E131" i="34"/>
  <c r="E146" i="32"/>
  <c r="E146" i="39"/>
  <c r="E146" i="38"/>
  <c r="E146" i="37"/>
  <c r="E146" i="36"/>
  <c r="E146" i="35"/>
  <c r="E146" i="34"/>
  <c r="E154" i="32"/>
  <c r="E154" i="39"/>
  <c r="E154" i="38"/>
  <c r="E154" i="37"/>
  <c r="E154" i="36"/>
  <c r="E154" i="35"/>
  <c r="E154" i="34"/>
  <c r="E82" i="32"/>
  <c r="E82" i="39"/>
  <c r="E82" i="38"/>
  <c r="E82" i="37"/>
  <c r="E82" i="35"/>
  <c r="E82" i="34"/>
  <c r="E109" i="39"/>
  <c r="E109" i="38"/>
  <c r="E109" i="37"/>
  <c r="E109" i="36"/>
  <c r="E109" i="35"/>
  <c r="E109" i="34"/>
  <c r="E54" i="32"/>
  <c r="E54" i="39"/>
  <c r="E54" i="38"/>
  <c r="E54" i="37"/>
  <c r="E54" i="36"/>
  <c r="E54" i="34"/>
  <c r="E95" i="32"/>
  <c r="E95" i="39"/>
  <c r="E95" i="38"/>
  <c r="E95" i="37"/>
  <c r="E95" i="36"/>
  <c r="E95" i="35"/>
  <c r="E95" i="34"/>
  <c r="E142" i="32"/>
  <c r="E142" i="39"/>
  <c r="E142" i="38"/>
  <c r="E142" i="37"/>
  <c r="E142" i="36"/>
  <c r="E142" i="35"/>
  <c r="E142" i="34"/>
  <c r="E150" i="32"/>
  <c r="E150" i="39"/>
  <c r="E150" i="38"/>
  <c r="E150" i="37"/>
  <c r="E150" i="36"/>
  <c r="E150" i="35"/>
  <c r="E150" i="34"/>
  <c r="E18" i="32"/>
  <c r="E18" i="39"/>
  <c r="E18" i="38"/>
  <c r="E18" i="37"/>
  <c r="E18" i="36"/>
  <c r="E18" i="35"/>
  <c r="E46" i="32"/>
  <c r="E42" i="24"/>
  <c r="E46" i="37"/>
  <c r="E46" i="34"/>
  <c r="E46" i="36"/>
  <c r="E46" i="39"/>
  <c r="E46" i="38"/>
  <c r="E115" i="32"/>
  <c r="E115" i="39"/>
  <c r="E115" i="38"/>
  <c r="E115" i="35"/>
  <c r="E115" i="37"/>
  <c r="E115" i="34"/>
  <c r="E115" i="36"/>
  <c r="E61" i="32"/>
  <c r="E61" i="39"/>
  <c r="E61" i="34"/>
  <c r="E61" i="36"/>
  <c r="E61" i="37"/>
  <c r="E61" i="38"/>
  <c r="E98" i="32"/>
  <c r="E98" i="39"/>
  <c r="E98" i="36"/>
  <c r="E98" i="38"/>
  <c r="E98" i="35"/>
  <c r="E98" i="37"/>
  <c r="E98" i="34"/>
  <c r="E72" i="32"/>
  <c r="E72" i="34"/>
  <c r="E72" i="39"/>
  <c r="E72" i="37"/>
  <c r="E72" i="38"/>
  <c r="E72" i="36"/>
  <c r="E67" i="32"/>
  <c r="E67" i="39"/>
  <c r="E67" i="34"/>
  <c r="E67" i="36"/>
  <c r="E67" i="37"/>
  <c r="E67" i="38"/>
  <c r="E39" i="32"/>
  <c r="E39" i="35"/>
  <c r="E39" i="37"/>
  <c r="E39" i="36"/>
  <c r="E39" i="39"/>
  <c r="E39" i="38"/>
  <c r="E32" i="32"/>
  <c r="E32" i="35"/>
  <c r="E32" i="38"/>
  <c r="E32" i="36"/>
  <c r="E32" i="39"/>
  <c r="E32" i="37"/>
  <c r="D16" i="39"/>
  <c r="D16" i="38"/>
  <c r="D31" i="39"/>
  <c r="D31" i="38"/>
  <c r="D41" i="39"/>
  <c r="D41" i="38"/>
  <c r="D55" i="39"/>
  <c r="D55" i="38"/>
  <c r="D64" i="39"/>
  <c r="D64" i="38"/>
  <c r="D75" i="39"/>
  <c r="D75" i="38"/>
  <c r="D89" i="39"/>
  <c r="D89" i="38"/>
  <c r="D102" i="39"/>
  <c r="D102" i="38"/>
  <c r="D106" i="39"/>
  <c r="D106" i="38"/>
  <c r="D118" i="39"/>
  <c r="D118" i="38"/>
  <c r="D124" i="39"/>
  <c r="D124" i="38"/>
  <c r="D133" i="39"/>
  <c r="D133" i="38"/>
  <c r="D137" i="39"/>
  <c r="D137" i="38"/>
  <c r="D153" i="39"/>
  <c r="D153" i="38"/>
  <c r="D19" i="39"/>
  <c r="D19" i="38"/>
  <c r="D33" i="38"/>
  <c r="D33" i="39"/>
  <c r="D37" i="39"/>
  <c r="D37" i="38"/>
  <c r="D50" i="39"/>
  <c r="D50" i="38"/>
  <c r="D56" i="39"/>
  <c r="D56" i="38"/>
  <c r="D60" i="39"/>
  <c r="D60" i="38"/>
  <c r="D65" i="39"/>
  <c r="D65" i="38"/>
  <c r="D71" i="39"/>
  <c r="D71" i="38"/>
  <c r="D76" i="39"/>
  <c r="D76" i="38"/>
  <c r="D85" i="39"/>
  <c r="D85" i="38"/>
  <c r="D92" i="39"/>
  <c r="D92" i="38"/>
  <c r="D99" i="38"/>
  <c r="D99" i="39"/>
  <c r="D103" i="38"/>
  <c r="D103" i="39"/>
  <c r="D108" i="39"/>
  <c r="D108" i="38"/>
  <c r="D113" i="39"/>
  <c r="D113" i="38"/>
  <c r="D119" i="38"/>
  <c r="D119" i="39"/>
  <c r="D125" i="39"/>
  <c r="D125" i="38"/>
  <c r="D129" i="39"/>
  <c r="D129" i="38"/>
  <c r="D134" i="39"/>
  <c r="D134" i="38"/>
  <c r="D139" i="39"/>
  <c r="D139" i="38"/>
  <c r="D147" i="39"/>
  <c r="D147" i="38"/>
  <c r="D155" i="39"/>
  <c r="D155" i="38"/>
  <c r="D15" i="39"/>
  <c r="D15" i="38"/>
  <c r="D20" i="38"/>
  <c r="D20" i="39"/>
  <c r="D24" i="39"/>
  <c r="D24" i="38"/>
  <c r="D28" i="38"/>
  <c r="D28" i="39"/>
  <c r="D34" i="39"/>
  <c r="D34" i="38"/>
  <c r="D38" i="39"/>
  <c r="D38" i="38"/>
  <c r="D45" i="38"/>
  <c r="D45" i="39"/>
  <c r="D52" i="39"/>
  <c r="D52" i="38"/>
  <c r="D57" i="39"/>
  <c r="D57" i="38"/>
  <c r="D62" i="39"/>
  <c r="D62" i="38"/>
  <c r="D66" i="39"/>
  <c r="D66" i="38"/>
  <c r="D73" i="39"/>
  <c r="D73" i="38"/>
  <c r="D78" i="38"/>
  <c r="D78" i="39"/>
  <c r="D87" i="39"/>
  <c r="D87" i="38"/>
  <c r="D94" i="39"/>
  <c r="D94" i="38"/>
  <c r="D100" i="39"/>
  <c r="D100" i="38"/>
  <c r="D104" i="39"/>
  <c r="D104" i="38"/>
  <c r="D110" i="39"/>
  <c r="D110" i="38"/>
  <c r="D116" i="39"/>
  <c r="D116" i="38"/>
  <c r="D120" i="39"/>
  <c r="D120" i="38"/>
  <c r="D126" i="39"/>
  <c r="D126" i="38"/>
  <c r="D130" i="38"/>
  <c r="D130" i="39"/>
  <c r="D135" i="38"/>
  <c r="D135" i="39"/>
  <c r="D141" i="39"/>
  <c r="D141" i="38"/>
  <c r="D149" i="39"/>
  <c r="D149" i="38"/>
  <c r="D138" i="39"/>
  <c r="D138" i="38"/>
  <c r="D22" i="39"/>
  <c r="D22" i="38"/>
  <c r="D26" i="39"/>
  <c r="D26" i="38"/>
  <c r="D36" i="38"/>
  <c r="D36" i="39"/>
  <c r="D48" i="39"/>
  <c r="D48" i="38"/>
  <c r="D59" i="39"/>
  <c r="D59" i="38"/>
  <c r="D70" i="39"/>
  <c r="D70" i="38"/>
  <c r="D83" i="39"/>
  <c r="D83" i="38"/>
  <c r="D97" i="39"/>
  <c r="D97" i="38"/>
  <c r="D112" i="39"/>
  <c r="D112" i="38"/>
  <c r="D128" i="39"/>
  <c r="D128" i="38"/>
  <c r="D145" i="39"/>
  <c r="D145" i="38"/>
  <c r="D23" i="39"/>
  <c r="D23" i="38"/>
  <c r="D27" i="39"/>
  <c r="D27" i="38"/>
  <c r="D44" i="39"/>
  <c r="D44" i="38"/>
  <c r="D17" i="38"/>
  <c r="D17" i="39"/>
  <c r="D21" i="39"/>
  <c r="D21" i="38"/>
  <c r="D25" i="38"/>
  <c r="D25" i="39"/>
  <c r="D30" i="39"/>
  <c r="D30" i="38"/>
  <c r="D35" i="39"/>
  <c r="D35" i="38"/>
  <c r="D40" i="39"/>
  <c r="D40" i="38"/>
  <c r="D47" i="39"/>
  <c r="D47" i="38"/>
  <c r="D53" i="39"/>
  <c r="D53" i="38"/>
  <c r="D58" i="38"/>
  <c r="D58" i="39"/>
  <c r="D63" i="38"/>
  <c r="D63" i="39"/>
  <c r="D68" i="39"/>
  <c r="D68" i="38"/>
  <c r="D74" i="39"/>
  <c r="D74" i="38"/>
  <c r="D81" i="39"/>
  <c r="D81" i="38"/>
  <c r="D88" i="39"/>
  <c r="D88" i="38"/>
  <c r="D96" i="39"/>
  <c r="D96" i="38"/>
  <c r="D101" i="39"/>
  <c r="D101" i="38"/>
  <c r="D105" i="39"/>
  <c r="D105" i="38"/>
  <c r="D111" i="39"/>
  <c r="D111" i="38"/>
  <c r="D117" i="39"/>
  <c r="D117" i="38"/>
  <c r="D121" i="39"/>
  <c r="D121" i="38"/>
  <c r="D127" i="39"/>
  <c r="D127" i="38"/>
  <c r="D132" i="39"/>
  <c r="D132" i="38"/>
  <c r="D136" i="39"/>
  <c r="D136" i="38"/>
  <c r="D143" i="38"/>
  <c r="D143" i="39"/>
  <c r="D151" i="38"/>
  <c r="D151" i="39"/>
  <c r="D21" i="32"/>
  <c r="D21" i="36"/>
  <c r="D21" i="37"/>
  <c r="D21" i="35"/>
  <c r="D21" i="34"/>
  <c r="D22" i="32"/>
  <c r="D22" i="36"/>
  <c r="D22" i="37"/>
  <c r="D22" i="34"/>
  <c r="D22" i="35"/>
  <c r="D36" i="32"/>
  <c r="D36" i="36"/>
  <c r="D36" i="37"/>
  <c r="D36" i="35"/>
  <c r="D36" i="34"/>
  <c r="D55" i="32"/>
  <c r="D55" i="37"/>
  <c r="D55" i="36"/>
  <c r="D55" i="35"/>
  <c r="D55" i="34"/>
  <c r="D70" i="32"/>
  <c r="D70" i="36"/>
  <c r="D70" i="37"/>
  <c r="D70" i="34"/>
  <c r="D70" i="35"/>
  <c r="D89" i="32"/>
  <c r="D89" i="36"/>
  <c r="D89" i="37"/>
  <c r="D89" i="35"/>
  <c r="D89" i="34"/>
  <c r="D106" i="32"/>
  <c r="D106" i="36"/>
  <c r="D106" i="37"/>
  <c r="D106" i="34"/>
  <c r="D106" i="35"/>
  <c r="D124" i="32"/>
  <c r="D124" i="36"/>
  <c r="D124" i="37"/>
  <c r="D124" i="35"/>
  <c r="D124" i="34"/>
  <c r="D25" i="32"/>
  <c r="D25" i="36"/>
  <c r="D25" i="37"/>
  <c r="D25" i="35"/>
  <c r="D25" i="34"/>
  <c r="D26" i="32"/>
  <c r="D26" i="36"/>
  <c r="D26" i="37"/>
  <c r="D26" i="34"/>
  <c r="D26" i="35"/>
  <c r="D41" i="32"/>
  <c r="D41" i="36"/>
  <c r="D41" i="37"/>
  <c r="D41" i="35"/>
  <c r="D41" i="34"/>
  <c r="D59" i="32"/>
  <c r="D59" i="37"/>
  <c r="D59" i="36"/>
  <c r="D59" i="35"/>
  <c r="D59" i="34"/>
  <c r="D75" i="32"/>
  <c r="D75" i="37"/>
  <c r="D75" i="36"/>
  <c r="D75" i="35"/>
  <c r="D75" i="34"/>
  <c r="D97" i="32"/>
  <c r="D97" i="36"/>
  <c r="D97" i="37"/>
  <c r="D97" i="34"/>
  <c r="D97" i="35"/>
  <c r="D112" i="32"/>
  <c r="D112" i="36"/>
  <c r="D112" i="37"/>
  <c r="D112" i="35"/>
  <c r="D112" i="34"/>
  <c r="D118" i="32"/>
  <c r="D118" i="35"/>
  <c r="D118" i="36"/>
  <c r="D118" i="37"/>
  <c r="D118" i="34"/>
  <c r="D128" i="32"/>
  <c r="D128" i="36"/>
  <c r="D128" i="37"/>
  <c r="D128" i="35"/>
  <c r="D128" i="34"/>
  <c r="D133" i="32"/>
  <c r="D133" i="35"/>
  <c r="D133" i="36"/>
  <c r="D133" i="37"/>
  <c r="D133" i="34"/>
  <c r="D137" i="32"/>
  <c r="D137" i="35"/>
  <c r="D137" i="36"/>
  <c r="D137" i="37"/>
  <c r="D137" i="34"/>
  <c r="D145" i="32"/>
  <c r="D145" i="35"/>
  <c r="D145" i="36"/>
  <c r="D145" i="37"/>
  <c r="D145" i="34"/>
  <c r="D153" i="32"/>
  <c r="D153" i="35"/>
  <c r="D153" i="36"/>
  <c r="D153" i="37"/>
  <c r="D153" i="34"/>
  <c r="D19" i="32"/>
  <c r="D19" i="37"/>
  <c r="D19" i="36"/>
  <c r="D19" i="35"/>
  <c r="D19" i="34"/>
  <c r="D23" i="32"/>
  <c r="D23" i="37"/>
  <c r="D23" i="36"/>
  <c r="D23" i="35"/>
  <c r="D23" i="34"/>
  <c r="D27" i="32"/>
  <c r="D27" i="37"/>
  <c r="D27" i="36"/>
  <c r="D27" i="35"/>
  <c r="D27" i="34"/>
  <c r="D33" i="32"/>
  <c r="D33" i="36"/>
  <c r="D33" i="37"/>
  <c r="D33" i="35"/>
  <c r="D33" i="34"/>
  <c r="D37" i="32"/>
  <c r="D37" i="36"/>
  <c r="D37" i="37"/>
  <c r="D37" i="35"/>
  <c r="D37" i="34"/>
  <c r="D44" i="32"/>
  <c r="D44" i="36"/>
  <c r="D44" i="37"/>
  <c r="D44" i="35"/>
  <c r="D44" i="34"/>
  <c r="D50" i="32"/>
  <c r="D50" i="36"/>
  <c r="D50" i="37"/>
  <c r="D50" i="34"/>
  <c r="D50" i="35"/>
  <c r="D56" i="32"/>
  <c r="D56" i="36"/>
  <c r="D56" i="37"/>
  <c r="D56" i="35"/>
  <c r="D56" i="34"/>
  <c r="D60" i="32"/>
  <c r="D60" i="36"/>
  <c r="D60" i="37"/>
  <c r="D60" i="35"/>
  <c r="D60" i="34"/>
  <c r="D65" i="32"/>
  <c r="D65" i="36"/>
  <c r="D65" i="37"/>
  <c r="D65" i="35"/>
  <c r="D65" i="34"/>
  <c r="D71" i="32"/>
  <c r="D71" i="37"/>
  <c r="D71" i="36"/>
  <c r="D71" i="35"/>
  <c r="D71" i="34"/>
  <c r="D76" i="32"/>
  <c r="D76" i="36"/>
  <c r="D76" i="37"/>
  <c r="D76" i="35"/>
  <c r="D76" i="34"/>
  <c r="D85" i="32"/>
  <c r="D85" i="36"/>
  <c r="D85" i="37"/>
  <c r="D85" i="34"/>
  <c r="D85" i="35"/>
  <c r="D92" i="32"/>
  <c r="D92" i="36"/>
  <c r="D92" i="37"/>
  <c r="D92" i="35"/>
  <c r="D92" i="34"/>
  <c r="D99" i="32"/>
  <c r="D99" i="37"/>
  <c r="D99" i="36"/>
  <c r="D99" i="35"/>
  <c r="D99" i="34"/>
  <c r="D103" i="32"/>
  <c r="D103" i="37"/>
  <c r="D103" i="36"/>
  <c r="D103" i="35"/>
  <c r="D103" i="34"/>
  <c r="D108" i="32"/>
  <c r="D108" i="36"/>
  <c r="D108" i="37"/>
  <c r="D108" i="35"/>
  <c r="D108" i="34"/>
  <c r="D113" i="32"/>
  <c r="D113" i="36"/>
  <c r="D113" i="37"/>
  <c r="D113" i="35"/>
  <c r="D113" i="34"/>
  <c r="D119" i="32"/>
  <c r="D119" i="37"/>
  <c r="D119" i="35"/>
  <c r="D119" i="36"/>
  <c r="D119" i="34"/>
  <c r="D125" i="32"/>
  <c r="D125" i="35"/>
  <c r="D125" i="36"/>
  <c r="D125" i="37"/>
  <c r="D125" i="34"/>
  <c r="D129" i="32"/>
  <c r="D129" i="35"/>
  <c r="D129" i="36"/>
  <c r="D129" i="37"/>
  <c r="D129" i="34"/>
  <c r="D134" i="32"/>
  <c r="D134" i="35"/>
  <c r="D134" i="36"/>
  <c r="D134" i="37"/>
  <c r="D134" i="34"/>
  <c r="D139" i="32"/>
  <c r="D139" i="37"/>
  <c r="D139" i="35"/>
  <c r="D139" i="36"/>
  <c r="D139" i="34"/>
  <c r="D147" i="32"/>
  <c r="D147" i="37"/>
  <c r="D147" i="35"/>
  <c r="D147" i="36"/>
  <c r="D147" i="34"/>
  <c r="D155" i="32"/>
  <c r="D155" i="37"/>
  <c r="D155" i="35"/>
  <c r="D155" i="36"/>
  <c r="D155" i="34"/>
  <c r="D16" i="32"/>
  <c r="D16" i="36"/>
  <c r="D16" i="37"/>
  <c r="D16" i="35"/>
  <c r="D16" i="34"/>
  <c r="D31" i="32"/>
  <c r="D31" i="37"/>
  <c r="D31" i="36"/>
  <c r="D31" i="35"/>
  <c r="D31" i="34"/>
  <c r="D48" i="32"/>
  <c r="D48" i="36"/>
  <c r="D48" i="37"/>
  <c r="D48" i="35"/>
  <c r="D48" i="34"/>
  <c r="D64" i="32"/>
  <c r="D64" i="36"/>
  <c r="D64" i="37"/>
  <c r="D64" i="35"/>
  <c r="D64" i="34"/>
  <c r="D83" i="32"/>
  <c r="D83" i="37"/>
  <c r="D83" i="36"/>
  <c r="D83" i="35"/>
  <c r="D83" i="34"/>
  <c r="D102" i="32"/>
  <c r="D102" i="36"/>
  <c r="D102" i="37"/>
  <c r="D102" i="34"/>
  <c r="D102" i="35"/>
  <c r="D15" i="32"/>
  <c r="D15" i="37"/>
  <c r="D15" i="36"/>
  <c r="D15" i="35"/>
  <c r="D15" i="34"/>
  <c r="D20" i="32"/>
  <c r="D20" i="36"/>
  <c r="D20" i="37"/>
  <c r="D20" i="35"/>
  <c r="D20" i="34"/>
  <c r="D24" i="32"/>
  <c r="D24" i="36"/>
  <c r="D24" i="37"/>
  <c r="D24" i="35"/>
  <c r="D24" i="34"/>
  <c r="D28" i="32"/>
  <c r="D28" i="36"/>
  <c r="D28" i="37"/>
  <c r="D28" i="35"/>
  <c r="D28" i="34"/>
  <c r="D34" i="32"/>
  <c r="D34" i="36"/>
  <c r="D34" i="37"/>
  <c r="D34" i="34"/>
  <c r="D34" i="35"/>
  <c r="D38" i="32"/>
  <c r="D38" i="36"/>
  <c r="D38" i="37"/>
  <c r="D38" i="34"/>
  <c r="D38" i="35"/>
  <c r="D45" i="32"/>
  <c r="D45" i="36"/>
  <c r="D45" i="37"/>
  <c r="D45" i="35"/>
  <c r="D45" i="34"/>
  <c r="D52" i="32"/>
  <c r="D52" i="36"/>
  <c r="D52" i="37"/>
  <c r="D52" i="35"/>
  <c r="D52" i="34"/>
  <c r="D57" i="32"/>
  <c r="D57" i="36"/>
  <c r="D57" i="37"/>
  <c r="D57" i="35"/>
  <c r="D57" i="34"/>
  <c r="D62" i="32"/>
  <c r="D62" i="36"/>
  <c r="D62" i="37"/>
  <c r="D62" i="34"/>
  <c r="D62" i="35"/>
  <c r="D66" i="32"/>
  <c r="D66" i="36"/>
  <c r="D66" i="37"/>
  <c r="D66" i="34"/>
  <c r="D66" i="35"/>
  <c r="D73" i="32"/>
  <c r="D73" i="36"/>
  <c r="D73" i="37"/>
  <c r="D73" i="35"/>
  <c r="D73" i="34"/>
  <c r="D78" i="32"/>
  <c r="D78" i="36"/>
  <c r="D78" i="37"/>
  <c r="D78" i="34"/>
  <c r="D78" i="35"/>
  <c r="D87" i="32"/>
  <c r="D87" i="37"/>
  <c r="D87" i="36"/>
  <c r="D87" i="35"/>
  <c r="D87" i="34"/>
  <c r="D94" i="32"/>
  <c r="D94" i="36"/>
  <c r="D94" i="37"/>
  <c r="D94" i="34"/>
  <c r="D94" i="35"/>
  <c r="D100" i="32"/>
  <c r="D100" i="36"/>
  <c r="D100" i="37"/>
  <c r="D100" i="35"/>
  <c r="D100" i="34"/>
  <c r="D104" i="32"/>
  <c r="D104" i="36"/>
  <c r="D104" i="37"/>
  <c r="D104" i="35"/>
  <c r="D104" i="34"/>
  <c r="D110" i="32"/>
  <c r="D110" i="35"/>
  <c r="D110" i="36"/>
  <c r="D110" i="37"/>
  <c r="D110" i="34"/>
  <c r="D116" i="32"/>
  <c r="D116" i="36"/>
  <c r="D116" i="37"/>
  <c r="D116" i="35"/>
  <c r="D116" i="34"/>
  <c r="D120" i="32"/>
  <c r="D120" i="36"/>
  <c r="D120" i="37"/>
  <c r="D120" i="35"/>
  <c r="D120" i="34"/>
  <c r="D126" i="32"/>
  <c r="D126" i="35"/>
  <c r="D126" i="36"/>
  <c r="D126" i="37"/>
  <c r="D126" i="34"/>
  <c r="D130" i="32"/>
  <c r="D130" i="35"/>
  <c r="D130" i="36"/>
  <c r="D130" i="37"/>
  <c r="D130" i="34"/>
  <c r="D135" i="32"/>
  <c r="D135" i="37"/>
  <c r="D135" i="35"/>
  <c r="D135" i="36"/>
  <c r="D135" i="34"/>
  <c r="D141" i="32"/>
  <c r="D141" i="35"/>
  <c r="D141" i="36"/>
  <c r="D141" i="37"/>
  <c r="D141" i="34"/>
  <c r="D149" i="32"/>
  <c r="D149" i="35"/>
  <c r="D149" i="36"/>
  <c r="D149" i="37"/>
  <c r="D149" i="34"/>
  <c r="D138" i="32"/>
  <c r="D138" i="35"/>
  <c r="D138" i="36"/>
  <c r="D138" i="37"/>
  <c r="D138" i="34"/>
  <c r="D17" i="32"/>
  <c r="D17" i="36"/>
  <c r="D17" i="37"/>
  <c r="D17" i="35"/>
  <c r="D17" i="34"/>
  <c r="D30" i="32"/>
  <c r="D30" i="36"/>
  <c r="D30" i="37"/>
  <c r="D30" i="34"/>
  <c r="D30" i="35"/>
  <c r="D35" i="32"/>
  <c r="D35" i="37"/>
  <c r="D35" i="36"/>
  <c r="D35" i="35"/>
  <c r="D35" i="34"/>
  <c r="D40" i="32"/>
  <c r="D40" i="36"/>
  <c r="D40" i="37"/>
  <c r="D40" i="35"/>
  <c r="D40" i="34"/>
  <c r="D47" i="32"/>
  <c r="D47" i="37"/>
  <c r="D47" i="36"/>
  <c r="D47" i="35"/>
  <c r="D47" i="34"/>
  <c r="D53" i="32"/>
  <c r="D53" i="36"/>
  <c r="D53" i="37"/>
  <c r="D53" i="35"/>
  <c r="D53" i="34"/>
  <c r="D58" i="32"/>
  <c r="D58" i="36"/>
  <c r="D58" i="37"/>
  <c r="D58" i="34"/>
  <c r="D58" i="35"/>
  <c r="D63" i="32"/>
  <c r="D63" i="37"/>
  <c r="D63" i="36"/>
  <c r="D63" i="35"/>
  <c r="D63" i="34"/>
  <c r="D68" i="32"/>
  <c r="D68" i="36"/>
  <c r="D68" i="37"/>
  <c r="D68" i="35"/>
  <c r="D68" i="34"/>
  <c r="D74" i="32"/>
  <c r="D74" i="36"/>
  <c r="D74" i="37"/>
  <c r="D74" i="34"/>
  <c r="D74" i="35"/>
  <c r="D81" i="32"/>
  <c r="D81" i="36"/>
  <c r="D81" i="37"/>
  <c r="D81" i="35"/>
  <c r="D81" i="34"/>
  <c r="D88" i="32"/>
  <c r="D88" i="36"/>
  <c r="D88" i="37"/>
  <c r="D88" i="35"/>
  <c r="D88" i="34"/>
  <c r="D96" i="32"/>
  <c r="D96" i="36"/>
  <c r="D96" i="37"/>
  <c r="D96" i="35"/>
  <c r="D96" i="34"/>
  <c r="D101" i="32"/>
  <c r="D101" i="36"/>
  <c r="D101" i="37"/>
  <c r="D101" i="35"/>
  <c r="D101" i="34"/>
  <c r="D105" i="32"/>
  <c r="D105" i="36"/>
  <c r="D105" i="37"/>
  <c r="D105" i="35"/>
  <c r="D105" i="34"/>
  <c r="D111" i="32"/>
  <c r="D111" i="37"/>
  <c r="D111" i="36"/>
  <c r="D111" i="35"/>
  <c r="D111" i="34"/>
  <c r="D117" i="32"/>
  <c r="D117" i="36"/>
  <c r="D117" i="37"/>
  <c r="D117" i="35"/>
  <c r="D117" i="34"/>
  <c r="D121" i="32"/>
  <c r="D121" i="35"/>
  <c r="D121" i="36"/>
  <c r="D121" i="37"/>
  <c r="D121" i="34"/>
  <c r="D127" i="32"/>
  <c r="D127" i="37"/>
  <c r="D127" i="35"/>
  <c r="D127" i="36"/>
  <c r="D127" i="34"/>
  <c r="D132" i="32"/>
  <c r="D132" i="36"/>
  <c r="D132" i="37"/>
  <c r="D132" i="35"/>
  <c r="D132" i="34"/>
  <c r="D136" i="32"/>
  <c r="D136" i="36"/>
  <c r="D136" i="37"/>
  <c r="D136" i="35"/>
  <c r="D136" i="34"/>
  <c r="D143" i="32"/>
  <c r="D143" i="37"/>
  <c r="D143" i="35"/>
  <c r="D143" i="36"/>
  <c r="D143" i="34"/>
  <c r="D151" i="32"/>
  <c r="D151" i="37"/>
  <c r="D151" i="35"/>
  <c r="D151" i="36"/>
  <c r="D151" i="34"/>
  <c r="E90" i="24"/>
  <c r="E109" i="32"/>
  <c r="E114" i="24"/>
  <c r="D18" i="24"/>
  <c r="D82" i="24"/>
  <c r="C440" i="1"/>
  <c r="D315" i="1"/>
  <c r="D49" i="24"/>
  <c r="D84" i="24"/>
  <c r="D91" i="24"/>
  <c r="D107" i="24"/>
  <c r="D146" i="24"/>
  <c r="D154" i="24"/>
  <c r="D152" i="24"/>
  <c r="D77" i="24"/>
  <c r="D93" i="24"/>
  <c r="D140" i="24"/>
  <c r="D148" i="24"/>
  <c r="D144" i="24"/>
  <c r="C315" i="1"/>
  <c r="D440" i="1"/>
  <c r="D67" i="24"/>
  <c r="D80" i="24"/>
  <c r="D142" i="24"/>
  <c r="D150" i="24"/>
  <c r="E11" i="24"/>
  <c r="E122" i="24"/>
  <c r="E79" i="24"/>
  <c r="D98" i="24"/>
  <c r="D86" i="24"/>
  <c r="D29" i="24"/>
  <c r="D95" i="24"/>
  <c r="D51" i="24"/>
  <c r="D61" i="24"/>
  <c r="D72" i="24"/>
  <c r="D109" i="24"/>
  <c r="D115" i="24"/>
  <c r="D114" i="24" s="1"/>
  <c r="D131" i="24"/>
  <c r="D32" i="24"/>
  <c r="D46" i="24"/>
  <c r="D54" i="24"/>
  <c r="D123" i="24"/>
  <c r="D39" i="24"/>
  <c r="D69" i="24"/>
  <c r="D43" i="24"/>
  <c r="E122" i="39" l="1"/>
  <c r="E122" i="38"/>
  <c r="E122" i="37"/>
  <c r="E122" i="36"/>
  <c r="E122" i="35"/>
  <c r="E122" i="34"/>
  <c r="E10" i="24"/>
  <c r="E114" i="39"/>
  <c r="E114" i="38"/>
  <c r="E114" i="35"/>
  <c r="E114" i="37"/>
  <c r="E114" i="34"/>
  <c r="E114" i="36"/>
  <c r="E79" i="39"/>
  <c r="E79" i="37"/>
  <c r="E79" i="35"/>
  <c r="E79" i="34"/>
  <c r="E79" i="38"/>
  <c r="E90" i="39"/>
  <c r="E90" i="36"/>
  <c r="E90" i="38"/>
  <c r="E90" i="35"/>
  <c r="E90" i="37"/>
  <c r="E90" i="34"/>
  <c r="E11" i="35"/>
  <c r="E11" i="38"/>
  <c r="E11" i="36"/>
  <c r="E11" i="39"/>
  <c r="E11" i="37"/>
  <c r="D43" i="39"/>
  <c r="D43" i="38"/>
  <c r="D123" i="39"/>
  <c r="D123" i="38"/>
  <c r="D61" i="39"/>
  <c r="D61" i="38"/>
  <c r="D29" i="39"/>
  <c r="D29" i="38"/>
  <c r="D67" i="39"/>
  <c r="D67" i="38"/>
  <c r="D144" i="39"/>
  <c r="D144" i="38"/>
  <c r="D77" i="39"/>
  <c r="D77" i="38"/>
  <c r="D148" i="39"/>
  <c r="D148" i="38"/>
  <c r="D146" i="38"/>
  <c r="D146" i="39"/>
  <c r="D49" i="39"/>
  <c r="D49" i="38"/>
  <c r="D18" i="39"/>
  <c r="D18" i="38"/>
  <c r="D154" i="38"/>
  <c r="D154" i="39"/>
  <c r="D84" i="39"/>
  <c r="D84" i="38"/>
  <c r="D114" i="38"/>
  <c r="D114" i="39"/>
  <c r="D54" i="39"/>
  <c r="D54" i="38"/>
  <c r="D115" i="39"/>
  <c r="D115" i="38"/>
  <c r="D51" i="39"/>
  <c r="D51" i="38"/>
  <c r="D86" i="39"/>
  <c r="D86" i="38"/>
  <c r="D150" i="38"/>
  <c r="D150" i="39"/>
  <c r="D69" i="39"/>
  <c r="D69" i="38"/>
  <c r="D46" i="39"/>
  <c r="D46" i="38"/>
  <c r="D109" i="39"/>
  <c r="D109" i="38"/>
  <c r="D14" i="39"/>
  <c r="D14" i="38"/>
  <c r="D98" i="39"/>
  <c r="D98" i="38"/>
  <c r="D142" i="39"/>
  <c r="D142" i="38"/>
  <c r="D140" i="39"/>
  <c r="D140" i="38"/>
  <c r="D152" i="39"/>
  <c r="D152" i="38"/>
  <c r="D107" i="39"/>
  <c r="D107" i="38"/>
  <c r="D82" i="39"/>
  <c r="D82" i="38"/>
  <c r="D131" i="39"/>
  <c r="D131" i="38"/>
  <c r="D39" i="39"/>
  <c r="D39" i="38"/>
  <c r="D32" i="39"/>
  <c r="D32" i="38"/>
  <c r="D72" i="39"/>
  <c r="D72" i="38"/>
  <c r="D95" i="39"/>
  <c r="D95" i="38"/>
  <c r="D80" i="39"/>
  <c r="D80" i="38"/>
  <c r="D93" i="39"/>
  <c r="D93" i="38"/>
  <c r="D91" i="39"/>
  <c r="D91" i="38"/>
  <c r="E42" i="38"/>
  <c r="E42" i="34"/>
  <c r="E42" i="37"/>
  <c r="E42" i="36"/>
  <c r="E42" i="39"/>
  <c r="D109" i="32"/>
  <c r="D109" i="36"/>
  <c r="D109" i="37"/>
  <c r="D109" i="34"/>
  <c r="D109" i="35"/>
  <c r="D46" i="32"/>
  <c r="D46" i="36"/>
  <c r="D46" i="37"/>
  <c r="D46" i="34"/>
  <c r="D46" i="35"/>
  <c r="D98" i="32"/>
  <c r="D98" i="36"/>
  <c r="D98" i="37"/>
  <c r="D98" i="34"/>
  <c r="D98" i="35"/>
  <c r="D140" i="32"/>
  <c r="D140" i="36"/>
  <c r="D140" i="37"/>
  <c r="D140" i="35"/>
  <c r="D140" i="34"/>
  <c r="D152" i="32"/>
  <c r="D152" i="36"/>
  <c r="D152" i="37"/>
  <c r="D152" i="35"/>
  <c r="D152" i="34"/>
  <c r="D82" i="32"/>
  <c r="D82" i="36"/>
  <c r="D82" i="37"/>
  <c r="D82" i="34"/>
  <c r="D82" i="35"/>
  <c r="D39" i="32"/>
  <c r="D39" i="37"/>
  <c r="D39" i="36"/>
  <c r="D39" i="35"/>
  <c r="D39" i="34"/>
  <c r="D72" i="32"/>
  <c r="D72" i="36"/>
  <c r="D72" i="37"/>
  <c r="D72" i="35"/>
  <c r="D72" i="34"/>
  <c r="D80" i="32"/>
  <c r="D80" i="36"/>
  <c r="D80" i="37"/>
  <c r="D80" i="35"/>
  <c r="D80" i="34"/>
  <c r="D93" i="32"/>
  <c r="D93" i="36"/>
  <c r="D93" i="37"/>
  <c r="D93" i="34"/>
  <c r="D93" i="35"/>
  <c r="D43" i="32"/>
  <c r="D43" i="37"/>
  <c r="D43" i="36"/>
  <c r="D43" i="35"/>
  <c r="D43" i="34"/>
  <c r="D123" i="32"/>
  <c r="D123" i="37"/>
  <c r="D123" i="35"/>
  <c r="D123" i="36"/>
  <c r="D123" i="34"/>
  <c r="D131" i="32"/>
  <c r="D131" i="37"/>
  <c r="D131" i="35"/>
  <c r="D131" i="36"/>
  <c r="D131" i="34"/>
  <c r="D61" i="32"/>
  <c r="D61" i="36"/>
  <c r="D61" i="37"/>
  <c r="D61" i="35"/>
  <c r="D61" i="34"/>
  <c r="D29" i="32"/>
  <c r="D29" i="36"/>
  <c r="D29" i="37"/>
  <c r="D29" i="35"/>
  <c r="D29" i="34"/>
  <c r="D67" i="32"/>
  <c r="D67" i="37"/>
  <c r="D67" i="36"/>
  <c r="D67" i="35"/>
  <c r="D67" i="34"/>
  <c r="D144" i="32"/>
  <c r="D144" i="36"/>
  <c r="D144" i="37"/>
  <c r="D144" i="35"/>
  <c r="D144" i="34"/>
  <c r="D77" i="32"/>
  <c r="D77" i="36"/>
  <c r="D77" i="37"/>
  <c r="D77" i="35"/>
  <c r="D77" i="34"/>
  <c r="D154" i="32"/>
  <c r="D154" i="35"/>
  <c r="D154" i="36"/>
  <c r="D154" i="37"/>
  <c r="D154" i="34"/>
  <c r="D84" i="32"/>
  <c r="D84" i="36"/>
  <c r="D84" i="37"/>
  <c r="D84" i="35"/>
  <c r="D84" i="34"/>
  <c r="D69" i="32"/>
  <c r="D69" i="36"/>
  <c r="D69" i="37"/>
  <c r="D69" i="35"/>
  <c r="D69" i="34"/>
  <c r="D14" i="32"/>
  <c r="D14" i="36"/>
  <c r="D14" i="37"/>
  <c r="D14" i="34"/>
  <c r="D14" i="35"/>
  <c r="D142" i="32"/>
  <c r="D142" i="35"/>
  <c r="D142" i="36"/>
  <c r="D142" i="37"/>
  <c r="D142" i="34"/>
  <c r="D107" i="32"/>
  <c r="D107" i="37"/>
  <c r="D107" i="36"/>
  <c r="D107" i="35"/>
  <c r="D107" i="34"/>
  <c r="D32" i="32"/>
  <c r="D32" i="36"/>
  <c r="D32" i="37"/>
  <c r="D32" i="35"/>
  <c r="D32" i="34"/>
  <c r="D95" i="32"/>
  <c r="D95" i="37"/>
  <c r="D95" i="36"/>
  <c r="D95" i="35"/>
  <c r="D95" i="34"/>
  <c r="D91" i="32"/>
  <c r="D91" i="37"/>
  <c r="D91" i="36"/>
  <c r="D91" i="35"/>
  <c r="D91" i="34"/>
  <c r="D114" i="32"/>
  <c r="D114" i="35"/>
  <c r="D114" i="36"/>
  <c r="D114" i="37"/>
  <c r="D114" i="34"/>
  <c r="D54" i="32"/>
  <c r="D54" i="36"/>
  <c r="D54" i="37"/>
  <c r="D54" i="34"/>
  <c r="D54" i="35"/>
  <c r="D115" i="32"/>
  <c r="D115" i="37"/>
  <c r="D115" i="36"/>
  <c r="D115" i="34"/>
  <c r="D115" i="35"/>
  <c r="D51" i="32"/>
  <c r="D51" i="37"/>
  <c r="D51" i="36"/>
  <c r="D51" i="35"/>
  <c r="D51" i="34"/>
  <c r="D86" i="32"/>
  <c r="D86" i="36"/>
  <c r="D86" i="37"/>
  <c r="D86" i="34"/>
  <c r="D86" i="35"/>
  <c r="D150" i="32"/>
  <c r="D150" i="35"/>
  <c r="D150" i="36"/>
  <c r="D150" i="37"/>
  <c r="D150" i="34"/>
  <c r="D148" i="32"/>
  <c r="D148" i="36"/>
  <c r="D148" i="37"/>
  <c r="D148" i="35"/>
  <c r="D148" i="34"/>
  <c r="D146" i="32"/>
  <c r="D146" i="35"/>
  <c r="D146" i="36"/>
  <c r="D146" i="37"/>
  <c r="D146" i="34"/>
  <c r="D49" i="32"/>
  <c r="D49" i="36"/>
  <c r="D49" i="37"/>
  <c r="D49" i="35"/>
  <c r="D49" i="34"/>
  <c r="D18" i="32"/>
  <c r="D18" i="36"/>
  <c r="D18" i="37"/>
  <c r="D18" i="34"/>
  <c r="D18" i="35"/>
  <c r="D42" i="24"/>
  <c r="D79" i="24"/>
  <c r="D90" i="24"/>
  <c r="D122" i="24"/>
  <c r="D42" i="39" l="1"/>
  <c r="D42" i="38"/>
  <c r="D122" i="39"/>
  <c r="D122" i="38"/>
  <c r="D90" i="38"/>
  <c r="D90" i="39"/>
  <c r="D79" i="39"/>
  <c r="D79" i="38"/>
  <c r="E10" i="34"/>
  <c r="E10" i="39"/>
  <c r="E10" i="38"/>
  <c r="E10" i="37"/>
  <c r="E10" i="36"/>
  <c r="E10" i="35"/>
  <c r="D79" i="32"/>
  <c r="D79" i="37"/>
  <c r="D79" i="36"/>
  <c r="D79" i="35"/>
  <c r="D79" i="34"/>
  <c r="D42" i="32"/>
  <c r="D42" i="36"/>
  <c r="D42" i="37"/>
  <c r="D42" i="34"/>
  <c r="D42" i="35"/>
  <c r="D122" i="32"/>
  <c r="D122" i="35"/>
  <c r="D122" i="36"/>
  <c r="D122" i="37"/>
  <c r="D122" i="34"/>
  <c r="D90" i="32"/>
  <c r="D90" i="36"/>
  <c r="D90" i="37"/>
  <c r="D90" i="34"/>
  <c r="D90" i="35"/>
  <c r="AJ378" i="1" l="1"/>
  <c r="AJ377" i="1"/>
  <c r="AP376" i="1"/>
  <c r="AJ376" i="1"/>
  <c r="AJ375" i="1"/>
  <c r="AP374" i="1"/>
  <c r="AJ374" i="1"/>
  <c r="AJ372" i="1"/>
  <c r="AJ371" i="1"/>
  <c r="H113" i="24" l="1"/>
  <c r="G113" i="38" l="1"/>
  <c r="G113" i="37"/>
  <c r="G113" i="39"/>
  <c r="G113" i="36"/>
  <c r="G113" i="35"/>
  <c r="G113" i="34"/>
  <c r="G113" i="32"/>
  <c r="G137" i="24"/>
  <c r="G50" i="24"/>
  <c r="F137" i="39" l="1"/>
  <c r="F137" i="38"/>
  <c r="F137" i="36"/>
  <c r="F137" i="35"/>
  <c r="F137" i="37"/>
  <c r="F137" i="32"/>
  <c r="F137" i="34"/>
  <c r="F50" i="36"/>
  <c r="F50" i="34"/>
  <c r="F50" i="38"/>
  <c r="F50" i="37"/>
  <c r="F50" i="32"/>
  <c r="F50" i="35"/>
  <c r="F50" i="39"/>
  <c r="G49" i="24"/>
  <c r="F49" i="32" l="1"/>
  <c r="F49" i="34"/>
  <c r="F49" i="35"/>
  <c r="F49" i="39"/>
  <c r="F49" i="37"/>
  <c r="F49" i="38"/>
  <c r="F49" i="36"/>
  <c r="AI290" i="1"/>
  <c r="AO290" i="1" s="1"/>
  <c r="AP287" i="1"/>
  <c r="AI287" i="1"/>
  <c r="AP286" i="1"/>
  <c r="AI232" i="1"/>
  <c r="AO230" i="1"/>
  <c r="AI230" i="1" s="1"/>
  <c r="AI226" i="1"/>
  <c r="AI215" i="1" l="1"/>
  <c r="AJ175" i="1" l="1"/>
  <c r="AP174" i="1"/>
  <c r="AJ174" i="1"/>
  <c r="AP173" i="1"/>
  <c r="AJ173" i="1"/>
  <c r="G27" i="24" l="1"/>
  <c r="H27" i="24"/>
  <c r="G22" i="24"/>
  <c r="AP430" i="1"/>
  <c r="AJ430" i="1"/>
  <c r="AP429" i="1"/>
  <c r="AJ429" i="1"/>
  <c r="AP424" i="1"/>
  <c r="AJ424" i="1"/>
  <c r="AP255" i="1"/>
  <c r="D233" i="1" s="1"/>
  <c r="AJ255" i="1"/>
  <c r="U5" i="4" s="1"/>
  <c r="H3" i="3"/>
  <c r="F22" i="38" l="1"/>
  <c r="F22" i="39"/>
  <c r="F22" i="37"/>
  <c r="F22" i="36"/>
  <c r="F22" i="34"/>
  <c r="F22" i="32"/>
  <c r="F22" i="35"/>
  <c r="G27" i="38"/>
  <c r="G27" i="39"/>
  <c r="G27" i="35"/>
  <c r="G27" i="36"/>
  <c r="G27" i="34"/>
  <c r="G27" i="37"/>
  <c r="G27" i="32"/>
  <c r="F27" i="38"/>
  <c r="F27" i="37"/>
  <c r="F27" i="35"/>
  <c r="F27" i="39"/>
  <c r="F27" i="36"/>
  <c r="F27" i="32"/>
  <c r="F27" i="34"/>
  <c r="C406" i="1"/>
  <c r="D406" i="1"/>
  <c r="AO356" i="1" l="1"/>
  <c r="AO355" i="1"/>
  <c r="AO358" i="1"/>
  <c r="AO354" i="1"/>
  <c r="AO353" i="1"/>
  <c r="AO352" i="1"/>
  <c r="AO351" i="1"/>
  <c r="AI433" i="1" l="1"/>
  <c r="AI432" i="1"/>
  <c r="AI235" i="1"/>
  <c r="AI234" i="1"/>
  <c r="AI233" i="1"/>
  <c r="H23" i="24" l="1"/>
  <c r="AP30" i="1"/>
  <c r="G23" i="39" l="1"/>
  <c r="G23" i="38"/>
  <c r="G23" i="35"/>
  <c r="G23" i="36"/>
  <c r="G23" i="37"/>
  <c r="G23" i="32"/>
  <c r="G23" i="34"/>
  <c r="H101" i="24"/>
  <c r="G16" i="24" l="1"/>
  <c r="H25" i="24"/>
  <c r="H53" i="24"/>
  <c r="H57" i="24"/>
  <c r="H64" i="24"/>
  <c r="H70" i="24"/>
  <c r="G116" i="24"/>
  <c r="G120" i="24"/>
  <c r="G126" i="24"/>
  <c r="G130" i="24"/>
  <c r="H135" i="24"/>
  <c r="H16" i="24"/>
  <c r="H28" i="24"/>
  <c r="G36" i="24"/>
  <c r="G41" i="24"/>
  <c r="G89" i="24"/>
  <c r="G101" i="24"/>
  <c r="G106" i="24"/>
  <c r="H124" i="24"/>
  <c r="H126" i="24"/>
  <c r="H130" i="24"/>
  <c r="H139" i="24"/>
  <c r="G15" i="24"/>
  <c r="G17" i="24"/>
  <c r="H21" i="24"/>
  <c r="H24" i="24"/>
  <c r="H26" i="24"/>
  <c r="H34" i="24"/>
  <c r="H36" i="24"/>
  <c r="H38" i="24"/>
  <c r="H41" i="24"/>
  <c r="H45" i="24"/>
  <c r="G52" i="24"/>
  <c r="H56" i="24"/>
  <c r="H58" i="24"/>
  <c r="H60" i="24"/>
  <c r="H63" i="24"/>
  <c r="H65" i="24"/>
  <c r="H71" i="24"/>
  <c r="H87" i="24"/>
  <c r="H89" i="24"/>
  <c r="H97" i="24"/>
  <c r="H99" i="24"/>
  <c r="H106" i="24"/>
  <c r="H110" i="24"/>
  <c r="G117" i="24"/>
  <c r="G119" i="24"/>
  <c r="H121" i="24"/>
  <c r="G125" i="24"/>
  <c r="G127" i="24"/>
  <c r="G129" i="24"/>
  <c r="G132" i="24"/>
  <c r="G134" i="24"/>
  <c r="G136" i="24"/>
  <c r="G138" i="24"/>
  <c r="H19" i="24"/>
  <c r="H31" i="24"/>
  <c r="H33" i="24"/>
  <c r="H35" i="24"/>
  <c r="H37" i="24"/>
  <c r="H44" i="24"/>
  <c r="H55" i="24"/>
  <c r="H59" i="24"/>
  <c r="H62" i="24"/>
  <c r="H66" i="24"/>
  <c r="G75" i="24"/>
  <c r="H88" i="24"/>
  <c r="H96" i="24"/>
  <c r="H100" i="24"/>
  <c r="G118" i="24"/>
  <c r="G124" i="24"/>
  <c r="G128" i="24"/>
  <c r="G133" i="24"/>
  <c r="G139" i="24"/>
  <c r="G34" i="24"/>
  <c r="G38" i="24"/>
  <c r="G45" i="24"/>
  <c r="H48" i="24"/>
  <c r="G56" i="24"/>
  <c r="G60" i="24"/>
  <c r="G63" i="24"/>
  <c r="G65" i="24"/>
  <c r="G71" i="24"/>
  <c r="G87" i="24"/>
  <c r="G97" i="24"/>
  <c r="G99" i="24"/>
  <c r="H104" i="24"/>
  <c r="H116" i="24"/>
  <c r="H118" i="24"/>
  <c r="H120" i="24"/>
  <c r="H128" i="24"/>
  <c r="H133" i="24"/>
  <c r="H137" i="24"/>
  <c r="H15" i="24"/>
  <c r="H17" i="24"/>
  <c r="H20" i="24"/>
  <c r="H22" i="24"/>
  <c r="H30" i="24"/>
  <c r="G33" i="24"/>
  <c r="G35" i="24"/>
  <c r="G37" i="24"/>
  <c r="G40" i="24"/>
  <c r="H47" i="24"/>
  <c r="H52" i="24"/>
  <c r="G55" i="24"/>
  <c r="G57" i="24"/>
  <c r="G59" i="24"/>
  <c r="G62" i="24"/>
  <c r="G64" i="24"/>
  <c r="G66" i="24"/>
  <c r="G70" i="24"/>
  <c r="H73" i="24"/>
  <c r="H74" i="24"/>
  <c r="G88" i="24"/>
  <c r="G100" i="24"/>
  <c r="H102" i="24"/>
  <c r="H103" i="24"/>
  <c r="H105" i="24"/>
  <c r="H111" i="24"/>
  <c r="H112" i="24"/>
  <c r="H117" i="24"/>
  <c r="H119" i="24"/>
  <c r="H125" i="24"/>
  <c r="H127" i="24"/>
  <c r="H129" i="24"/>
  <c r="H132" i="24"/>
  <c r="H134" i="24"/>
  <c r="H136" i="24"/>
  <c r="H138" i="24"/>
  <c r="G145" i="24"/>
  <c r="H149" i="24"/>
  <c r="H155" i="24"/>
  <c r="H40" i="24"/>
  <c r="H81" i="24"/>
  <c r="H80" i="24" s="1"/>
  <c r="H94" i="24"/>
  <c r="H143" i="24"/>
  <c r="H147" i="24"/>
  <c r="H50" i="24"/>
  <c r="H49" i="24" s="1"/>
  <c r="H13" i="24"/>
  <c r="G30" i="24"/>
  <c r="H68" i="24"/>
  <c r="H78" i="24"/>
  <c r="H83" i="24"/>
  <c r="H82" i="24" s="1"/>
  <c r="G141" i="24"/>
  <c r="H145" i="24"/>
  <c r="H153" i="24"/>
  <c r="H85" i="24"/>
  <c r="H84" i="24" s="1"/>
  <c r="G68" i="24"/>
  <c r="G78" i="24"/>
  <c r="G83" i="24"/>
  <c r="G81" i="24"/>
  <c r="G85" i="24"/>
  <c r="H92" i="24"/>
  <c r="H108" i="24"/>
  <c r="H141" i="24"/>
  <c r="G147" i="24"/>
  <c r="H151" i="24"/>
  <c r="D13" i="24"/>
  <c r="H32" i="24" l="1"/>
  <c r="G69" i="24"/>
  <c r="H69" i="24"/>
  <c r="G84" i="39"/>
  <c r="G84" i="38"/>
  <c r="G84" i="37"/>
  <c r="G84" i="36"/>
  <c r="G84" i="35"/>
  <c r="G84" i="34"/>
  <c r="G84" i="32"/>
  <c r="H86" i="24"/>
  <c r="H79" i="24" s="1"/>
  <c r="G49" i="39"/>
  <c r="G49" i="34"/>
  <c r="G49" i="36"/>
  <c r="G49" i="35"/>
  <c r="G49" i="37"/>
  <c r="G49" i="38"/>
  <c r="G49" i="32"/>
  <c r="F147" i="39"/>
  <c r="F147" i="38"/>
  <c r="F147" i="36"/>
  <c r="F147" i="35"/>
  <c r="F147" i="37"/>
  <c r="F147" i="32"/>
  <c r="F147" i="34"/>
  <c r="F85" i="39"/>
  <c r="F85" i="38"/>
  <c r="F85" i="36"/>
  <c r="F85" i="37"/>
  <c r="F85" i="35"/>
  <c r="F85" i="32"/>
  <c r="F85" i="34"/>
  <c r="G145" i="37"/>
  <c r="G145" i="38"/>
  <c r="G145" i="36"/>
  <c r="G145" i="34"/>
  <c r="G145" i="32"/>
  <c r="G145" i="39"/>
  <c r="G145" i="35"/>
  <c r="G68" i="39"/>
  <c r="G68" i="38"/>
  <c r="G68" i="37"/>
  <c r="G68" i="36"/>
  <c r="G68" i="35"/>
  <c r="G68" i="32"/>
  <c r="G68" i="34"/>
  <c r="G94" i="39"/>
  <c r="G94" i="38"/>
  <c r="G94" i="37"/>
  <c r="G94" i="36"/>
  <c r="G94" i="32"/>
  <c r="G94" i="35"/>
  <c r="G94" i="34"/>
  <c r="G149" i="39"/>
  <c r="G149" i="38"/>
  <c r="G149" i="37"/>
  <c r="G149" i="36"/>
  <c r="G149" i="34"/>
  <c r="G149" i="35"/>
  <c r="G149" i="32"/>
  <c r="G134" i="38"/>
  <c r="G134" i="39"/>
  <c r="G134" i="37"/>
  <c r="G134" i="34"/>
  <c r="G134" i="36"/>
  <c r="G134" i="35"/>
  <c r="G134" i="32"/>
  <c r="G125" i="39"/>
  <c r="G125" i="38"/>
  <c r="G125" i="37"/>
  <c r="G125" i="36"/>
  <c r="G125" i="32"/>
  <c r="G125" i="34"/>
  <c r="G125" i="35"/>
  <c r="G111" i="39"/>
  <c r="G111" i="38"/>
  <c r="G111" i="37"/>
  <c r="G111" i="36"/>
  <c r="G111" i="35"/>
  <c r="G111" i="32"/>
  <c r="G111" i="34"/>
  <c r="F70" i="39"/>
  <c r="F70" i="38"/>
  <c r="F70" i="35"/>
  <c r="F70" i="34"/>
  <c r="F70" i="36"/>
  <c r="F70" i="32"/>
  <c r="F70" i="37"/>
  <c r="F59" i="39"/>
  <c r="F59" i="38"/>
  <c r="F59" i="35"/>
  <c r="F59" i="36"/>
  <c r="F59" i="34"/>
  <c r="F59" i="37"/>
  <c r="F59" i="32"/>
  <c r="G47" i="39"/>
  <c r="G47" i="37"/>
  <c r="G47" i="38"/>
  <c r="G47" i="36"/>
  <c r="G47" i="35"/>
  <c r="G47" i="34"/>
  <c r="G47" i="32"/>
  <c r="F35" i="38"/>
  <c r="F35" i="39"/>
  <c r="F35" i="37"/>
  <c r="F35" i="35"/>
  <c r="F35" i="36"/>
  <c r="F35" i="34"/>
  <c r="F35" i="32"/>
  <c r="G20" i="39"/>
  <c r="G20" i="38"/>
  <c r="G20" i="37"/>
  <c r="G20" i="35"/>
  <c r="G20" i="34"/>
  <c r="G20" i="36"/>
  <c r="G20" i="32"/>
  <c r="G133" i="39"/>
  <c r="G133" i="38"/>
  <c r="G133" i="37"/>
  <c r="G133" i="36"/>
  <c r="G133" i="32"/>
  <c r="G133" i="35"/>
  <c r="G133" i="34"/>
  <c r="G116" i="39"/>
  <c r="G116" i="38"/>
  <c r="G116" i="37"/>
  <c r="G116" i="35"/>
  <c r="G116" i="32"/>
  <c r="G116" i="36"/>
  <c r="G116" i="34"/>
  <c r="F87" i="39"/>
  <c r="F87" i="38"/>
  <c r="F87" i="36"/>
  <c r="F87" i="35"/>
  <c r="F87" i="37"/>
  <c r="F87" i="32"/>
  <c r="F87" i="34"/>
  <c r="F63" i="39"/>
  <c r="F63" i="38"/>
  <c r="F63" i="36"/>
  <c r="F63" i="35"/>
  <c r="F63" i="32"/>
  <c r="F63" i="37"/>
  <c r="F63" i="34"/>
  <c r="F45" i="39"/>
  <c r="F45" i="38"/>
  <c r="F45" i="35"/>
  <c r="F45" i="36"/>
  <c r="F45" i="32"/>
  <c r="F45" i="34"/>
  <c r="F45" i="37"/>
  <c r="F133" i="39"/>
  <c r="F133" i="38"/>
  <c r="F133" i="36"/>
  <c r="F133" i="35"/>
  <c r="F133" i="32"/>
  <c r="F133" i="37"/>
  <c r="F133" i="34"/>
  <c r="G100" i="39"/>
  <c r="G100" i="38"/>
  <c r="G100" i="37"/>
  <c r="G100" i="35"/>
  <c r="G100" i="34"/>
  <c r="G100" i="32"/>
  <c r="G100" i="36"/>
  <c r="G66" i="39"/>
  <c r="G66" i="38"/>
  <c r="G66" i="37"/>
  <c r="G66" i="36"/>
  <c r="G66" i="35"/>
  <c r="G66" i="34"/>
  <c r="G66" i="32"/>
  <c r="G44" i="38"/>
  <c r="G44" i="39"/>
  <c r="G44" i="37"/>
  <c r="G44" i="35"/>
  <c r="G44" i="36"/>
  <c r="G44" i="34"/>
  <c r="G44" i="32"/>
  <c r="G31" i="39"/>
  <c r="G31" i="38"/>
  <c r="G31" i="35"/>
  <c r="G31" i="36"/>
  <c r="G31" i="37"/>
  <c r="G31" i="32"/>
  <c r="G31" i="34"/>
  <c r="F134" i="39"/>
  <c r="F134" i="36"/>
  <c r="F134" i="38"/>
  <c r="F134" i="37"/>
  <c r="F134" i="35"/>
  <c r="F134" i="34"/>
  <c r="F134" i="32"/>
  <c r="F125" i="39"/>
  <c r="F125" i="38"/>
  <c r="F125" i="36"/>
  <c r="F125" i="35"/>
  <c r="F125" i="37"/>
  <c r="F125" i="32"/>
  <c r="F125" i="34"/>
  <c r="G110" i="39"/>
  <c r="G110" i="38"/>
  <c r="G110" i="37"/>
  <c r="G110" i="36"/>
  <c r="G110" i="35"/>
  <c r="G110" i="32"/>
  <c r="G110" i="34"/>
  <c r="G97" i="39"/>
  <c r="G97" i="38"/>
  <c r="G97" i="37"/>
  <c r="G97" i="36"/>
  <c r="G97" i="35"/>
  <c r="G97" i="32"/>
  <c r="G97" i="34"/>
  <c r="G71" i="39"/>
  <c r="G71" i="37"/>
  <c r="G71" i="38"/>
  <c r="G71" i="36"/>
  <c r="G71" i="32"/>
  <c r="G71" i="35"/>
  <c r="G71" i="34"/>
  <c r="G58" i="39"/>
  <c r="G58" i="38"/>
  <c r="G58" i="37"/>
  <c r="G58" i="35"/>
  <c r="G58" i="36"/>
  <c r="G58" i="34"/>
  <c r="G58" i="32"/>
  <c r="G41" i="39"/>
  <c r="G41" i="38"/>
  <c r="G41" i="35"/>
  <c r="G41" i="37"/>
  <c r="G41" i="36"/>
  <c r="G41" i="32"/>
  <c r="G41" i="34"/>
  <c r="G26" i="39"/>
  <c r="G26" i="38"/>
  <c r="G26" i="37"/>
  <c r="G26" i="36"/>
  <c r="G26" i="34"/>
  <c r="G26" i="32"/>
  <c r="G26" i="35"/>
  <c r="F15" i="39"/>
  <c r="F15" i="38"/>
  <c r="F15" i="37"/>
  <c r="F15" i="35"/>
  <c r="F15" i="36"/>
  <c r="F15" i="34"/>
  <c r="F15" i="32"/>
  <c r="G124" i="39"/>
  <c r="G124" i="38"/>
  <c r="G124" i="37"/>
  <c r="G124" i="35"/>
  <c r="G124" i="34"/>
  <c r="G124" i="36"/>
  <c r="G124" i="32"/>
  <c r="G16" i="38"/>
  <c r="G16" i="39"/>
  <c r="G16" i="37"/>
  <c r="G16" i="35"/>
  <c r="G16" i="34"/>
  <c r="G16" i="36"/>
  <c r="G16" i="32"/>
  <c r="F120" i="39"/>
  <c r="F120" i="38"/>
  <c r="F120" i="36"/>
  <c r="F120" i="37"/>
  <c r="F120" i="35"/>
  <c r="F120" i="34"/>
  <c r="F120" i="32"/>
  <c r="G57" i="38"/>
  <c r="G57" i="39"/>
  <c r="G57" i="37"/>
  <c r="G57" i="36"/>
  <c r="G57" i="35"/>
  <c r="G57" i="32"/>
  <c r="G57" i="34"/>
  <c r="F78" i="39"/>
  <c r="F78" i="38"/>
  <c r="F78" i="37"/>
  <c r="F78" i="36"/>
  <c r="F78" i="35"/>
  <c r="F78" i="34"/>
  <c r="F78" i="32"/>
  <c r="G141" i="39"/>
  <c r="G141" i="38"/>
  <c r="G141" i="37"/>
  <c r="G141" i="36"/>
  <c r="G141" i="34"/>
  <c r="G141" i="35"/>
  <c r="G141" i="32"/>
  <c r="F81" i="39"/>
  <c r="F81" i="38"/>
  <c r="F81" i="36"/>
  <c r="F81" i="35"/>
  <c r="F81" i="37"/>
  <c r="F81" i="32"/>
  <c r="F81" i="34"/>
  <c r="F68" i="38"/>
  <c r="F68" i="39"/>
  <c r="F68" i="37"/>
  <c r="F68" i="36"/>
  <c r="F68" i="35"/>
  <c r="F68" i="34"/>
  <c r="F68" i="32"/>
  <c r="F141" i="38"/>
  <c r="F141" i="39"/>
  <c r="F141" i="36"/>
  <c r="F141" i="35"/>
  <c r="F141" i="32"/>
  <c r="F141" i="34"/>
  <c r="F141" i="37"/>
  <c r="F30" i="38"/>
  <c r="F30" i="39"/>
  <c r="F30" i="37"/>
  <c r="F30" i="36"/>
  <c r="F30" i="32"/>
  <c r="F30" i="34"/>
  <c r="F30" i="35"/>
  <c r="G81" i="39"/>
  <c r="G81" i="38"/>
  <c r="G81" i="37"/>
  <c r="G81" i="36"/>
  <c r="G81" i="35"/>
  <c r="G81" i="34"/>
  <c r="G81" i="32"/>
  <c r="F145" i="39"/>
  <c r="F145" i="38"/>
  <c r="F145" i="36"/>
  <c r="F145" i="35"/>
  <c r="F145" i="32"/>
  <c r="F145" i="34"/>
  <c r="F145" i="37"/>
  <c r="G132" i="39"/>
  <c r="G132" i="38"/>
  <c r="G132" i="37"/>
  <c r="G132" i="35"/>
  <c r="G132" i="32"/>
  <c r="G132" i="36"/>
  <c r="G132" i="34"/>
  <c r="G119" i="39"/>
  <c r="G119" i="37"/>
  <c r="G119" i="38"/>
  <c r="G119" i="36"/>
  <c r="G119" i="35"/>
  <c r="G119" i="32"/>
  <c r="G119" i="34"/>
  <c r="G105" i="39"/>
  <c r="G105" i="38"/>
  <c r="G105" i="37"/>
  <c r="G105" i="36"/>
  <c r="G105" i="32"/>
  <c r="G105" i="35"/>
  <c r="G105" i="34"/>
  <c r="F88" i="39"/>
  <c r="F88" i="38"/>
  <c r="F88" i="36"/>
  <c r="F88" i="37"/>
  <c r="F88" i="35"/>
  <c r="F88" i="34"/>
  <c r="F88" i="32"/>
  <c r="F66" i="39"/>
  <c r="F66" i="38"/>
  <c r="F66" i="37"/>
  <c r="F66" i="36"/>
  <c r="F66" i="35"/>
  <c r="F66" i="34"/>
  <c r="F66" i="32"/>
  <c r="F57" i="39"/>
  <c r="F57" i="38"/>
  <c r="F57" i="35"/>
  <c r="F57" i="37"/>
  <c r="F57" i="36"/>
  <c r="F57" i="32"/>
  <c r="F57" i="34"/>
  <c r="F44" i="39"/>
  <c r="F44" i="38"/>
  <c r="F44" i="37"/>
  <c r="F44" i="34"/>
  <c r="F44" i="36"/>
  <c r="F44" i="32"/>
  <c r="F44" i="35"/>
  <c r="F33" i="39"/>
  <c r="F33" i="37"/>
  <c r="F33" i="35"/>
  <c r="F33" i="36"/>
  <c r="F33" i="34"/>
  <c r="F33" i="38"/>
  <c r="F33" i="32"/>
  <c r="G17" i="39"/>
  <c r="G17" i="38"/>
  <c r="G17" i="35"/>
  <c r="G17" i="37"/>
  <c r="G17" i="36"/>
  <c r="G17" i="32"/>
  <c r="G17" i="34"/>
  <c r="G128" i="39"/>
  <c r="G128" i="38"/>
  <c r="G128" i="37"/>
  <c r="G128" i="35"/>
  <c r="G128" i="36"/>
  <c r="G128" i="32"/>
  <c r="G128" i="34"/>
  <c r="G104" i="39"/>
  <c r="G104" i="38"/>
  <c r="G104" i="37"/>
  <c r="G104" i="35"/>
  <c r="G104" i="34"/>
  <c r="G104" i="36"/>
  <c r="G104" i="32"/>
  <c r="G75" i="39"/>
  <c r="G75" i="38"/>
  <c r="G75" i="37"/>
  <c r="G75" i="36"/>
  <c r="G75" i="35"/>
  <c r="G75" i="32"/>
  <c r="G75" i="34"/>
  <c r="F60" i="39"/>
  <c r="F60" i="38"/>
  <c r="F60" i="37"/>
  <c r="F60" i="34"/>
  <c r="F60" i="35"/>
  <c r="F60" i="32"/>
  <c r="F60" i="36"/>
  <c r="F38" i="38"/>
  <c r="F38" i="39"/>
  <c r="F38" i="37"/>
  <c r="F38" i="36"/>
  <c r="F38" i="32"/>
  <c r="F38" i="34"/>
  <c r="F38" i="35"/>
  <c r="F128" i="39"/>
  <c r="F128" i="38"/>
  <c r="F128" i="36"/>
  <c r="F128" i="37"/>
  <c r="F128" i="35"/>
  <c r="F128" i="34"/>
  <c r="F128" i="32"/>
  <c r="G62" i="38"/>
  <c r="G62" i="37"/>
  <c r="G62" i="35"/>
  <c r="G62" i="39"/>
  <c r="G62" i="36"/>
  <c r="G62" i="32"/>
  <c r="G62" i="34"/>
  <c r="G37" i="39"/>
  <c r="G37" i="38"/>
  <c r="G37" i="35"/>
  <c r="G37" i="37"/>
  <c r="G37" i="36"/>
  <c r="G37" i="34"/>
  <c r="G37" i="32"/>
  <c r="G19" i="38"/>
  <c r="G19" i="39"/>
  <c r="G19" i="35"/>
  <c r="G19" i="36"/>
  <c r="G19" i="32"/>
  <c r="G19" i="37"/>
  <c r="G19" i="34"/>
  <c r="F132" i="39"/>
  <c r="F132" i="38"/>
  <c r="F132" i="36"/>
  <c r="F132" i="37"/>
  <c r="F132" i="35"/>
  <c r="F132" i="34"/>
  <c r="F132" i="32"/>
  <c r="G121" i="39"/>
  <c r="G121" i="38"/>
  <c r="G121" i="37"/>
  <c r="G121" i="36"/>
  <c r="G121" i="35"/>
  <c r="G121" i="34"/>
  <c r="G121" i="32"/>
  <c r="G106" i="39"/>
  <c r="G106" i="38"/>
  <c r="G106" i="37"/>
  <c r="G106" i="36"/>
  <c r="G106" i="35"/>
  <c r="G106" i="34"/>
  <c r="G106" i="32"/>
  <c r="G89" i="38"/>
  <c r="G89" i="39"/>
  <c r="G89" i="37"/>
  <c r="G89" i="36"/>
  <c r="G89" i="35"/>
  <c r="G89" i="34"/>
  <c r="G89" i="32"/>
  <c r="G65" i="39"/>
  <c r="G65" i="38"/>
  <c r="G65" i="37"/>
  <c r="G65" i="36"/>
  <c r="G65" i="35"/>
  <c r="G65" i="34"/>
  <c r="G65" i="32"/>
  <c r="G56" i="39"/>
  <c r="G56" i="38"/>
  <c r="G56" i="37"/>
  <c r="G56" i="35"/>
  <c r="G56" i="36"/>
  <c r="G56" i="34"/>
  <c r="G56" i="32"/>
  <c r="G38" i="39"/>
  <c r="G38" i="38"/>
  <c r="G38" i="37"/>
  <c r="G38" i="34"/>
  <c r="G38" i="35"/>
  <c r="G38" i="32"/>
  <c r="G38" i="36"/>
  <c r="G24" i="38"/>
  <c r="G24" i="39"/>
  <c r="G24" i="37"/>
  <c r="G24" i="35"/>
  <c r="G24" i="34"/>
  <c r="G24" i="32"/>
  <c r="G24" i="36"/>
  <c r="G139" i="39"/>
  <c r="G139" i="38"/>
  <c r="G139" i="37"/>
  <c r="G139" i="36"/>
  <c r="G139" i="35"/>
  <c r="G139" i="32"/>
  <c r="G139" i="34"/>
  <c r="F106" i="39"/>
  <c r="F106" i="38"/>
  <c r="F106" i="36"/>
  <c r="F106" i="37"/>
  <c r="F106" i="35"/>
  <c r="F106" i="34"/>
  <c r="F106" i="32"/>
  <c r="F41" i="39"/>
  <c r="F41" i="37"/>
  <c r="F41" i="38"/>
  <c r="F41" i="35"/>
  <c r="F41" i="36"/>
  <c r="F41" i="32"/>
  <c r="F41" i="34"/>
  <c r="G135" i="39"/>
  <c r="G135" i="37"/>
  <c r="G135" i="38"/>
  <c r="G135" i="36"/>
  <c r="G135" i="32"/>
  <c r="G135" i="35"/>
  <c r="G135" i="34"/>
  <c r="F116" i="39"/>
  <c r="F116" i="38"/>
  <c r="F116" i="36"/>
  <c r="F116" i="37"/>
  <c r="F116" i="35"/>
  <c r="F116" i="34"/>
  <c r="F116" i="32"/>
  <c r="G53" i="39"/>
  <c r="G53" i="38"/>
  <c r="G53" i="37"/>
  <c r="G53" i="36"/>
  <c r="G53" i="35"/>
  <c r="G53" i="32"/>
  <c r="G53" i="34"/>
  <c r="G108" i="39"/>
  <c r="G108" i="38"/>
  <c r="G108" i="37"/>
  <c r="G108" i="35"/>
  <c r="G108" i="36"/>
  <c r="G108" i="34"/>
  <c r="G108" i="32"/>
  <c r="F83" i="39"/>
  <c r="F83" i="38"/>
  <c r="F83" i="36"/>
  <c r="F83" i="35"/>
  <c r="F83" i="34"/>
  <c r="F83" i="32"/>
  <c r="F83" i="37"/>
  <c r="G85" i="39"/>
  <c r="G85" i="38"/>
  <c r="G85" i="37"/>
  <c r="G85" i="34"/>
  <c r="G85" i="32"/>
  <c r="G85" i="36"/>
  <c r="G85" i="35"/>
  <c r="G83" i="39"/>
  <c r="G83" i="37"/>
  <c r="G83" i="36"/>
  <c r="G83" i="35"/>
  <c r="G83" i="38"/>
  <c r="G83" i="34"/>
  <c r="G83" i="32"/>
  <c r="G13" i="39"/>
  <c r="G13" i="35"/>
  <c r="G13" i="37"/>
  <c r="G13" i="36"/>
  <c r="G13" i="38"/>
  <c r="G13" i="32"/>
  <c r="G13" i="34"/>
  <c r="G147" i="39"/>
  <c r="G147" i="38"/>
  <c r="G147" i="37"/>
  <c r="G147" i="36"/>
  <c r="G147" i="35"/>
  <c r="G147" i="32"/>
  <c r="G147" i="34"/>
  <c r="G40" i="39"/>
  <c r="G40" i="38"/>
  <c r="G40" i="37"/>
  <c r="G40" i="35"/>
  <c r="G40" i="34"/>
  <c r="G40" i="36"/>
  <c r="G40" i="32"/>
  <c r="G138" i="39"/>
  <c r="G138" i="38"/>
  <c r="G138" i="37"/>
  <c r="G138" i="34"/>
  <c r="G138" i="36"/>
  <c r="G138" i="35"/>
  <c r="G138" i="32"/>
  <c r="G129" i="38"/>
  <c r="G129" i="39"/>
  <c r="G129" i="37"/>
  <c r="G129" i="36"/>
  <c r="G129" i="32"/>
  <c r="G129" i="35"/>
  <c r="G129" i="34"/>
  <c r="G117" i="39"/>
  <c r="G117" i="38"/>
  <c r="G117" i="37"/>
  <c r="G117" i="36"/>
  <c r="G117" i="35"/>
  <c r="G117" i="34"/>
  <c r="G117" i="32"/>
  <c r="G103" i="39"/>
  <c r="G103" i="37"/>
  <c r="G103" i="38"/>
  <c r="G103" i="36"/>
  <c r="G103" i="32"/>
  <c r="G103" i="35"/>
  <c r="G103" i="34"/>
  <c r="G74" i="39"/>
  <c r="G74" i="38"/>
  <c r="G74" i="37"/>
  <c r="G74" i="36"/>
  <c r="G74" i="35"/>
  <c r="G74" i="34"/>
  <c r="G74" i="32"/>
  <c r="F64" i="39"/>
  <c r="F64" i="38"/>
  <c r="F64" i="36"/>
  <c r="F64" i="37"/>
  <c r="F64" i="34"/>
  <c r="F64" i="35"/>
  <c r="F64" i="32"/>
  <c r="F55" i="39"/>
  <c r="F55" i="38"/>
  <c r="F55" i="35"/>
  <c r="F55" i="36"/>
  <c r="F55" i="37"/>
  <c r="F55" i="32"/>
  <c r="F55" i="34"/>
  <c r="F40" i="39"/>
  <c r="F40" i="38"/>
  <c r="F40" i="37"/>
  <c r="F40" i="36"/>
  <c r="F40" i="35"/>
  <c r="F40" i="34"/>
  <c r="F40" i="32"/>
  <c r="G30" i="39"/>
  <c r="G30" i="38"/>
  <c r="G30" i="37"/>
  <c r="G30" i="34"/>
  <c r="G30" i="32"/>
  <c r="G30" i="35"/>
  <c r="G30" i="36"/>
  <c r="G15" i="39"/>
  <c r="G15" i="38"/>
  <c r="G15" i="35"/>
  <c r="G15" i="36"/>
  <c r="G15" i="37"/>
  <c r="G15" i="32"/>
  <c r="G15" i="34"/>
  <c r="G120" i="39"/>
  <c r="G120" i="38"/>
  <c r="G120" i="37"/>
  <c r="G120" i="35"/>
  <c r="G120" i="34"/>
  <c r="G120" i="32"/>
  <c r="G120" i="36"/>
  <c r="F99" i="39"/>
  <c r="F99" i="38"/>
  <c r="F99" i="37"/>
  <c r="F99" i="36"/>
  <c r="F99" i="35"/>
  <c r="F99" i="32"/>
  <c r="F99" i="34"/>
  <c r="F71" i="39"/>
  <c r="F71" i="38"/>
  <c r="F71" i="36"/>
  <c r="F71" i="35"/>
  <c r="F71" i="37"/>
  <c r="F71" i="34"/>
  <c r="F71" i="32"/>
  <c r="F56" i="39"/>
  <c r="F56" i="38"/>
  <c r="F56" i="37"/>
  <c r="F56" i="36"/>
  <c r="F56" i="34"/>
  <c r="F56" i="35"/>
  <c r="F56" i="32"/>
  <c r="F34" i="39"/>
  <c r="F34" i="38"/>
  <c r="F34" i="37"/>
  <c r="F34" i="36"/>
  <c r="F34" i="32"/>
  <c r="F34" i="34"/>
  <c r="F34" i="35"/>
  <c r="F124" i="38"/>
  <c r="F124" i="36"/>
  <c r="F124" i="39"/>
  <c r="F124" i="37"/>
  <c r="F124" i="35"/>
  <c r="F124" i="34"/>
  <c r="F124" i="32"/>
  <c r="G88" i="39"/>
  <c r="G88" i="38"/>
  <c r="G88" i="37"/>
  <c r="G88" i="35"/>
  <c r="G88" i="34"/>
  <c r="G88" i="36"/>
  <c r="G88" i="32"/>
  <c r="G59" i="39"/>
  <c r="G59" i="37"/>
  <c r="G59" i="38"/>
  <c r="G59" i="36"/>
  <c r="G59" i="32"/>
  <c r="G59" i="35"/>
  <c r="G59" i="34"/>
  <c r="G35" i="38"/>
  <c r="G35" i="39"/>
  <c r="G35" i="35"/>
  <c r="G35" i="36"/>
  <c r="G35" i="34"/>
  <c r="G35" i="32"/>
  <c r="G35" i="37"/>
  <c r="F138" i="39"/>
  <c r="F138" i="38"/>
  <c r="F138" i="36"/>
  <c r="F138" i="34"/>
  <c r="F138" i="37"/>
  <c r="F138" i="35"/>
  <c r="F138" i="32"/>
  <c r="F129" i="39"/>
  <c r="F129" i="38"/>
  <c r="F129" i="36"/>
  <c r="F129" i="35"/>
  <c r="F129" i="34"/>
  <c r="F129" i="32"/>
  <c r="F129" i="37"/>
  <c r="F119" i="39"/>
  <c r="F119" i="38"/>
  <c r="F119" i="36"/>
  <c r="F119" i="35"/>
  <c r="F119" i="37"/>
  <c r="F119" i="32"/>
  <c r="F119" i="34"/>
  <c r="G101" i="39"/>
  <c r="G101" i="38"/>
  <c r="G101" i="37"/>
  <c r="G101" i="36"/>
  <c r="G101" i="32"/>
  <c r="G101" i="34"/>
  <c r="G101" i="35"/>
  <c r="G87" i="39"/>
  <c r="G87" i="38"/>
  <c r="G87" i="37"/>
  <c r="G87" i="36"/>
  <c r="G87" i="35"/>
  <c r="G87" i="32"/>
  <c r="G87" i="34"/>
  <c r="G63" i="39"/>
  <c r="G63" i="38"/>
  <c r="G63" i="37"/>
  <c r="G63" i="36"/>
  <c r="G63" i="34"/>
  <c r="G63" i="32"/>
  <c r="G63" i="35"/>
  <c r="F52" i="38"/>
  <c r="F52" i="39"/>
  <c r="F52" i="37"/>
  <c r="F52" i="34"/>
  <c r="F52" i="32"/>
  <c r="F52" i="35"/>
  <c r="F52" i="36"/>
  <c r="G36" i="39"/>
  <c r="G36" i="38"/>
  <c r="G36" i="37"/>
  <c r="G36" i="35"/>
  <c r="G36" i="34"/>
  <c r="G36" i="36"/>
  <c r="G36" i="32"/>
  <c r="G21" i="39"/>
  <c r="G21" i="38"/>
  <c r="G21" i="35"/>
  <c r="G21" i="37"/>
  <c r="G21" i="36"/>
  <c r="G21" i="32"/>
  <c r="G21" i="34"/>
  <c r="G130" i="39"/>
  <c r="G130" i="38"/>
  <c r="G130" i="37"/>
  <c r="G130" i="36"/>
  <c r="G130" i="35"/>
  <c r="G130" i="34"/>
  <c r="G130" i="32"/>
  <c r="F101" i="39"/>
  <c r="F101" i="38"/>
  <c r="F101" i="36"/>
  <c r="F101" i="35"/>
  <c r="F101" i="37"/>
  <c r="F101" i="32"/>
  <c r="F101" i="34"/>
  <c r="F36" i="39"/>
  <c r="F36" i="37"/>
  <c r="F36" i="38"/>
  <c r="F36" i="36"/>
  <c r="F36" i="32"/>
  <c r="F36" i="35"/>
  <c r="F36" i="34"/>
  <c r="F130" i="39"/>
  <c r="F130" i="38"/>
  <c r="F130" i="36"/>
  <c r="F130" i="37"/>
  <c r="F130" i="35"/>
  <c r="F130" i="34"/>
  <c r="F130" i="32"/>
  <c r="G70" i="39"/>
  <c r="G70" i="38"/>
  <c r="G70" i="37"/>
  <c r="G70" i="35"/>
  <c r="G70" i="36"/>
  <c r="G70" i="34"/>
  <c r="G70" i="32"/>
  <c r="G25" i="39"/>
  <c r="G25" i="38"/>
  <c r="G25" i="35"/>
  <c r="G25" i="37"/>
  <c r="G25" i="36"/>
  <c r="G25" i="32"/>
  <c r="G25" i="34"/>
  <c r="G151" i="39"/>
  <c r="G151" i="37"/>
  <c r="G151" i="38"/>
  <c r="G151" i="36"/>
  <c r="G151" i="35"/>
  <c r="G151" i="32"/>
  <c r="G151" i="34"/>
  <c r="G92" i="39"/>
  <c r="G92" i="38"/>
  <c r="G92" i="37"/>
  <c r="G92" i="36"/>
  <c r="G92" i="34"/>
  <c r="G92" i="32"/>
  <c r="G92" i="35"/>
  <c r="G153" i="38"/>
  <c r="G153" i="39"/>
  <c r="G153" i="37"/>
  <c r="G153" i="36"/>
  <c r="G153" i="34"/>
  <c r="G153" i="32"/>
  <c r="G153" i="35"/>
  <c r="G78" i="39"/>
  <c r="G78" i="38"/>
  <c r="G78" i="37"/>
  <c r="G78" i="36"/>
  <c r="G78" i="35"/>
  <c r="G78" i="34"/>
  <c r="G78" i="32"/>
  <c r="G143" i="39"/>
  <c r="G143" i="38"/>
  <c r="G143" i="37"/>
  <c r="G143" i="36"/>
  <c r="G143" i="32"/>
  <c r="G143" i="35"/>
  <c r="G143" i="34"/>
  <c r="G155" i="39"/>
  <c r="G155" i="38"/>
  <c r="G155" i="37"/>
  <c r="G155" i="36"/>
  <c r="G155" i="35"/>
  <c r="G155" i="32"/>
  <c r="G155" i="34"/>
  <c r="G136" i="39"/>
  <c r="G136" i="38"/>
  <c r="G136" i="37"/>
  <c r="G136" i="34"/>
  <c r="G136" i="35"/>
  <c r="G136" i="32"/>
  <c r="G136" i="36"/>
  <c r="G127" i="39"/>
  <c r="G127" i="38"/>
  <c r="G127" i="37"/>
  <c r="G127" i="36"/>
  <c r="G127" i="32"/>
  <c r="G127" i="35"/>
  <c r="G127" i="34"/>
  <c r="G112" i="39"/>
  <c r="G112" i="38"/>
  <c r="G112" i="37"/>
  <c r="G112" i="35"/>
  <c r="G112" i="36"/>
  <c r="G112" i="32"/>
  <c r="G112" i="34"/>
  <c r="G102" i="38"/>
  <c r="G102" i="39"/>
  <c r="G102" i="37"/>
  <c r="G102" i="36"/>
  <c r="G102" i="35"/>
  <c r="G102" i="34"/>
  <c r="G102" i="32"/>
  <c r="G73" i="39"/>
  <c r="G73" i="38"/>
  <c r="G73" i="37"/>
  <c r="G73" i="35"/>
  <c r="G73" i="36"/>
  <c r="G73" i="34"/>
  <c r="G73" i="32"/>
  <c r="F62" i="39"/>
  <c r="F62" i="37"/>
  <c r="F62" i="38"/>
  <c r="F62" i="34"/>
  <c r="F62" i="35"/>
  <c r="F62" i="36"/>
  <c r="F62" i="32"/>
  <c r="G52" i="39"/>
  <c r="G52" i="38"/>
  <c r="G52" i="37"/>
  <c r="G52" i="35"/>
  <c r="G52" i="36"/>
  <c r="G52" i="32"/>
  <c r="G52" i="34"/>
  <c r="F37" i="39"/>
  <c r="F37" i="37"/>
  <c r="F37" i="35"/>
  <c r="F37" i="38"/>
  <c r="F37" i="36"/>
  <c r="F37" i="34"/>
  <c r="F37" i="32"/>
  <c r="G22" i="39"/>
  <c r="G22" i="38"/>
  <c r="G22" i="37"/>
  <c r="G22" i="34"/>
  <c r="G22" i="35"/>
  <c r="G22" i="32"/>
  <c r="G22" i="36"/>
  <c r="G137" i="39"/>
  <c r="G137" i="38"/>
  <c r="G137" i="37"/>
  <c r="G137" i="36"/>
  <c r="G137" i="34"/>
  <c r="G137" i="32"/>
  <c r="G137" i="35"/>
  <c r="G118" i="38"/>
  <c r="G118" i="37"/>
  <c r="G118" i="36"/>
  <c r="G118" i="35"/>
  <c r="G118" i="39"/>
  <c r="G118" i="32"/>
  <c r="G118" i="34"/>
  <c r="F97" i="39"/>
  <c r="F97" i="38"/>
  <c r="F97" i="36"/>
  <c r="F97" i="37"/>
  <c r="F97" i="35"/>
  <c r="F97" i="34"/>
  <c r="F97" i="32"/>
  <c r="F65" i="39"/>
  <c r="F65" i="36"/>
  <c r="F65" i="38"/>
  <c r="F65" i="35"/>
  <c r="F65" i="37"/>
  <c r="F65" i="32"/>
  <c r="F65" i="34"/>
  <c r="G48" i="39"/>
  <c r="G48" i="38"/>
  <c r="G48" i="37"/>
  <c r="G48" i="35"/>
  <c r="G48" i="36"/>
  <c r="G48" i="32"/>
  <c r="G48" i="34"/>
  <c r="F139" i="39"/>
  <c r="F139" i="38"/>
  <c r="F139" i="36"/>
  <c r="F139" i="35"/>
  <c r="F139" i="37"/>
  <c r="F139" i="32"/>
  <c r="F139" i="34"/>
  <c r="F118" i="39"/>
  <c r="F118" i="36"/>
  <c r="F118" i="37"/>
  <c r="F118" i="35"/>
  <c r="F118" i="38"/>
  <c r="F118" i="34"/>
  <c r="F118" i="32"/>
  <c r="F75" i="39"/>
  <c r="F75" i="38"/>
  <c r="F75" i="36"/>
  <c r="F75" i="35"/>
  <c r="F75" i="34"/>
  <c r="F75" i="32"/>
  <c r="F75" i="37"/>
  <c r="G55" i="39"/>
  <c r="G55" i="38"/>
  <c r="G55" i="37"/>
  <c r="G55" i="36"/>
  <c r="G55" i="32"/>
  <c r="G55" i="34"/>
  <c r="G55" i="35"/>
  <c r="G33" i="39"/>
  <c r="G33" i="38"/>
  <c r="G33" i="35"/>
  <c r="G33" i="37"/>
  <c r="G33" i="36"/>
  <c r="G33" i="32"/>
  <c r="G33" i="34"/>
  <c r="F136" i="39"/>
  <c r="F136" i="38"/>
  <c r="F136" i="36"/>
  <c r="F136" i="37"/>
  <c r="F136" i="34"/>
  <c r="F136" i="35"/>
  <c r="F136" i="32"/>
  <c r="F127" i="39"/>
  <c r="F127" i="38"/>
  <c r="F127" i="36"/>
  <c r="F127" i="35"/>
  <c r="F127" i="37"/>
  <c r="F127" i="34"/>
  <c r="F127" i="32"/>
  <c r="F117" i="39"/>
  <c r="F117" i="38"/>
  <c r="F117" i="36"/>
  <c r="F117" i="35"/>
  <c r="F117" i="37"/>
  <c r="F117" i="34"/>
  <c r="F117" i="32"/>
  <c r="G99" i="39"/>
  <c r="G99" i="38"/>
  <c r="G99" i="36"/>
  <c r="G99" i="37"/>
  <c r="G99" i="35"/>
  <c r="G99" i="34"/>
  <c r="G99" i="32"/>
  <c r="G60" i="39"/>
  <c r="G60" i="38"/>
  <c r="G60" i="37"/>
  <c r="G60" i="35"/>
  <c r="G60" i="36"/>
  <c r="G60" i="34"/>
  <c r="G60" i="32"/>
  <c r="G45" i="39"/>
  <c r="G45" i="38"/>
  <c r="G45" i="37"/>
  <c r="G45" i="36"/>
  <c r="G45" i="34"/>
  <c r="G45" i="32"/>
  <c r="G45" i="35"/>
  <c r="G34" i="39"/>
  <c r="G34" i="38"/>
  <c r="G34" i="37"/>
  <c r="G34" i="36"/>
  <c r="G34" i="34"/>
  <c r="G34" i="32"/>
  <c r="G34" i="35"/>
  <c r="F17" i="39"/>
  <c r="F17" i="37"/>
  <c r="F17" i="35"/>
  <c r="F17" i="36"/>
  <c r="F17" i="38"/>
  <c r="F17" i="34"/>
  <c r="F17" i="32"/>
  <c r="G126" i="39"/>
  <c r="G126" i="38"/>
  <c r="G126" i="37"/>
  <c r="G126" i="36"/>
  <c r="G126" i="35"/>
  <c r="G126" i="34"/>
  <c r="G126" i="32"/>
  <c r="F89" i="39"/>
  <c r="F89" i="38"/>
  <c r="F89" i="36"/>
  <c r="F89" i="35"/>
  <c r="F89" i="32"/>
  <c r="F89" i="34"/>
  <c r="F89" i="37"/>
  <c r="G28" i="39"/>
  <c r="G28" i="38"/>
  <c r="G28" i="37"/>
  <c r="G28" i="35"/>
  <c r="G28" i="34"/>
  <c r="G28" i="36"/>
  <c r="G28" i="32"/>
  <c r="F126" i="39"/>
  <c r="F126" i="36"/>
  <c r="F126" i="38"/>
  <c r="F126" i="37"/>
  <c r="F126" i="35"/>
  <c r="F126" i="34"/>
  <c r="F126" i="32"/>
  <c r="G64" i="39"/>
  <c r="G64" i="38"/>
  <c r="G64" i="37"/>
  <c r="G64" i="35"/>
  <c r="G64" i="36"/>
  <c r="G64" i="34"/>
  <c r="G64" i="32"/>
  <c r="F16" i="39"/>
  <c r="F16" i="38"/>
  <c r="F16" i="37"/>
  <c r="F16" i="36"/>
  <c r="F16" i="35"/>
  <c r="F16" i="34"/>
  <c r="F16" i="32"/>
  <c r="F100" i="34"/>
  <c r="F100" i="32"/>
  <c r="F100" i="35"/>
  <c r="F100" i="38"/>
  <c r="F100" i="37"/>
  <c r="F100" i="39"/>
  <c r="F100" i="36"/>
  <c r="D13" i="32"/>
  <c r="D13" i="38"/>
  <c r="D13" i="37"/>
  <c r="D13" i="35"/>
  <c r="D13" i="39"/>
  <c r="D13" i="36"/>
  <c r="D13" i="34"/>
  <c r="G50" i="38"/>
  <c r="G50" i="35"/>
  <c r="G50" i="37"/>
  <c r="G50" i="39"/>
  <c r="G50" i="36"/>
  <c r="G50" i="34"/>
  <c r="G50" i="32"/>
  <c r="G96" i="38"/>
  <c r="G96" i="37"/>
  <c r="G96" i="32"/>
  <c r="G96" i="34"/>
  <c r="G96" i="39"/>
  <c r="G96" i="36"/>
  <c r="G96" i="35"/>
  <c r="G76" i="36"/>
  <c r="G76" i="34"/>
  <c r="G76" i="32"/>
  <c r="G76" i="39"/>
  <c r="G76" i="38"/>
  <c r="G76" i="37"/>
  <c r="G76" i="35"/>
  <c r="H140" i="24"/>
  <c r="G80" i="24"/>
  <c r="G67" i="24"/>
  <c r="G140" i="24"/>
  <c r="H107" i="24"/>
  <c r="G82" i="24"/>
  <c r="H12" i="24"/>
  <c r="H150" i="24"/>
  <c r="H91" i="24"/>
  <c r="G146" i="24"/>
  <c r="G84" i="24"/>
  <c r="G77" i="24"/>
  <c r="H144" i="24"/>
  <c r="H67" i="24"/>
  <c r="H93" i="24"/>
  <c r="H148" i="24"/>
  <c r="G144" i="24"/>
  <c r="D12" i="24"/>
  <c r="H146" i="24"/>
  <c r="H152" i="24"/>
  <c r="H142" i="24"/>
  <c r="H154" i="24"/>
  <c r="H72" i="24"/>
  <c r="H14" i="24"/>
  <c r="H51" i="24"/>
  <c r="G86" i="24"/>
  <c r="G43" i="24"/>
  <c r="H95" i="24"/>
  <c r="H61" i="24"/>
  <c r="H54" i="24"/>
  <c r="H18" i="24"/>
  <c r="H39" i="24"/>
  <c r="H29" i="24"/>
  <c r="G61" i="24"/>
  <c r="H43" i="24"/>
  <c r="H98" i="24"/>
  <c r="G14" i="24"/>
  <c r="H131" i="24"/>
  <c r="H123" i="24"/>
  <c r="H115" i="24"/>
  <c r="H46" i="24"/>
  <c r="G32" i="24"/>
  <c r="G39" i="24"/>
  <c r="G123" i="24"/>
  <c r="G110" i="24"/>
  <c r="G102" i="24"/>
  <c r="G111" i="24"/>
  <c r="G47" i="24"/>
  <c r="G105" i="24"/>
  <c r="G112" i="24"/>
  <c r="G113" i="24"/>
  <c r="G74" i="24"/>
  <c r="G104" i="24"/>
  <c r="G21" i="24"/>
  <c r="G48" i="24"/>
  <c r="G28" i="24"/>
  <c r="G20" i="24"/>
  <c r="G25" i="24"/>
  <c r="G73" i="24"/>
  <c r="G24" i="24"/>
  <c r="G31" i="24"/>
  <c r="G26" i="24"/>
  <c r="G103" i="24"/>
  <c r="G23" i="24"/>
  <c r="H109" i="24"/>
  <c r="G121" i="24"/>
  <c r="G149" i="24"/>
  <c r="G153" i="24"/>
  <c r="G96" i="24"/>
  <c r="G53" i="24"/>
  <c r="G94" i="24"/>
  <c r="G143" i="24"/>
  <c r="G108" i="24"/>
  <c r="G155" i="24"/>
  <c r="G135" i="24"/>
  <c r="G19" i="24"/>
  <c r="G151" i="24"/>
  <c r="G92" i="24"/>
  <c r="G13" i="24"/>
  <c r="G12" i="24" s="1"/>
  <c r="G69" i="38" l="1"/>
  <c r="G69" i="35"/>
  <c r="G69" i="39"/>
  <c r="G69" i="36"/>
  <c r="G69" i="37"/>
  <c r="G69" i="34"/>
  <c r="G69" i="32"/>
  <c r="H122" i="24"/>
  <c r="H90" i="24"/>
  <c r="G46" i="24"/>
  <c r="G86" i="39"/>
  <c r="G86" i="34"/>
  <c r="G86" i="36"/>
  <c r="G86" i="35"/>
  <c r="G86" i="37"/>
  <c r="G86" i="32"/>
  <c r="G86" i="38"/>
  <c r="F92" i="39"/>
  <c r="F92" i="36"/>
  <c r="F92" i="38"/>
  <c r="F92" i="35"/>
  <c r="F92" i="37"/>
  <c r="F92" i="32"/>
  <c r="F92" i="34"/>
  <c r="F121" i="39"/>
  <c r="F121" i="38"/>
  <c r="F121" i="36"/>
  <c r="F121" i="35"/>
  <c r="F121" i="37"/>
  <c r="F121" i="34"/>
  <c r="F121" i="32"/>
  <c r="F25" i="39"/>
  <c r="F25" i="37"/>
  <c r="F25" i="38"/>
  <c r="F25" i="35"/>
  <c r="F25" i="36"/>
  <c r="F25" i="32"/>
  <c r="F25" i="34"/>
  <c r="F111" i="39"/>
  <c r="F111" i="38"/>
  <c r="F111" i="36"/>
  <c r="F111" i="35"/>
  <c r="F111" i="37"/>
  <c r="F111" i="32"/>
  <c r="F111" i="34"/>
  <c r="G43" i="32"/>
  <c r="G43" i="39"/>
  <c r="G43" i="38"/>
  <c r="G43" i="37"/>
  <c r="G43" i="36"/>
  <c r="G43" i="35"/>
  <c r="G43" i="34"/>
  <c r="F86" i="32"/>
  <c r="F86" i="39"/>
  <c r="F86" i="38"/>
  <c r="F86" i="36"/>
  <c r="F86" i="35"/>
  <c r="F86" i="34"/>
  <c r="F86" i="37"/>
  <c r="F84" i="32"/>
  <c r="F84" i="39"/>
  <c r="F84" i="38"/>
  <c r="F84" i="36"/>
  <c r="F84" i="37"/>
  <c r="F84" i="35"/>
  <c r="F84" i="34"/>
  <c r="F140" i="32"/>
  <c r="F140" i="39"/>
  <c r="F140" i="36"/>
  <c r="F140" i="38"/>
  <c r="F140" i="37"/>
  <c r="F140" i="34"/>
  <c r="F140" i="35"/>
  <c r="G109" i="32"/>
  <c r="G109" i="39"/>
  <c r="G109" i="38"/>
  <c r="G109" i="37"/>
  <c r="G109" i="36"/>
  <c r="G109" i="35"/>
  <c r="G109" i="34"/>
  <c r="F20" i="39"/>
  <c r="F20" i="37"/>
  <c r="F20" i="38"/>
  <c r="F20" i="36"/>
  <c r="F20" i="35"/>
  <c r="F20" i="34"/>
  <c r="F20" i="32"/>
  <c r="F102" i="39"/>
  <c r="F102" i="36"/>
  <c r="F102" i="38"/>
  <c r="F102" i="37"/>
  <c r="F102" i="35"/>
  <c r="F102" i="34"/>
  <c r="F102" i="32"/>
  <c r="G32" i="32"/>
  <c r="G32" i="38"/>
  <c r="G32" i="39"/>
  <c r="G32" i="37"/>
  <c r="G32" i="35"/>
  <c r="G32" i="34"/>
  <c r="G32" i="36"/>
  <c r="G142" i="32"/>
  <c r="G142" i="38"/>
  <c r="G142" i="39"/>
  <c r="G142" i="37"/>
  <c r="G142" i="34"/>
  <c r="G142" i="36"/>
  <c r="G142" i="35"/>
  <c r="F146" i="32"/>
  <c r="F146" i="39"/>
  <c r="F146" i="38"/>
  <c r="F146" i="36"/>
  <c r="F146" i="34"/>
  <c r="F146" i="37"/>
  <c r="F146" i="35"/>
  <c r="F19" i="38"/>
  <c r="F19" i="39"/>
  <c r="F19" i="37"/>
  <c r="F19" i="35"/>
  <c r="F19" i="36"/>
  <c r="F19" i="32"/>
  <c r="F19" i="34"/>
  <c r="F143" i="39"/>
  <c r="F143" i="38"/>
  <c r="F143" i="36"/>
  <c r="F143" i="35"/>
  <c r="F143" i="37"/>
  <c r="F143" i="32"/>
  <c r="F143" i="34"/>
  <c r="F153" i="39"/>
  <c r="F153" i="38"/>
  <c r="F153" i="36"/>
  <c r="F153" i="35"/>
  <c r="F153" i="37"/>
  <c r="F153" i="32"/>
  <c r="F153" i="34"/>
  <c r="F23" i="39"/>
  <c r="F23" i="38"/>
  <c r="F23" i="37"/>
  <c r="F23" i="35"/>
  <c r="F23" i="36"/>
  <c r="F23" i="32"/>
  <c r="F23" i="34"/>
  <c r="F24" i="39"/>
  <c r="F24" i="38"/>
  <c r="F24" i="37"/>
  <c r="F24" i="36"/>
  <c r="F24" i="35"/>
  <c r="F24" i="34"/>
  <c r="F24" i="32"/>
  <c r="F28" i="39"/>
  <c r="F28" i="37"/>
  <c r="F28" i="38"/>
  <c r="F28" i="36"/>
  <c r="F28" i="35"/>
  <c r="F28" i="34"/>
  <c r="F28" i="32"/>
  <c r="F74" i="38"/>
  <c r="F74" i="39"/>
  <c r="F74" i="36"/>
  <c r="F74" i="37"/>
  <c r="F74" i="35"/>
  <c r="F74" i="32"/>
  <c r="F74" i="34"/>
  <c r="F105" i="39"/>
  <c r="F105" i="38"/>
  <c r="F105" i="36"/>
  <c r="F105" i="35"/>
  <c r="F105" i="37"/>
  <c r="F105" i="32"/>
  <c r="F105" i="34"/>
  <c r="F110" i="39"/>
  <c r="F110" i="36"/>
  <c r="F110" i="38"/>
  <c r="F110" i="37"/>
  <c r="F110" i="35"/>
  <c r="F110" i="34"/>
  <c r="F110" i="32"/>
  <c r="G46" i="32"/>
  <c r="G46" i="39"/>
  <c r="G46" i="38"/>
  <c r="G46" i="37"/>
  <c r="G46" i="35"/>
  <c r="G46" i="36"/>
  <c r="G46" i="34"/>
  <c r="F14" i="32"/>
  <c r="F14" i="39"/>
  <c r="F14" i="37"/>
  <c r="F14" i="38"/>
  <c r="F14" i="36"/>
  <c r="F14" i="34"/>
  <c r="F14" i="35"/>
  <c r="F61" i="32"/>
  <c r="F61" i="39"/>
  <c r="F61" i="38"/>
  <c r="F61" i="35"/>
  <c r="F61" i="37"/>
  <c r="F61" i="36"/>
  <c r="F61" i="34"/>
  <c r="G18" i="32"/>
  <c r="G18" i="39"/>
  <c r="G18" i="38"/>
  <c r="G18" i="37"/>
  <c r="G18" i="36"/>
  <c r="G18" i="34"/>
  <c r="G18" i="35"/>
  <c r="G14" i="32"/>
  <c r="G14" i="39"/>
  <c r="G14" i="38"/>
  <c r="G14" i="37"/>
  <c r="G14" i="34"/>
  <c r="G14" i="36"/>
  <c r="G14" i="35"/>
  <c r="G152" i="32"/>
  <c r="G152" i="39"/>
  <c r="G152" i="38"/>
  <c r="G152" i="37"/>
  <c r="G152" i="34"/>
  <c r="G152" i="35"/>
  <c r="G152" i="36"/>
  <c r="G80" i="32"/>
  <c r="G80" i="39"/>
  <c r="G80" i="38"/>
  <c r="G80" i="37"/>
  <c r="G80" i="35"/>
  <c r="G80" i="36"/>
  <c r="G80" i="34"/>
  <c r="G144" i="32"/>
  <c r="G144" i="39"/>
  <c r="G144" i="38"/>
  <c r="G144" i="37"/>
  <c r="G144" i="34"/>
  <c r="G144" i="35"/>
  <c r="G144" i="36"/>
  <c r="G91" i="32"/>
  <c r="G91" i="39"/>
  <c r="G91" i="38"/>
  <c r="G91" i="37"/>
  <c r="G91" i="36"/>
  <c r="G91" i="35"/>
  <c r="G91" i="34"/>
  <c r="F82" i="32"/>
  <c r="F82" i="39"/>
  <c r="F82" i="38"/>
  <c r="F82" i="37"/>
  <c r="F82" i="36"/>
  <c r="F82" i="35"/>
  <c r="F82" i="34"/>
  <c r="F80" i="32"/>
  <c r="F80" i="39"/>
  <c r="F80" i="38"/>
  <c r="F80" i="37"/>
  <c r="F80" i="35"/>
  <c r="F80" i="34"/>
  <c r="F80" i="36"/>
  <c r="F155" i="39"/>
  <c r="F155" i="38"/>
  <c r="F155" i="36"/>
  <c r="F155" i="35"/>
  <c r="F155" i="37"/>
  <c r="F155" i="32"/>
  <c r="F155" i="34"/>
  <c r="F26" i="39"/>
  <c r="F26" i="38"/>
  <c r="F26" i="37"/>
  <c r="F26" i="36"/>
  <c r="F26" i="35"/>
  <c r="F26" i="34"/>
  <c r="F26" i="32"/>
  <c r="F112" i="39"/>
  <c r="F112" i="38"/>
  <c r="F112" i="36"/>
  <c r="F112" i="37"/>
  <c r="F112" i="35"/>
  <c r="F112" i="34"/>
  <c r="F112" i="32"/>
  <c r="G123" i="32"/>
  <c r="G123" i="39"/>
  <c r="G123" i="37"/>
  <c r="G123" i="36"/>
  <c r="G123" i="38"/>
  <c r="G123" i="35"/>
  <c r="G123" i="34"/>
  <c r="G61" i="32"/>
  <c r="G61" i="39"/>
  <c r="G61" i="38"/>
  <c r="G61" i="37"/>
  <c r="G61" i="36"/>
  <c r="G61" i="35"/>
  <c r="G61" i="34"/>
  <c r="G154" i="32"/>
  <c r="G154" i="39"/>
  <c r="G154" i="38"/>
  <c r="G154" i="37"/>
  <c r="G154" i="34"/>
  <c r="G154" i="36"/>
  <c r="G154" i="35"/>
  <c r="G93" i="32"/>
  <c r="G93" i="39"/>
  <c r="G93" i="37"/>
  <c r="G93" i="35"/>
  <c r="G93" i="36"/>
  <c r="G93" i="34"/>
  <c r="G93" i="38"/>
  <c r="G12" i="32"/>
  <c r="G12" i="37"/>
  <c r="G12" i="35"/>
  <c r="G12" i="34"/>
  <c r="G12" i="39"/>
  <c r="G12" i="36"/>
  <c r="G12" i="38"/>
  <c r="F108" i="38"/>
  <c r="F108" i="39"/>
  <c r="F108" i="36"/>
  <c r="F108" i="37"/>
  <c r="F108" i="35"/>
  <c r="F108" i="34"/>
  <c r="F108" i="32"/>
  <c r="F31" i="39"/>
  <c r="F31" i="38"/>
  <c r="F31" i="37"/>
  <c r="F31" i="35"/>
  <c r="F31" i="36"/>
  <c r="F31" i="32"/>
  <c r="F31" i="34"/>
  <c r="F104" i="39"/>
  <c r="F104" i="38"/>
  <c r="F104" i="36"/>
  <c r="F104" i="37"/>
  <c r="F104" i="35"/>
  <c r="F104" i="34"/>
  <c r="F104" i="32"/>
  <c r="F32" i="32"/>
  <c r="F32" i="39"/>
  <c r="F32" i="38"/>
  <c r="F32" i="37"/>
  <c r="F32" i="36"/>
  <c r="F32" i="35"/>
  <c r="F32" i="34"/>
  <c r="G39" i="32"/>
  <c r="G39" i="39"/>
  <c r="G39" i="38"/>
  <c r="G39" i="35"/>
  <c r="G39" i="36"/>
  <c r="G39" i="37"/>
  <c r="G39" i="34"/>
  <c r="G51" i="32"/>
  <c r="G51" i="39"/>
  <c r="G51" i="37"/>
  <c r="G51" i="38"/>
  <c r="G51" i="36"/>
  <c r="G51" i="34"/>
  <c r="G51" i="35"/>
  <c r="F144" i="32"/>
  <c r="F144" i="39"/>
  <c r="F144" i="38"/>
  <c r="F144" i="36"/>
  <c r="F144" i="37"/>
  <c r="F144" i="34"/>
  <c r="F144" i="35"/>
  <c r="G67" i="32"/>
  <c r="G67" i="39"/>
  <c r="G67" i="37"/>
  <c r="G67" i="38"/>
  <c r="G67" i="34"/>
  <c r="G67" i="36"/>
  <c r="G67" i="35"/>
  <c r="G82" i="32"/>
  <c r="G82" i="39"/>
  <c r="G82" i="38"/>
  <c r="G82" i="37"/>
  <c r="G82" i="35"/>
  <c r="G82" i="34"/>
  <c r="G82" i="36"/>
  <c r="F13" i="39"/>
  <c r="F13" i="38"/>
  <c r="F13" i="37"/>
  <c r="F13" i="35"/>
  <c r="F13" i="36"/>
  <c r="F13" i="32"/>
  <c r="F13" i="34"/>
  <c r="F135" i="39"/>
  <c r="F135" i="38"/>
  <c r="F135" i="36"/>
  <c r="F135" i="35"/>
  <c r="F135" i="37"/>
  <c r="F135" i="32"/>
  <c r="F135" i="34"/>
  <c r="F94" i="39"/>
  <c r="F94" i="38"/>
  <c r="F94" i="36"/>
  <c r="F94" i="35"/>
  <c r="F94" i="37"/>
  <c r="F94" i="34"/>
  <c r="F94" i="32"/>
  <c r="F149" i="38"/>
  <c r="F149" i="39"/>
  <c r="F149" i="36"/>
  <c r="F149" i="35"/>
  <c r="F149" i="32"/>
  <c r="F149" i="37"/>
  <c r="F149" i="34"/>
  <c r="F103" i="39"/>
  <c r="F103" i="38"/>
  <c r="F103" i="36"/>
  <c r="F103" i="35"/>
  <c r="F103" i="37"/>
  <c r="F103" i="34"/>
  <c r="F103" i="32"/>
  <c r="F73" i="39"/>
  <c r="F73" i="38"/>
  <c r="F73" i="36"/>
  <c r="F73" i="37"/>
  <c r="F73" i="35"/>
  <c r="F73" i="34"/>
  <c r="F73" i="32"/>
  <c r="F48" i="39"/>
  <c r="F48" i="38"/>
  <c r="F48" i="37"/>
  <c r="F48" i="34"/>
  <c r="F48" i="35"/>
  <c r="F48" i="36"/>
  <c r="F48" i="32"/>
  <c r="F113" i="39"/>
  <c r="F113" i="38"/>
  <c r="F113" i="36"/>
  <c r="F113" i="35"/>
  <c r="F113" i="32"/>
  <c r="F113" i="34"/>
  <c r="F113" i="37"/>
  <c r="F47" i="39"/>
  <c r="F47" i="38"/>
  <c r="F47" i="35"/>
  <c r="F47" i="37"/>
  <c r="F47" i="36"/>
  <c r="F47" i="32"/>
  <c r="F47" i="34"/>
  <c r="F123" i="32"/>
  <c r="F123" i="39"/>
  <c r="F123" i="38"/>
  <c r="F123" i="36"/>
  <c r="F123" i="35"/>
  <c r="F123" i="37"/>
  <c r="F123" i="34"/>
  <c r="G115" i="32"/>
  <c r="G115" i="39"/>
  <c r="G115" i="37"/>
  <c r="G115" i="36"/>
  <c r="G115" i="38"/>
  <c r="G115" i="35"/>
  <c r="G115" i="34"/>
  <c r="G98" i="32"/>
  <c r="G98" i="38"/>
  <c r="G98" i="39"/>
  <c r="G98" i="36"/>
  <c r="G98" i="35"/>
  <c r="G98" i="37"/>
  <c r="G98" i="34"/>
  <c r="G29" i="32"/>
  <c r="G29" i="39"/>
  <c r="G29" i="38"/>
  <c r="G29" i="35"/>
  <c r="G29" i="37"/>
  <c r="G29" i="36"/>
  <c r="G29" i="34"/>
  <c r="G54" i="32"/>
  <c r="G54" i="39"/>
  <c r="G54" i="38"/>
  <c r="G54" i="37"/>
  <c r="G54" i="35"/>
  <c r="G54" i="36"/>
  <c r="G54" i="34"/>
  <c r="F43" i="32"/>
  <c r="F43" i="39"/>
  <c r="F43" i="38"/>
  <c r="F43" i="35"/>
  <c r="F43" i="37"/>
  <c r="F43" i="36"/>
  <c r="F43" i="34"/>
  <c r="G146" i="32"/>
  <c r="G146" i="39"/>
  <c r="G146" i="38"/>
  <c r="G146" i="37"/>
  <c r="G146" i="34"/>
  <c r="G146" i="36"/>
  <c r="G146" i="35"/>
  <c r="G148" i="32"/>
  <c r="G148" i="39"/>
  <c r="G148" i="38"/>
  <c r="G148" i="37"/>
  <c r="G148" i="34"/>
  <c r="G148" i="35"/>
  <c r="G148" i="36"/>
  <c r="F77" i="32"/>
  <c r="F77" i="39"/>
  <c r="F77" i="38"/>
  <c r="F77" i="36"/>
  <c r="F77" i="35"/>
  <c r="F77" i="37"/>
  <c r="F77" i="34"/>
  <c r="G150" i="32"/>
  <c r="G150" i="38"/>
  <c r="G150" i="37"/>
  <c r="G150" i="34"/>
  <c r="G150" i="39"/>
  <c r="G150" i="36"/>
  <c r="G150" i="35"/>
  <c r="G107" i="32"/>
  <c r="G107" i="39"/>
  <c r="G107" i="37"/>
  <c r="G107" i="38"/>
  <c r="G107" i="36"/>
  <c r="G107" i="35"/>
  <c r="G107" i="34"/>
  <c r="G140" i="32"/>
  <c r="G140" i="39"/>
  <c r="G140" i="38"/>
  <c r="G140" i="37"/>
  <c r="G140" i="34"/>
  <c r="G140" i="35"/>
  <c r="G140" i="36"/>
  <c r="F53" i="39"/>
  <c r="F53" i="38"/>
  <c r="F53" i="35"/>
  <c r="F53" i="37"/>
  <c r="F53" i="36"/>
  <c r="F53" i="34"/>
  <c r="F53" i="32"/>
  <c r="F21" i="39"/>
  <c r="F21" i="37"/>
  <c r="F21" i="35"/>
  <c r="F21" i="38"/>
  <c r="F21" i="36"/>
  <c r="F21" i="32"/>
  <c r="F21" i="34"/>
  <c r="F39" i="32"/>
  <c r="F39" i="39"/>
  <c r="F39" i="38"/>
  <c r="F39" i="37"/>
  <c r="F39" i="35"/>
  <c r="F39" i="36"/>
  <c r="F39" i="34"/>
  <c r="F69" i="32"/>
  <c r="F69" i="39"/>
  <c r="F69" i="38"/>
  <c r="F69" i="36"/>
  <c r="F69" i="35"/>
  <c r="F69" i="37"/>
  <c r="F69" i="34"/>
  <c r="F151" i="39"/>
  <c r="F151" i="38"/>
  <c r="F151" i="36"/>
  <c r="F151" i="35"/>
  <c r="F151" i="37"/>
  <c r="F151" i="34"/>
  <c r="F151" i="32"/>
  <c r="G131" i="32"/>
  <c r="G131" i="39"/>
  <c r="G131" i="37"/>
  <c r="G131" i="36"/>
  <c r="G131" i="35"/>
  <c r="G131" i="34"/>
  <c r="G131" i="38"/>
  <c r="F67" i="32"/>
  <c r="F67" i="39"/>
  <c r="F67" i="38"/>
  <c r="F67" i="36"/>
  <c r="F67" i="35"/>
  <c r="F67" i="37"/>
  <c r="F67" i="34"/>
  <c r="D12" i="39"/>
  <c r="D12" i="36"/>
  <c r="D12" i="34"/>
  <c r="D12" i="38"/>
  <c r="D12" i="37"/>
  <c r="D12" i="35"/>
  <c r="F96" i="32"/>
  <c r="F96" i="39"/>
  <c r="F96" i="38"/>
  <c r="F96" i="37"/>
  <c r="F96" i="36"/>
  <c r="F96" i="35"/>
  <c r="F96" i="34"/>
  <c r="G95" i="32"/>
  <c r="G95" i="39"/>
  <c r="G95" i="35"/>
  <c r="G95" i="36"/>
  <c r="G95" i="37"/>
  <c r="G95" i="38"/>
  <c r="G95" i="34"/>
  <c r="G72" i="32"/>
  <c r="G72" i="39"/>
  <c r="G72" i="36"/>
  <c r="G72" i="34"/>
  <c r="G72" i="37"/>
  <c r="G72" i="35"/>
  <c r="G72" i="38"/>
  <c r="F76" i="34"/>
  <c r="F76" i="37"/>
  <c r="F76" i="39"/>
  <c r="F76" i="36"/>
  <c r="F76" i="32"/>
  <c r="F76" i="38"/>
  <c r="F76" i="35"/>
  <c r="D11" i="24"/>
  <c r="D10" i="24" s="1"/>
  <c r="D12" i="32"/>
  <c r="G107" i="24"/>
  <c r="G95" i="24"/>
  <c r="G152" i="24"/>
  <c r="G150" i="24"/>
  <c r="G29" i="24"/>
  <c r="G131" i="24"/>
  <c r="G93" i="24"/>
  <c r="G148" i="24"/>
  <c r="H114" i="24"/>
  <c r="G142" i="24"/>
  <c r="G91" i="24"/>
  <c r="G154" i="24"/>
  <c r="G51" i="24"/>
  <c r="G115" i="24"/>
  <c r="G79" i="24"/>
  <c r="H42" i="24"/>
  <c r="H11" i="24"/>
  <c r="G72" i="24"/>
  <c r="G109" i="24"/>
  <c r="G98" i="24"/>
  <c r="G18" i="24"/>
  <c r="H10" i="24" l="1"/>
  <c r="AS9" i="1" s="1"/>
  <c r="F109" i="32"/>
  <c r="F109" i="39"/>
  <c r="F109" i="38"/>
  <c r="F109" i="36"/>
  <c r="F109" i="35"/>
  <c r="F109" i="34"/>
  <c r="F109" i="37"/>
  <c r="G122" i="32"/>
  <c r="E182" i="32" s="1"/>
  <c r="G122" i="39"/>
  <c r="G122" i="38"/>
  <c r="G122" i="37"/>
  <c r="G122" i="36"/>
  <c r="G122" i="35"/>
  <c r="G122" i="34"/>
  <c r="G114" i="32"/>
  <c r="E183" i="32" s="1"/>
  <c r="G114" i="39"/>
  <c r="G114" i="38"/>
  <c r="G114" i="37"/>
  <c r="G114" i="36"/>
  <c r="G114" i="35"/>
  <c r="G114" i="34"/>
  <c r="F12" i="32"/>
  <c r="F12" i="39"/>
  <c r="F12" i="38"/>
  <c r="F12" i="37"/>
  <c r="F12" i="36"/>
  <c r="F12" i="35"/>
  <c r="F12" i="34"/>
  <c r="F18" i="32"/>
  <c r="F18" i="39"/>
  <c r="F18" i="38"/>
  <c r="F18" i="37"/>
  <c r="F18" i="36"/>
  <c r="F18" i="34"/>
  <c r="F18" i="35"/>
  <c r="F46" i="32"/>
  <c r="F46" i="39"/>
  <c r="F46" i="38"/>
  <c r="F46" i="37"/>
  <c r="F46" i="36"/>
  <c r="F46" i="34"/>
  <c r="F46" i="35"/>
  <c r="F79" i="32"/>
  <c r="D185" i="32" s="1"/>
  <c r="F79" i="39"/>
  <c r="F79" i="38"/>
  <c r="F79" i="36"/>
  <c r="F79" i="35"/>
  <c r="F79" i="37"/>
  <c r="F79" i="34"/>
  <c r="F91" i="32"/>
  <c r="F91" i="39"/>
  <c r="F91" i="38"/>
  <c r="F91" i="36"/>
  <c r="F91" i="37"/>
  <c r="F91" i="35"/>
  <c r="F91" i="34"/>
  <c r="F93" i="32"/>
  <c r="F93" i="39"/>
  <c r="F93" i="38"/>
  <c r="F93" i="36"/>
  <c r="F93" i="37"/>
  <c r="F93" i="35"/>
  <c r="F93" i="34"/>
  <c r="F150" i="32"/>
  <c r="F150" i="39"/>
  <c r="F150" i="38"/>
  <c r="F150" i="36"/>
  <c r="F150" i="34"/>
  <c r="F150" i="37"/>
  <c r="F150" i="35"/>
  <c r="G79" i="39"/>
  <c r="G79" i="38"/>
  <c r="G79" i="37"/>
  <c r="G79" i="36"/>
  <c r="G79" i="35"/>
  <c r="G79" i="34"/>
  <c r="F115" i="32"/>
  <c r="F115" i="39"/>
  <c r="F115" i="38"/>
  <c r="F115" i="36"/>
  <c r="F115" i="35"/>
  <c r="F115" i="37"/>
  <c r="F115" i="34"/>
  <c r="F152" i="32"/>
  <c r="F152" i="38"/>
  <c r="F152" i="39"/>
  <c r="F152" i="36"/>
  <c r="F152" i="37"/>
  <c r="F152" i="34"/>
  <c r="F152" i="35"/>
  <c r="F142" i="32"/>
  <c r="F142" i="39"/>
  <c r="F142" i="38"/>
  <c r="F142" i="36"/>
  <c r="F142" i="34"/>
  <c r="F142" i="37"/>
  <c r="F142" i="35"/>
  <c r="F131" i="32"/>
  <c r="F131" i="39"/>
  <c r="F131" i="38"/>
  <c r="F131" i="36"/>
  <c r="F131" i="35"/>
  <c r="F131" i="37"/>
  <c r="F131" i="34"/>
  <c r="F51" i="32"/>
  <c r="F51" i="39"/>
  <c r="F51" i="38"/>
  <c r="F51" i="35"/>
  <c r="F51" i="36"/>
  <c r="F51" i="37"/>
  <c r="F51" i="34"/>
  <c r="G11" i="32"/>
  <c r="E187" i="32" s="1"/>
  <c r="G11" i="39"/>
  <c r="G11" i="38"/>
  <c r="G11" i="35"/>
  <c r="G11" i="36"/>
  <c r="G11" i="37"/>
  <c r="G11" i="34"/>
  <c r="F154" i="32"/>
  <c r="F154" i="39"/>
  <c r="F154" i="38"/>
  <c r="F154" i="36"/>
  <c r="F154" i="34"/>
  <c r="F154" i="37"/>
  <c r="F154" i="35"/>
  <c r="F148" i="32"/>
  <c r="F148" i="39"/>
  <c r="F148" i="38"/>
  <c r="F148" i="36"/>
  <c r="F148" i="37"/>
  <c r="F148" i="34"/>
  <c r="F148" i="35"/>
  <c r="F29" i="32"/>
  <c r="F29" i="39"/>
  <c r="F29" i="37"/>
  <c r="F29" i="38"/>
  <c r="F29" i="35"/>
  <c r="F29" i="36"/>
  <c r="F29" i="34"/>
  <c r="F107" i="32"/>
  <c r="F107" i="39"/>
  <c r="F107" i="38"/>
  <c r="F107" i="36"/>
  <c r="F107" i="35"/>
  <c r="F107" i="37"/>
  <c r="F107" i="34"/>
  <c r="F98" i="32"/>
  <c r="F98" i="39"/>
  <c r="F98" i="34"/>
  <c r="F98" i="37"/>
  <c r="F98" i="38"/>
  <c r="F98" i="35"/>
  <c r="F98" i="36"/>
  <c r="D11" i="39"/>
  <c r="D11" i="38"/>
  <c r="F95" i="32"/>
  <c r="F95" i="39"/>
  <c r="F95" i="38"/>
  <c r="F95" i="37"/>
  <c r="F95" i="36"/>
  <c r="F95" i="35"/>
  <c r="F95" i="34"/>
  <c r="G90" i="32"/>
  <c r="E184" i="32" s="1"/>
  <c r="G90" i="37"/>
  <c r="G90" i="34"/>
  <c r="G90" i="38"/>
  <c r="G90" i="35"/>
  <c r="G90" i="39"/>
  <c r="G90" i="36"/>
  <c r="G42" i="32"/>
  <c r="E186" i="32" s="1"/>
  <c r="G42" i="37"/>
  <c r="G42" i="35"/>
  <c r="G42" i="39"/>
  <c r="G42" i="38"/>
  <c r="G42" i="36"/>
  <c r="G42" i="34"/>
  <c r="F72" i="32"/>
  <c r="F72" i="34"/>
  <c r="F72" i="37"/>
  <c r="F72" i="39"/>
  <c r="F72" i="36"/>
  <c r="F72" i="38"/>
  <c r="F72" i="35"/>
  <c r="D11" i="37"/>
  <c r="D11" i="36"/>
  <c r="D11" i="35"/>
  <c r="D11" i="34"/>
  <c r="G79" i="32"/>
  <c r="E185" i="32" s="1"/>
  <c r="D11" i="32"/>
  <c r="G122" i="24"/>
  <c r="G11" i="24"/>
  <c r="G114" i="24"/>
  <c r="G90" i="24"/>
  <c r="F11" i="34" l="1"/>
  <c r="G10" i="32"/>
  <c r="E181" i="32" s="1"/>
  <c r="G10" i="37"/>
  <c r="AG6" i="4"/>
  <c r="G10" i="34"/>
  <c r="G10" i="39"/>
  <c r="G10" i="35"/>
  <c r="G10" i="36"/>
  <c r="G10" i="38"/>
  <c r="F122" i="39"/>
  <c r="F122" i="38"/>
  <c r="F122" i="36"/>
  <c r="F122" i="37"/>
  <c r="F122" i="35"/>
  <c r="F122" i="34"/>
  <c r="F11" i="32"/>
  <c r="D187" i="32" s="1"/>
  <c r="F11" i="39"/>
  <c r="F11" i="37"/>
  <c r="F11" i="38"/>
  <c r="F11" i="35"/>
  <c r="F11" i="36"/>
  <c r="F114" i="32"/>
  <c r="D183" i="32" s="1"/>
  <c r="F114" i="39"/>
  <c r="F114" i="38"/>
  <c r="F114" i="36"/>
  <c r="F114" i="37"/>
  <c r="F114" i="35"/>
  <c r="F114" i="34"/>
  <c r="D10" i="39"/>
  <c r="D10" i="38"/>
  <c r="F90" i="32"/>
  <c r="D184" i="32" s="1"/>
  <c r="F90" i="37"/>
  <c r="F90" i="36"/>
  <c r="F90" i="35"/>
  <c r="F90" i="34"/>
  <c r="F90" i="39"/>
  <c r="F90" i="38"/>
  <c r="D10" i="32"/>
  <c r="D10" i="36"/>
  <c r="D10" i="37"/>
  <c r="D10" i="35"/>
  <c r="D10" i="34"/>
  <c r="F122" i="32"/>
  <c r="D182" i="32" s="1"/>
  <c r="K260" i="1" l="1"/>
  <c r="G58" i="24" s="1"/>
  <c r="G255" i="1"/>
  <c r="G54" i="24" l="1"/>
  <c r="F58" i="37"/>
  <c r="F58" i="32"/>
  <c r="F58" i="38"/>
  <c r="F58" i="35"/>
  <c r="F58" i="34"/>
  <c r="F58" i="39"/>
  <c r="F58" i="36"/>
  <c r="F54" i="39" l="1"/>
  <c r="F54" i="38"/>
  <c r="F54" i="37"/>
  <c r="F54" i="36"/>
  <c r="F54" i="34"/>
  <c r="F54" i="32"/>
  <c r="F54" i="35"/>
  <c r="G42" i="24"/>
  <c r="G10" i="24" s="1"/>
  <c r="F42" i="38" l="1"/>
  <c r="F42" i="32"/>
  <c r="D186" i="32" s="1"/>
  <c r="F42" i="37"/>
  <c r="F42" i="36"/>
  <c r="F42" i="39"/>
  <c r="F42" i="34"/>
  <c r="F42" i="35"/>
  <c r="AM9" i="1" l="1"/>
  <c r="F10" i="37"/>
  <c r="F10" i="34"/>
  <c r="F10" i="35"/>
  <c r="F10" i="36"/>
  <c r="AG5" i="4"/>
  <c r="F10" i="39"/>
  <c r="F10" i="38"/>
  <c r="F10" i="32"/>
  <c r="D181" i="3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yorlin lans vargas</author>
    <author>UPE001</author>
    <author>USER</author>
    <author>Home</author>
  </authors>
  <commentList>
    <comment ref="B13" authorId="0" shapeId="0" xr:uid="{1F5411C9-ACC8-486F-96CD-4939B2436CFD}">
      <text>
        <r>
          <rPr>
            <b/>
            <sz val="9"/>
            <color indexed="81"/>
            <rFont val="Tahoma"/>
            <family val="2"/>
          </rPr>
          <t>yorlin lans vargas:</t>
        </r>
        <r>
          <rPr>
            <sz val="9"/>
            <color indexed="81"/>
            <rFont val="Tahoma"/>
            <family val="2"/>
          </rPr>
          <t xml:space="preserve">
Primer Nivel del Plan.. Enunciar nombre</t>
        </r>
      </text>
    </comment>
    <comment ref="F13" authorId="0" shapeId="0" xr:uid="{785729CF-C485-4ED8-B1D4-07B3EF2C2F5B}">
      <text>
        <r>
          <rPr>
            <b/>
            <sz val="9"/>
            <color indexed="81"/>
            <rFont val="Tahoma"/>
            <family val="2"/>
          </rPr>
          <t>yorlin lans vargas:</t>
        </r>
        <r>
          <rPr>
            <sz val="9"/>
            <color indexed="81"/>
            <rFont val="Tahoma"/>
            <family val="2"/>
          </rPr>
          <t xml:space="preserve">
Segundo nivel del plan de desarrollo.. Enunciar nombre de la linea estrategica</t>
        </r>
      </text>
    </comment>
    <comment ref="J13" authorId="0" shapeId="0" xr:uid="{4610747F-6343-4EAF-AFA9-73A998EAFB16}">
      <text>
        <r>
          <rPr>
            <b/>
            <sz val="9"/>
            <color indexed="81"/>
            <rFont val="Tahoma"/>
            <family val="2"/>
          </rPr>
          <t>yorlin lans vargas:</t>
        </r>
        <r>
          <rPr>
            <sz val="9"/>
            <color indexed="81"/>
            <rFont val="Tahoma"/>
            <family val="2"/>
          </rPr>
          <t xml:space="preserve">
Los programas representan los cimientos del plan de desarrollo y con ellos se definen los resultados y productos esperados</t>
        </r>
      </text>
    </comment>
    <comment ref="N13" authorId="0" shapeId="0" xr:uid="{2B3B3CFD-3E5D-42F7-B880-35C85C90017D}">
      <text>
        <r>
          <rPr>
            <b/>
            <sz val="9"/>
            <color indexed="81"/>
            <rFont val="Tahoma"/>
            <family val="2"/>
          </rPr>
          <t>yorlin lans vargas:</t>
        </r>
        <r>
          <rPr>
            <sz val="9"/>
            <color indexed="81"/>
            <rFont val="Tahoma"/>
            <family val="2"/>
          </rPr>
          <t xml:space="preserve">
Hace referencia al cambio de un problema La meta de resultado o bienestar esta relacionada en el plan de desarrollo despues de cada programa</t>
        </r>
      </text>
    </comment>
    <comment ref="O13" authorId="0" shapeId="0" xr:uid="{14B7BEBD-B686-4F8F-82C4-52AC1C71E61E}">
      <text>
        <r>
          <rPr>
            <b/>
            <sz val="9"/>
            <color indexed="81"/>
            <rFont val="Tahoma"/>
            <family val="2"/>
          </rPr>
          <t>yorlin lans vargas:</t>
        </r>
        <r>
          <rPr>
            <sz val="9"/>
            <color indexed="81"/>
            <rFont val="Tahoma"/>
            <family val="2"/>
          </rPr>
          <t xml:space="preserve">
Corresponde a la representación cuantitativa (variable o relación entre variables, porcentaje, tasa) de la meta de resultado, verificable objetivamente, </t>
        </r>
      </text>
    </comment>
    <comment ref="P13" authorId="0" shapeId="0" xr:uid="{A859F874-A78D-43E6-9204-DE3955221841}">
      <text>
        <r>
          <rPr>
            <b/>
            <sz val="9"/>
            <color indexed="81"/>
            <rFont val="Tahoma"/>
            <family val="2"/>
          </rPr>
          <t>yorlin lans vargas:</t>
        </r>
        <r>
          <rPr>
            <sz val="9"/>
            <color indexed="81"/>
            <rFont val="Tahoma"/>
            <family val="2"/>
          </rPr>
          <t xml:space="preserve">
Información existente frente a cobertura o disponibilidad de un bien o servicio </t>
        </r>
      </text>
    </comment>
    <comment ref="Q13" authorId="0" shapeId="0" xr:uid="{F8514F0D-23CB-4652-B202-6DAA48C6F3A7}">
      <text>
        <r>
          <rPr>
            <b/>
            <sz val="9"/>
            <color indexed="81"/>
            <rFont val="Tahoma"/>
            <family val="2"/>
          </rPr>
          <t>yorlin lans vargas:</t>
        </r>
        <r>
          <rPr>
            <sz val="9"/>
            <color indexed="81"/>
            <rFont val="Tahoma"/>
            <family val="2"/>
          </rPr>
          <t xml:space="preserve">
Incluir valor numerico</t>
        </r>
      </text>
    </comment>
    <comment ref="S13" authorId="0" shapeId="0" xr:uid="{B470EECA-116E-4599-871E-2C1B4E5991FC}">
      <text>
        <r>
          <rPr>
            <b/>
            <sz val="9"/>
            <color indexed="81"/>
            <rFont val="Tahoma"/>
            <family val="2"/>
          </rPr>
          <t>yorlin lans vargas:</t>
        </r>
        <r>
          <rPr>
            <sz val="9"/>
            <color indexed="81"/>
            <rFont val="Tahoma"/>
            <family val="2"/>
          </rPr>
          <t xml:space="preserve">
Bien o servicio a proveer
en el cuatrienio</t>
        </r>
      </text>
    </comment>
    <comment ref="T13" authorId="0" shapeId="0" xr:uid="{FD017F2D-78C5-4C8D-A38D-EC4F015CC9D6}">
      <text>
        <r>
          <rPr>
            <b/>
            <sz val="9"/>
            <color indexed="81"/>
            <rFont val="Tahoma"/>
            <family val="2"/>
          </rPr>
          <t>yorlin lans vargas:</t>
        </r>
        <r>
          <rPr>
            <sz val="9"/>
            <color indexed="81"/>
            <rFont val="Tahoma"/>
            <family val="2"/>
          </rPr>
          <t xml:space="preserve">
Cuantifica los bienes y servicios producidos y/o provisionados por una determinada intervención. Debe ser cuantitativo y tener una unidad de medida.</t>
        </r>
      </text>
    </comment>
    <comment ref="U13" authorId="0" shapeId="0" xr:uid="{518BDAB1-DC94-4917-A8E1-CFF14E2FFD3E}">
      <text>
        <r>
          <rPr>
            <b/>
            <sz val="9"/>
            <color indexed="81"/>
            <rFont val="Tahoma"/>
            <family val="2"/>
          </rPr>
          <t>yorlin lans vargas:</t>
        </r>
        <r>
          <rPr>
            <sz val="9"/>
            <color indexed="81"/>
            <rFont val="Tahoma"/>
            <family val="2"/>
          </rPr>
          <t xml:space="preserve">
Información cuantitativa existente frente al
número de bienes o servicios disponibles.</t>
        </r>
      </text>
    </comment>
    <comment ref="V13" authorId="0" shapeId="0" xr:uid="{EE5BE80B-E13E-46B9-AB20-29B3FFBAE6E1}">
      <text>
        <r>
          <rPr>
            <b/>
            <sz val="9"/>
            <color indexed="81"/>
            <rFont val="Tahoma"/>
            <family val="2"/>
          </rPr>
          <t>yorlin lans vargas:</t>
        </r>
        <r>
          <rPr>
            <sz val="9"/>
            <color indexed="81"/>
            <rFont val="Tahoma"/>
            <family val="2"/>
          </rPr>
          <t xml:space="preserve">
Colocar valor numerico de meta producto</t>
        </r>
      </text>
    </comment>
    <comment ref="W13" authorId="0" shapeId="0" xr:uid="{B1EE49EA-A11A-4E6C-B71D-4E3DC2C322C4}">
      <text>
        <r>
          <rPr>
            <b/>
            <sz val="9"/>
            <color indexed="81"/>
            <rFont val="Tahoma"/>
            <family val="2"/>
          </rPr>
          <t>yorlin lans vargas:</t>
        </r>
        <r>
          <rPr>
            <sz val="9"/>
            <color indexed="81"/>
            <rFont val="Tahoma"/>
            <family val="2"/>
          </rPr>
          <t xml:space="preserve">
Hace referencia al tipo de meta (Incremento o Mantenimiento)</t>
        </r>
      </text>
    </comment>
    <comment ref="X13" authorId="0" shapeId="0" xr:uid="{415C56A9-AD93-4716-BBB5-F37A0CA14C9A}">
      <text>
        <r>
          <rPr>
            <b/>
            <sz val="9"/>
            <color indexed="81"/>
            <rFont val="Tahoma"/>
            <family val="2"/>
          </rPr>
          <t>yorlin lans vargas:</t>
        </r>
        <r>
          <rPr>
            <sz val="9"/>
            <color indexed="81"/>
            <rFont val="Tahoma"/>
            <family val="2"/>
          </rPr>
          <t xml:space="preserve">
Proyecto de inversion para garantizar ejecucion de la meta</t>
        </r>
      </text>
    </comment>
    <comment ref="Y13" authorId="0" shapeId="0" xr:uid="{A6FAA539-498F-4D7D-891A-ACA981D6210F}">
      <text>
        <r>
          <rPr>
            <b/>
            <sz val="9"/>
            <color indexed="81"/>
            <rFont val="Tahoma"/>
            <family val="2"/>
          </rPr>
          <t>yorlin lans vargas:</t>
        </r>
        <r>
          <rPr>
            <sz val="9"/>
            <color indexed="81"/>
            <rFont val="Tahoma"/>
            <family val="2"/>
          </rPr>
          <t xml:space="preserve">
Sector FUT</t>
        </r>
      </text>
    </comment>
    <comment ref="Z13" authorId="0" shapeId="0" xr:uid="{848AF552-D371-4BD7-ACA1-0BCE86E52BB9}">
      <text>
        <r>
          <rPr>
            <b/>
            <sz val="9"/>
            <color indexed="81"/>
            <rFont val="Tahoma"/>
            <family val="2"/>
          </rPr>
          <t>yorlin lans vargas:</t>
        </r>
        <r>
          <rPr>
            <sz val="9"/>
            <color indexed="81"/>
            <rFont val="Tahoma"/>
            <family val="2"/>
          </rPr>
          <t xml:space="preserve">
Codigo FUT</t>
        </r>
      </text>
    </comment>
    <comment ref="AA13" authorId="0" shapeId="0" xr:uid="{58F7E7EF-F4B1-4B53-848C-1E0DD3E9726D}">
      <text>
        <r>
          <rPr>
            <b/>
            <sz val="9"/>
            <color indexed="81"/>
            <rFont val="Tahoma"/>
            <family val="2"/>
          </rPr>
          <t>yorlin lans vargas:</t>
        </r>
        <r>
          <rPr>
            <sz val="9"/>
            <color indexed="81"/>
            <rFont val="Tahoma"/>
            <family val="2"/>
          </rPr>
          <t xml:space="preserve">
ODS Relacionado con la meta producto</t>
        </r>
      </text>
    </comment>
    <comment ref="AB13" authorId="0" shapeId="0" xr:uid="{1066A072-E78B-4571-A9CD-97077AD1A1EC}">
      <text>
        <r>
          <rPr>
            <b/>
            <sz val="9"/>
            <color indexed="81"/>
            <rFont val="Tahoma"/>
            <family val="2"/>
          </rPr>
          <t>yorlin lans vargas:</t>
        </r>
        <r>
          <rPr>
            <sz val="9"/>
            <color indexed="81"/>
            <rFont val="Tahoma"/>
            <family val="2"/>
          </rPr>
          <t xml:space="preserve">
Responsable dentro de la dependencia</t>
        </r>
      </text>
    </comment>
    <comment ref="AN13" authorId="0" shapeId="0" xr:uid="{81BAA819-FE80-4FAF-94BB-885E1271C080}">
      <text>
        <r>
          <rPr>
            <b/>
            <sz val="9"/>
            <color indexed="81"/>
            <rFont val="Tahoma"/>
            <family val="2"/>
          </rPr>
          <t>yorlin lans vargas:</t>
        </r>
        <r>
          <rPr>
            <sz val="9"/>
            <color indexed="81"/>
            <rFont val="Tahoma"/>
            <family val="2"/>
          </rPr>
          <t xml:space="preserve">
Valor esperado para el primer año</t>
        </r>
      </text>
    </comment>
    <comment ref="AY13" authorId="0" shapeId="0" xr:uid="{B5006CD8-9F96-431C-ACFA-6F121F7006F8}">
      <text>
        <r>
          <rPr>
            <b/>
            <sz val="9"/>
            <color indexed="81"/>
            <rFont val="Tahoma"/>
            <family val="2"/>
          </rPr>
          <t>yorlin lans vargas:</t>
        </r>
        <r>
          <rPr>
            <sz val="9"/>
            <color indexed="81"/>
            <rFont val="Tahoma"/>
            <family val="2"/>
          </rPr>
          <t xml:space="preserve">
Valor esperado para el primer año</t>
        </r>
      </text>
    </comment>
    <comment ref="BJ13" authorId="0" shapeId="0" xr:uid="{CE46660A-F6C6-4010-9968-6251F279A171}">
      <text>
        <r>
          <rPr>
            <b/>
            <sz val="9"/>
            <color indexed="81"/>
            <rFont val="Tahoma"/>
            <family val="2"/>
          </rPr>
          <t>yorlin lans vargas:</t>
        </r>
        <r>
          <rPr>
            <sz val="9"/>
            <color indexed="81"/>
            <rFont val="Tahoma"/>
            <family val="2"/>
          </rPr>
          <t xml:space="preserve">
Valor esperado para el primer año</t>
        </r>
      </text>
    </comment>
    <comment ref="BU13" authorId="0" shapeId="0" xr:uid="{25FB58F4-9A13-4E88-BEDD-23CDC5388A5D}">
      <text>
        <r>
          <rPr>
            <b/>
            <sz val="9"/>
            <color indexed="81"/>
            <rFont val="Tahoma"/>
            <family val="2"/>
          </rPr>
          <t>yorlin lans vargas:</t>
        </r>
        <r>
          <rPr>
            <sz val="9"/>
            <color indexed="81"/>
            <rFont val="Tahoma"/>
            <family val="2"/>
          </rPr>
          <t xml:space="preserve">
Valor esperado para el primer año</t>
        </r>
      </text>
    </comment>
    <comment ref="CA13" authorId="0" shapeId="0" xr:uid="{32F4074A-B4CD-4D3E-92A4-E18AAAAAF40D}">
      <text>
        <r>
          <rPr>
            <b/>
            <sz val="9"/>
            <color indexed="81"/>
            <rFont val="Tahoma"/>
            <family val="2"/>
          </rPr>
          <t>yorlin lans vargas:</t>
        </r>
        <r>
          <rPr>
            <sz val="9"/>
            <color indexed="81"/>
            <rFont val="Tahoma"/>
            <family val="2"/>
          </rPr>
          <t xml:space="preserve">
Enunciar fuentes de financiacion del programa</t>
        </r>
      </text>
    </comment>
    <comment ref="CB13" authorId="0" shapeId="0" xr:uid="{58977E25-96CF-4B69-AE92-28E604E34CA3}">
      <text>
        <r>
          <rPr>
            <b/>
            <sz val="9"/>
            <color indexed="81"/>
            <rFont val="Tahoma"/>
            <family val="2"/>
          </rPr>
          <t>yorlin lans vargas:</t>
        </r>
        <r>
          <rPr>
            <sz val="9"/>
            <color indexed="81"/>
            <rFont val="Tahoma"/>
            <family val="2"/>
          </rPr>
          <t xml:space="preserve">
Enunciar rubro presupuestal del programa </t>
        </r>
      </text>
    </comment>
    <comment ref="CC13" authorId="0" shapeId="0" xr:uid="{EBF3BC39-5E98-4AB0-9FBC-0AC4622FE1A7}">
      <text>
        <r>
          <rPr>
            <b/>
            <sz val="9"/>
            <color indexed="81"/>
            <rFont val="Tahoma"/>
            <family val="2"/>
          </rPr>
          <t>yorlin lans vargas:</t>
        </r>
        <r>
          <rPr>
            <sz val="9"/>
            <color indexed="81"/>
            <rFont val="Tahoma"/>
            <family val="2"/>
          </rPr>
          <t xml:space="preserve">
Cuantificar</t>
        </r>
      </text>
    </comment>
    <comment ref="AI61" authorId="1" shapeId="0" xr:uid="{543F95D9-3A69-430F-A4FE-2DCEF77748A0}">
      <text>
        <r>
          <rPr>
            <b/>
            <sz val="9"/>
            <color indexed="81"/>
            <rFont val="Tahoma"/>
            <family val="2"/>
          </rPr>
          <t>UPE001:</t>
        </r>
        <r>
          <rPr>
            <sz val="9"/>
            <color indexed="81"/>
            <rFont val="Tahoma"/>
            <family val="2"/>
          </rPr>
          <t xml:space="preserve">
Se han entregado hasta la fecha 4,442 Equipos</t>
        </r>
      </text>
    </comment>
    <comment ref="AO61" authorId="1" shapeId="0" xr:uid="{622A1C63-6E77-4545-BB69-E590F6169F9E}">
      <text>
        <r>
          <rPr>
            <b/>
            <sz val="9"/>
            <color indexed="81"/>
            <rFont val="Tahoma"/>
            <family val="2"/>
          </rPr>
          <t>UPE001:</t>
        </r>
        <r>
          <rPr>
            <sz val="9"/>
            <color indexed="81"/>
            <rFont val="Tahoma"/>
            <family val="2"/>
          </rPr>
          <t xml:space="preserve">
Se han entregado hasta la fecha 4,442 Equipos</t>
        </r>
      </text>
    </comment>
    <comment ref="AO62" authorId="1" shapeId="0" xr:uid="{F8E09747-63C4-4DAE-81EA-0E4AAFB7DB45}">
      <text>
        <r>
          <rPr>
            <b/>
            <sz val="9"/>
            <color indexed="81"/>
            <rFont val="Tahoma"/>
            <family val="2"/>
          </rPr>
          <t>UPE001:</t>
        </r>
        <r>
          <rPr>
            <sz val="9"/>
            <color indexed="81"/>
            <rFont val="Tahoma"/>
            <family val="2"/>
          </rPr>
          <t xml:space="preserve">
</t>
        </r>
      </text>
    </comment>
    <comment ref="P196" authorId="2" shapeId="0" xr:uid="{86B77B1D-ADFD-4F8D-BC9C-5687931BC67F}">
      <text>
        <r>
          <rPr>
            <b/>
            <sz val="9"/>
            <color indexed="81"/>
            <rFont val="Tahoma"/>
            <family val="2"/>
          </rPr>
          <t>USER:</t>
        </r>
        <r>
          <rPr>
            <sz val="9"/>
            <color indexed="81"/>
            <rFont val="Tahoma"/>
            <family val="2"/>
          </rPr>
          <t xml:space="preserve">
12 municipios</t>
        </r>
      </text>
    </comment>
    <comment ref="Q196" authorId="2" shapeId="0" xr:uid="{5721E364-A20E-4E16-8991-CB7DAAF9A6E8}">
      <text>
        <r>
          <rPr>
            <b/>
            <sz val="9"/>
            <color indexed="81"/>
            <rFont val="Tahoma"/>
            <family val="2"/>
          </rPr>
          <t>USER:</t>
        </r>
        <r>
          <rPr>
            <sz val="9"/>
            <color indexed="81"/>
            <rFont val="Tahoma"/>
            <family val="2"/>
          </rPr>
          <t xml:space="preserve">
16 municipios</t>
        </r>
      </text>
    </comment>
    <comment ref="P200" authorId="2" shapeId="0" xr:uid="{F3A32389-136D-44C6-AB9B-91EF0608DB72}">
      <text>
        <r>
          <rPr>
            <b/>
            <sz val="9"/>
            <color indexed="81"/>
            <rFont val="Tahoma"/>
            <family val="2"/>
          </rPr>
          <t>USER:</t>
        </r>
        <r>
          <rPr>
            <sz val="9"/>
            <color indexed="81"/>
            <rFont val="Tahoma"/>
            <family val="2"/>
          </rPr>
          <t xml:space="preserve">
3 municipios</t>
        </r>
      </text>
    </comment>
    <comment ref="Q200" authorId="2" shapeId="0" xr:uid="{849DAAE1-3B1B-47D8-9710-4167053F3C3A}">
      <text>
        <r>
          <rPr>
            <b/>
            <sz val="9"/>
            <color indexed="81"/>
            <rFont val="Tahoma"/>
            <family val="2"/>
          </rPr>
          <t>USER:</t>
        </r>
        <r>
          <rPr>
            <sz val="9"/>
            <color indexed="81"/>
            <rFont val="Tahoma"/>
            <family val="2"/>
          </rPr>
          <t xml:space="preserve">
10 municpios
</t>
        </r>
      </text>
    </comment>
    <comment ref="P203" authorId="2" shapeId="0" xr:uid="{4A758154-2855-45E4-8301-D00076C2D31C}">
      <text>
        <r>
          <rPr>
            <b/>
            <sz val="9"/>
            <color indexed="81"/>
            <rFont val="Tahoma"/>
            <family val="2"/>
          </rPr>
          <t>USER:</t>
        </r>
        <r>
          <rPr>
            <sz val="9"/>
            <color indexed="81"/>
            <rFont val="Tahoma"/>
            <family val="2"/>
          </rPr>
          <t xml:space="preserve">
11 municipios</t>
        </r>
      </text>
    </comment>
    <comment ref="Q203" authorId="2" shapeId="0" xr:uid="{A9F5913B-FA57-4F95-87F9-A0048DF634EE}">
      <text>
        <r>
          <rPr>
            <b/>
            <sz val="9"/>
            <color indexed="81"/>
            <rFont val="Tahoma"/>
            <family val="2"/>
          </rPr>
          <t>USER:</t>
        </r>
        <r>
          <rPr>
            <sz val="9"/>
            <color indexed="81"/>
            <rFont val="Tahoma"/>
            <family val="2"/>
          </rPr>
          <t xml:space="preserve">
25 municipios</t>
        </r>
      </text>
    </comment>
    <comment ref="P209" authorId="2" shapeId="0" xr:uid="{9C0BE534-1C41-4C7A-88E3-5A41F61DCFFA}">
      <text>
        <r>
          <rPr>
            <b/>
            <sz val="9"/>
            <color indexed="81"/>
            <rFont val="Tahoma"/>
            <family val="2"/>
          </rPr>
          <t>USER:</t>
        </r>
        <r>
          <rPr>
            <sz val="9"/>
            <color indexed="81"/>
            <rFont val="Tahoma"/>
            <family val="2"/>
          </rPr>
          <t xml:space="preserve">
10 municipios</t>
        </r>
      </text>
    </comment>
    <comment ref="Q209" authorId="2" shapeId="0" xr:uid="{2933B53C-61D6-4BEE-9CB3-7E544D32A22C}">
      <text>
        <r>
          <rPr>
            <b/>
            <sz val="9"/>
            <color indexed="81"/>
            <rFont val="Tahoma"/>
            <family val="2"/>
          </rPr>
          <t>USER:</t>
        </r>
        <r>
          <rPr>
            <sz val="9"/>
            <color indexed="81"/>
            <rFont val="Tahoma"/>
            <family val="2"/>
          </rPr>
          <t xml:space="preserve">
20 municipios</t>
        </r>
      </text>
    </comment>
    <comment ref="V415" authorId="3" shapeId="0" xr:uid="{19E2178E-4BAA-4CC5-AACB-AE4BEC6041D0}">
      <text>
        <r>
          <rPr>
            <b/>
            <sz val="9"/>
            <color indexed="81"/>
            <rFont val="Tahoma"/>
            <family val="2"/>
          </rPr>
          <t>Home:</t>
        </r>
        <r>
          <rPr>
            <sz val="9"/>
            <color indexed="81"/>
            <rFont val="Tahoma"/>
            <family val="2"/>
          </rPr>
          <t xml:space="preserve">
no tiene </t>
        </r>
      </text>
    </comment>
    <comment ref="X507" authorId="2" shapeId="0" xr:uid="{FB1766B1-9B26-4192-BB0A-53C5EB5388C7}">
      <text>
        <r>
          <rPr>
            <b/>
            <sz val="9"/>
            <color indexed="81"/>
            <rFont val="Tahoma"/>
            <family val="2"/>
          </rPr>
          <t>USER:</t>
        </r>
        <r>
          <rPr>
            <sz val="9"/>
            <color indexed="81"/>
            <rFont val="Tahoma"/>
            <family val="2"/>
          </rPr>
          <t xml:space="preserve">
Deporte Social Comunitario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yorlin lans vargas</author>
    <author>UPE001</author>
    <author>USER</author>
    <author>Home</author>
  </authors>
  <commentList>
    <comment ref="B9" authorId="0" shapeId="0" xr:uid="{6AA720F7-E619-463D-9C3E-70EA4A639F21}">
      <text>
        <r>
          <rPr>
            <b/>
            <sz val="9"/>
            <color indexed="81"/>
            <rFont val="Tahoma"/>
            <family val="2"/>
          </rPr>
          <t>yorlin lans vargas:</t>
        </r>
        <r>
          <rPr>
            <sz val="9"/>
            <color indexed="81"/>
            <rFont val="Tahoma"/>
            <family val="2"/>
          </rPr>
          <t xml:space="preserve">
Primer Nivel del Plan.. Enunciar nombre</t>
        </r>
      </text>
    </comment>
    <comment ref="D9" authorId="0" shapeId="0" xr:uid="{482F2F6E-E9E3-4335-A56C-96B8A5738E03}">
      <text>
        <r>
          <rPr>
            <b/>
            <sz val="9"/>
            <color indexed="81"/>
            <rFont val="Tahoma"/>
            <family val="2"/>
          </rPr>
          <t>yorlin lans vargas:</t>
        </r>
        <r>
          <rPr>
            <sz val="9"/>
            <color indexed="81"/>
            <rFont val="Tahoma"/>
            <family val="2"/>
          </rPr>
          <t xml:space="preserve">
Segundo nivel del plan de desarrollo.. Enunciar nombre de la linea estrategica</t>
        </r>
      </text>
    </comment>
    <comment ref="F9" authorId="0" shapeId="0" xr:uid="{9DEF9A9C-D610-44B3-A58C-76E9D9DF469D}">
      <text>
        <r>
          <rPr>
            <b/>
            <sz val="9"/>
            <color indexed="81"/>
            <rFont val="Tahoma"/>
            <family val="2"/>
          </rPr>
          <t>yorlin lans vargas:</t>
        </r>
        <r>
          <rPr>
            <sz val="9"/>
            <color indexed="81"/>
            <rFont val="Tahoma"/>
            <family val="2"/>
          </rPr>
          <t xml:space="preserve">
Los programas representan los cimientos del plan de desarrollo y con ellos se definen los resultados y productos esperados</t>
        </r>
      </text>
    </comment>
    <comment ref="H9" authorId="0" shapeId="0" xr:uid="{3F5A1148-A53A-4660-9436-3195726E538D}">
      <text>
        <r>
          <rPr>
            <b/>
            <sz val="9"/>
            <color indexed="81"/>
            <rFont val="Tahoma"/>
            <family val="2"/>
          </rPr>
          <t>yorlin lans vargas:</t>
        </r>
        <r>
          <rPr>
            <sz val="9"/>
            <color indexed="81"/>
            <rFont val="Tahoma"/>
            <family val="2"/>
          </rPr>
          <t xml:space="preserve">
Hace referencia al cambio de un problema La meta de resultado o bienestar esta relacionada en el plan de desarrollo despues de cada programa</t>
        </r>
      </text>
    </comment>
    <comment ref="I9" authorId="0" shapeId="0" xr:uid="{149E3474-3BAE-439F-B0A0-EC0D579781D5}">
      <text>
        <r>
          <rPr>
            <b/>
            <sz val="9"/>
            <color indexed="81"/>
            <rFont val="Tahoma"/>
            <family val="2"/>
          </rPr>
          <t>yorlin lans vargas:</t>
        </r>
        <r>
          <rPr>
            <sz val="9"/>
            <color indexed="81"/>
            <rFont val="Tahoma"/>
            <family val="2"/>
          </rPr>
          <t xml:space="preserve">
Corresponde a la representación cuantitativa (variable o relación entre variables, porcentaje, tasa) de la meta de resultado, verificable objetivamente, </t>
        </r>
      </text>
    </comment>
    <comment ref="J9" authorId="0" shapeId="0" xr:uid="{A8DFC7F5-996C-43B3-A980-2B8D6C0CF802}">
      <text>
        <r>
          <rPr>
            <b/>
            <sz val="9"/>
            <color indexed="81"/>
            <rFont val="Tahoma"/>
            <family val="2"/>
          </rPr>
          <t>yorlin lans vargas:</t>
        </r>
        <r>
          <rPr>
            <sz val="9"/>
            <color indexed="81"/>
            <rFont val="Tahoma"/>
            <family val="2"/>
          </rPr>
          <t xml:space="preserve">
Información existente frente a cobertura o disponibilidad de un bien o servicio </t>
        </r>
      </text>
    </comment>
    <comment ref="K9" authorId="0" shapeId="0" xr:uid="{154A8110-FB07-4B40-B34F-4BA1169576AF}">
      <text>
        <r>
          <rPr>
            <b/>
            <sz val="9"/>
            <color indexed="81"/>
            <rFont val="Tahoma"/>
            <family val="2"/>
          </rPr>
          <t>yorlin lans vargas:</t>
        </r>
        <r>
          <rPr>
            <sz val="9"/>
            <color indexed="81"/>
            <rFont val="Tahoma"/>
            <family val="2"/>
          </rPr>
          <t xml:space="preserve">
Incluir valor numerico</t>
        </r>
      </text>
    </comment>
    <comment ref="M9" authorId="0" shapeId="0" xr:uid="{BD32F12D-5794-4E06-9B29-949F552FA733}">
      <text>
        <r>
          <rPr>
            <b/>
            <sz val="9"/>
            <color indexed="81"/>
            <rFont val="Tahoma"/>
            <family val="2"/>
          </rPr>
          <t>yorlin lans vargas:</t>
        </r>
        <r>
          <rPr>
            <sz val="9"/>
            <color indexed="81"/>
            <rFont val="Tahoma"/>
            <family val="2"/>
          </rPr>
          <t xml:space="preserve">
Bien o servicio a proveer
en el cuatrienio</t>
        </r>
      </text>
    </comment>
    <comment ref="N9" authorId="0" shapeId="0" xr:uid="{090BC8D3-66DE-45C8-BB56-E054DBD97C40}">
      <text>
        <r>
          <rPr>
            <b/>
            <sz val="9"/>
            <color indexed="81"/>
            <rFont val="Tahoma"/>
            <family val="2"/>
          </rPr>
          <t>yorlin lans vargas:</t>
        </r>
        <r>
          <rPr>
            <sz val="9"/>
            <color indexed="81"/>
            <rFont val="Tahoma"/>
            <family val="2"/>
          </rPr>
          <t xml:space="preserve">
Cuantifica los bienes y servicios producidos y/o provisionados por una determinada intervención. Debe ser cuantitativo y tener una unidad de medida.</t>
        </r>
      </text>
    </comment>
    <comment ref="O9" authorId="0" shapeId="0" xr:uid="{442A3660-9F64-443C-AF30-AC5B78FD0CDE}">
      <text>
        <r>
          <rPr>
            <b/>
            <sz val="9"/>
            <color indexed="81"/>
            <rFont val="Tahoma"/>
            <family val="2"/>
          </rPr>
          <t>yorlin lans vargas:</t>
        </r>
        <r>
          <rPr>
            <sz val="9"/>
            <color indexed="81"/>
            <rFont val="Tahoma"/>
            <family val="2"/>
          </rPr>
          <t xml:space="preserve">
Información cuantitativa existente frente al
número de bienes o servicios disponibles.</t>
        </r>
      </text>
    </comment>
    <comment ref="P9" authorId="0" shapeId="0" xr:uid="{75B76D15-11FD-4DF9-95C5-EF649C0B820B}">
      <text>
        <r>
          <rPr>
            <b/>
            <sz val="9"/>
            <color indexed="81"/>
            <rFont val="Tahoma"/>
            <family val="2"/>
          </rPr>
          <t>yorlin lans vargas:</t>
        </r>
        <r>
          <rPr>
            <sz val="9"/>
            <color indexed="81"/>
            <rFont val="Tahoma"/>
            <family val="2"/>
          </rPr>
          <t xml:space="preserve">
Colocar valor numerico de meta producto</t>
        </r>
      </text>
    </comment>
    <comment ref="V9" authorId="0" shapeId="0" xr:uid="{94BCD22F-7CCB-4496-9925-2701668D14E5}">
      <text>
        <r>
          <rPr>
            <b/>
            <sz val="9"/>
            <color indexed="81"/>
            <rFont val="Tahoma"/>
            <family val="2"/>
          </rPr>
          <t>yorlin lans vargas:</t>
        </r>
        <r>
          <rPr>
            <sz val="9"/>
            <color indexed="81"/>
            <rFont val="Tahoma"/>
            <family val="2"/>
          </rPr>
          <t xml:space="preserve">
Valor esperado para el primer año</t>
        </r>
      </text>
    </comment>
    <comment ref="AB9" authorId="0" shapeId="0" xr:uid="{79CA6D16-1FE9-4E7C-A62B-7005560125BA}">
      <text>
        <r>
          <rPr>
            <b/>
            <sz val="9"/>
            <color indexed="81"/>
            <rFont val="Tahoma"/>
            <family val="2"/>
          </rPr>
          <t>yorlin lans vargas:</t>
        </r>
        <r>
          <rPr>
            <sz val="9"/>
            <color indexed="81"/>
            <rFont val="Tahoma"/>
            <family val="2"/>
          </rPr>
          <t xml:space="preserve">
Hace referencia al tipo de meta (Incremento o Mantenimiento)</t>
        </r>
      </text>
    </comment>
    <comment ref="AC9" authorId="0" shapeId="0" xr:uid="{510C3E74-C0FB-4FF2-9EC4-E9FABC68E71E}">
      <text>
        <r>
          <rPr>
            <b/>
            <sz val="9"/>
            <color indexed="81"/>
            <rFont val="Tahoma"/>
            <family val="2"/>
          </rPr>
          <t>yorlin lans vargas:</t>
        </r>
        <r>
          <rPr>
            <sz val="9"/>
            <color indexed="81"/>
            <rFont val="Tahoma"/>
            <family val="2"/>
          </rPr>
          <t xml:space="preserve">
Proyecto de inversion para garantizar ejecucion de la meta</t>
        </r>
      </text>
    </comment>
    <comment ref="AD9" authorId="0" shapeId="0" xr:uid="{0095D6BD-DDC0-446F-A72A-A01CBD380EDC}">
      <text>
        <r>
          <rPr>
            <b/>
            <sz val="9"/>
            <color indexed="81"/>
            <rFont val="Tahoma"/>
            <family val="2"/>
          </rPr>
          <t>yorlin lans vargas:</t>
        </r>
        <r>
          <rPr>
            <sz val="9"/>
            <color indexed="81"/>
            <rFont val="Tahoma"/>
            <family val="2"/>
          </rPr>
          <t xml:space="preserve">
Sector FUT</t>
        </r>
      </text>
    </comment>
    <comment ref="AE9" authorId="0" shapeId="0" xr:uid="{43F07976-1DC9-474B-B01E-3E4ED331EF78}">
      <text>
        <r>
          <rPr>
            <b/>
            <sz val="9"/>
            <color indexed="81"/>
            <rFont val="Tahoma"/>
            <family val="2"/>
          </rPr>
          <t>yorlin lans vargas:</t>
        </r>
        <r>
          <rPr>
            <sz val="9"/>
            <color indexed="81"/>
            <rFont val="Tahoma"/>
            <family val="2"/>
          </rPr>
          <t xml:space="preserve">
Codigo FUT</t>
        </r>
      </text>
    </comment>
    <comment ref="AF9" authorId="0" shapeId="0" xr:uid="{C8F23EE8-316E-4DA3-8E4C-C742BE870F6C}">
      <text>
        <r>
          <rPr>
            <b/>
            <sz val="9"/>
            <color indexed="81"/>
            <rFont val="Tahoma"/>
            <family val="2"/>
          </rPr>
          <t>yorlin lans vargas:</t>
        </r>
        <r>
          <rPr>
            <sz val="9"/>
            <color indexed="81"/>
            <rFont val="Tahoma"/>
            <family val="2"/>
          </rPr>
          <t xml:space="preserve">
ODS Relacionado con la meta producto</t>
        </r>
      </text>
    </comment>
    <comment ref="AG9" authorId="0" shapeId="0" xr:uid="{574C7F17-BBC1-462D-B5B9-87A0D425FD34}">
      <text>
        <r>
          <rPr>
            <b/>
            <sz val="9"/>
            <color indexed="81"/>
            <rFont val="Tahoma"/>
            <family val="2"/>
          </rPr>
          <t>yorlin lans vargas:</t>
        </r>
        <r>
          <rPr>
            <sz val="9"/>
            <color indexed="81"/>
            <rFont val="Tahoma"/>
            <family val="2"/>
          </rPr>
          <t xml:space="preserve">
Responsable dentro de la dependencia</t>
        </r>
      </text>
    </comment>
    <comment ref="AH9" authorId="0" shapeId="0" xr:uid="{09171D5D-C2BD-4BC1-A1C6-447CA4E6FC46}">
      <text>
        <r>
          <rPr>
            <b/>
            <sz val="9"/>
            <color indexed="81"/>
            <rFont val="Tahoma"/>
            <family val="2"/>
          </rPr>
          <t>yorlin lans vargas:</t>
        </r>
        <r>
          <rPr>
            <sz val="9"/>
            <color indexed="81"/>
            <rFont val="Tahoma"/>
            <family val="2"/>
          </rPr>
          <t xml:space="preserve">
Enunciar fuentes de financiacion del programa</t>
        </r>
      </text>
    </comment>
    <comment ref="AI9" authorId="0" shapeId="0" xr:uid="{E18E9CC2-EC51-432D-BFE3-A0407E89A291}">
      <text>
        <r>
          <rPr>
            <b/>
            <sz val="9"/>
            <color indexed="81"/>
            <rFont val="Tahoma"/>
            <family val="2"/>
          </rPr>
          <t>yorlin lans vargas:</t>
        </r>
        <r>
          <rPr>
            <sz val="9"/>
            <color indexed="81"/>
            <rFont val="Tahoma"/>
            <family val="2"/>
          </rPr>
          <t xml:space="preserve">
Enunciar rubro presupuestal del programa </t>
        </r>
      </text>
    </comment>
    <comment ref="AJ9" authorId="0" shapeId="0" xr:uid="{CA75A370-C929-4C08-AA6E-3CB1429AFD7B}">
      <text>
        <r>
          <rPr>
            <b/>
            <sz val="9"/>
            <color indexed="81"/>
            <rFont val="Tahoma"/>
            <family val="2"/>
          </rPr>
          <t>yorlin lans vargas:</t>
        </r>
        <r>
          <rPr>
            <sz val="9"/>
            <color indexed="81"/>
            <rFont val="Tahoma"/>
            <family val="2"/>
          </rPr>
          <t xml:space="preserve">
Cuantificar</t>
        </r>
      </text>
    </comment>
    <comment ref="W57" authorId="1" shapeId="0" xr:uid="{D7992821-E4A3-4838-AE10-CC95094EC31E}">
      <text>
        <r>
          <rPr>
            <b/>
            <sz val="9"/>
            <color indexed="81"/>
            <rFont val="Tahoma"/>
            <family val="2"/>
          </rPr>
          <t>UPE001:</t>
        </r>
        <r>
          <rPr>
            <sz val="9"/>
            <color indexed="81"/>
            <rFont val="Tahoma"/>
            <family val="2"/>
          </rPr>
          <t xml:space="preserve">
Se han entregado hasta la fecha 4,442 Equipos</t>
        </r>
      </text>
    </comment>
    <comment ref="W58" authorId="1" shapeId="0" xr:uid="{992D898B-C96D-4EC3-8B80-5D1618A3EF51}">
      <text>
        <r>
          <rPr>
            <b/>
            <sz val="9"/>
            <color indexed="81"/>
            <rFont val="Tahoma"/>
            <family val="2"/>
          </rPr>
          <t>UPE001:</t>
        </r>
        <r>
          <rPr>
            <sz val="9"/>
            <color indexed="81"/>
            <rFont val="Tahoma"/>
            <family val="2"/>
          </rPr>
          <t xml:space="preserve">
</t>
        </r>
      </text>
    </comment>
    <comment ref="J192" authorId="2" shapeId="0" xr:uid="{67BF3D07-EEE3-4ED9-9928-F57D84CB0240}">
      <text>
        <r>
          <rPr>
            <b/>
            <sz val="9"/>
            <color indexed="81"/>
            <rFont val="Tahoma"/>
            <family val="2"/>
          </rPr>
          <t>USER:</t>
        </r>
        <r>
          <rPr>
            <sz val="9"/>
            <color indexed="81"/>
            <rFont val="Tahoma"/>
            <family val="2"/>
          </rPr>
          <t xml:space="preserve">
12 municipios</t>
        </r>
      </text>
    </comment>
    <comment ref="K192" authorId="2" shapeId="0" xr:uid="{D156FEB5-9E30-47F5-9896-7B3A2E9A8C8F}">
      <text>
        <r>
          <rPr>
            <b/>
            <sz val="9"/>
            <color indexed="81"/>
            <rFont val="Tahoma"/>
            <family val="2"/>
          </rPr>
          <t>USER:</t>
        </r>
        <r>
          <rPr>
            <sz val="9"/>
            <color indexed="81"/>
            <rFont val="Tahoma"/>
            <family val="2"/>
          </rPr>
          <t xml:space="preserve">
16 municipios</t>
        </r>
      </text>
    </comment>
    <comment ref="J196" authorId="2" shapeId="0" xr:uid="{6B3BA746-6A79-45AA-A32F-C8A20DB1C63B}">
      <text>
        <r>
          <rPr>
            <b/>
            <sz val="9"/>
            <color indexed="81"/>
            <rFont val="Tahoma"/>
            <family val="2"/>
          </rPr>
          <t>USER:</t>
        </r>
        <r>
          <rPr>
            <sz val="9"/>
            <color indexed="81"/>
            <rFont val="Tahoma"/>
            <family val="2"/>
          </rPr>
          <t xml:space="preserve">
3 municipios</t>
        </r>
      </text>
    </comment>
    <comment ref="K196" authorId="2" shapeId="0" xr:uid="{EE527383-807F-4450-9601-74EEE3B09C74}">
      <text>
        <r>
          <rPr>
            <b/>
            <sz val="9"/>
            <color indexed="81"/>
            <rFont val="Tahoma"/>
            <family val="2"/>
          </rPr>
          <t>USER:</t>
        </r>
        <r>
          <rPr>
            <sz val="9"/>
            <color indexed="81"/>
            <rFont val="Tahoma"/>
            <family val="2"/>
          </rPr>
          <t xml:space="preserve">
10 municpios
</t>
        </r>
      </text>
    </comment>
    <comment ref="J199" authorId="2" shapeId="0" xr:uid="{35C4900F-BD57-4661-AAB2-8D4F3E31E802}">
      <text>
        <r>
          <rPr>
            <b/>
            <sz val="9"/>
            <color indexed="81"/>
            <rFont val="Tahoma"/>
            <family val="2"/>
          </rPr>
          <t>USER:</t>
        </r>
        <r>
          <rPr>
            <sz val="9"/>
            <color indexed="81"/>
            <rFont val="Tahoma"/>
            <family val="2"/>
          </rPr>
          <t xml:space="preserve">
11 municipios</t>
        </r>
      </text>
    </comment>
    <comment ref="K199" authorId="2" shapeId="0" xr:uid="{C3F1B746-FF86-4A64-B9B1-C944673EFA53}">
      <text>
        <r>
          <rPr>
            <b/>
            <sz val="9"/>
            <color indexed="81"/>
            <rFont val="Tahoma"/>
            <family val="2"/>
          </rPr>
          <t>USER:</t>
        </r>
        <r>
          <rPr>
            <sz val="9"/>
            <color indexed="81"/>
            <rFont val="Tahoma"/>
            <family val="2"/>
          </rPr>
          <t xml:space="preserve">
25 municipios</t>
        </r>
      </text>
    </comment>
    <comment ref="J205" authorId="2" shapeId="0" xr:uid="{7CED71CC-B2C4-4131-9B99-0F8787F9ABC2}">
      <text>
        <r>
          <rPr>
            <b/>
            <sz val="9"/>
            <color indexed="81"/>
            <rFont val="Tahoma"/>
            <family val="2"/>
          </rPr>
          <t>USER:</t>
        </r>
        <r>
          <rPr>
            <sz val="9"/>
            <color indexed="81"/>
            <rFont val="Tahoma"/>
            <family val="2"/>
          </rPr>
          <t xml:space="preserve">
10 municipios</t>
        </r>
      </text>
    </comment>
    <comment ref="K205" authorId="2" shapeId="0" xr:uid="{753CC327-606B-4CBC-B3F1-7AE3E0A7FCC4}">
      <text>
        <r>
          <rPr>
            <b/>
            <sz val="9"/>
            <color indexed="81"/>
            <rFont val="Tahoma"/>
            <family val="2"/>
          </rPr>
          <t>USER:</t>
        </r>
        <r>
          <rPr>
            <sz val="9"/>
            <color indexed="81"/>
            <rFont val="Tahoma"/>
            <family val="2"/>
          </rPr>
          <t xml:space="preserve">
20 municipios</t>
        </r>
      </text>
    </comment>
    <comment ref="P411" authorId="3" shapeId="0" xr:uid="{BD2A436F-7466-430A-862A-4F454519EE5E}">
      <text>
        <r>
          <rPr>
            <b/>
            <sz val="9"/>
            <color indexed="81"/>
            <rFont val="Tahoma"/>
            <family val="2"/>
          </rPr>
          <t>Home:</t>
        </r>
        <r>
          <rPr>
            <sz val="9"/>
            <color indexed="81"/>
            <rFont val="Tahoma"/>
            <family val="2"/>
          </rPr>
          <t xml:space="preserve">
no tiene </t>
        </r>
      </text>
    </comment>
    <comment ref="AC507" authorId="2" shapeId="0" xr:uid="{893D316F-D30F-436E-A5E9-430B4DFE1190}">
      <text>
        <r>
          <rPr>
            <b/>
            <sz val="9"/>
            <color indexed="81"/>
            <rFont val="Tahoma"/>
            <family val="2"/>
          </rPr>
          <t>USER:</t>
        </r>
        <r>
          <rPr>
            <sz val="9"/>
            <color indexed="81"/>
            <rFont val="Tahoma"/>
            <family val="2"/>
          </rPr>
          <t xml:space="preserve">
Deporte Social Comunitario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Home</author>
  </authors>
  <commentList>
    <comment ref="G44" authorId="0" shapeId="0" xr:uid="{30D67EDB-0D70-4679-B09B-F30E4C6B8E92}">
      <text>
        <r>
          <rPr>
            <b/>
            <sz val="9"/>
            <color indexed="81"/>
            <rFont val="Tahoma"/>
            <family val="2"/>
          </rPr>
          <t>Home:</t>
        </r>
        <r>
          <rPr>
            <sz val="9"/>
            <color indexed="81"/>
            <rFont val="Tahoma"/>
            <family val="2"/>
          </rPr>
          <t xml:space="preserve">
VERIFICAR 
INFRAESTRUCUTRA</t>
        </r>
      </text>
    </comment>
  </commentList>
</comments>
</file>

<file path=xl/sharedStrings.xml><?xml version="1.0" encoding="utf-8"?>
<sst xmlns="http://schemas.openxmlformats.org/spreadsheetml/2006/main" count="16348" uniqueCount="2047">
  <si>
    <t xml:space="preserve">MATRIZ DE SEGUIMIENTO Y EVALUACION PLAN DE DESARROLLO BOLIVAR PRIMERO GOBERNACION DE BOLIVAR </t>
  </si>
  <si>
    <t>PARTE ESTRATEGICA</t>
  </si>
  <si>
    <t>PARTE FINANCIERA</t>
  </si>
  <si>
    <t>Cod EJE</t>
  </si>
  <si>
    <t>Eje</t>
  </si>
  <si>
    <t>EVALUACION EJE CUATRINIO</t>
  </si>
  <si>
    <t>Cod Linea</t>
  </si>
  <si>
    <t>Lineas Estrategica</t>
  </si>
  <si>
    <t>EVALUACION LINEA ESTRATEGICA CUATRENIO</t>
  </si>
  <si>
    <t>EVALUAICON LINEA ESTRATEGICA AÑO 2020</t>
  </si>
  <si>
    <t>Cod- Prog</t>
  </si>
  <si>
    <t>Programa</t>
  </si>
  <si>
    <t>EVALUACION PROGRAMA CUATRENIO</t>
  </si>
  <si>
    <t>Cod MR</t>
  </si>
  <si>
    <t>Descripción Meta Resultado Principal</t>
  </si>
  <si>
    <t>Indicador de Resultado</t>
  </si>
  <si>
    <t>Línea Base  Resultado</t>
  </si>
  <si>
    <t>Meta  Resultado Cuatrenio 2023</t>
  </si>
  <si>
    <t>Cod MP</t>
  </si>
  <si>
    <t>Descripción Meta Producto</t>
  </si>
  <si>
    <t>Indicador de Producto</t>
  </si>
  <si>
    <t>Línea Base Producto</t>
  </si>
  <si>
    <t>Meta Producto Cuatrenio</t>
  </si>
  <si>
    <t>AVANCE META PRODUCTO CUATRIENIO JUNIO 30 DE 2020</t>
  </si>
  <si>
    <t>AVANCE META PRODUCTO CUATRIENIO SEPTIEMBRE 30 DE 2020</t>
  </si>
  <si>
    <t>% de Avance cuatrienio Meta Producto</t>
  </si>
  <si>
    <t>Valor esperado 2020</t>
  </si>
  <si>
    <t>AVANCE META PRODUCTO 2020 JUNIO 30 DE 2020</t>
  </si>
  <si>
    <t>AVANCE META PRODUCTO 2020 SEPTIEMBRE 30 DE 2020</t>
  </si>
  <si>
    <t>% de Avance años meta producto 2020</t>
  </si>
  <si>
    <t>Orientación de la meta de producto</t>
  </si>
  <si>
    <t>Proyecto</t>
  </si>
  <si>
    <t>Sector</t>
  </si>
  <si>
    <t>CodSec</t>
  </si>
  <si>
    <t>ODS de Producto</t>
  </si>
  <si>
    <t>Responsable</t>
  </si>
  <si>
    <t>Fuentes de Financiaciòn</t>
  </si>
  <si>
    <t>Rubro</t>
  </si>
  <si>
    <t>Total</t>
  </si>
  <si>
    <t xml:space="preserve">1.1 </t>
  </si>
  <si>
    <t>Plan Departamental de Emergencia Social Para la
Igualdad y la Inclusión</t>
  </si>
  <si>
    <t>1.1.1</t>
  </si>
  <si>
    <t>Bolívar primero plan departamental de emergencia social para la igualdad y la inclusión PLADES.</t>
  </si>
  <si>
    <t>1.1.1.1</t>
  </si>
  <si>
    <t>100% de hogares acompañados priorizados de acuerdo a la estrategia Red Unidos</t>
  </si>
  <si>
    <t>Porcentaje de hogares acompañados priorizados de acuerdo a la estrategia Red Unidos</t>
  </si>
  <si>
    <t>1.1.1.1.1</t>
  </si>
  <si>
    <t>1 alianza estratégica para disminuir la pobreza en el departamento de Bolívar</t>
  </si>
  <si>
    <t>Número de alianzas estratégicas para disminuir la pobreza en el departamento de Bolívar</t>
  </si>
  <si>
    <t>Incremento</t>
  </si>
  <si>
    <t>NA</t>
  </si>
  <si>
    <t>ODS1</t>
  </si>
  <si>
    <t>1.1.1.1.2</t>
  </si>
  <si>
    <t>12  jornadas de identificación para población pobre y vulnerable</t>
  </si>
  <si>
    <t>No. De jornadas de identificación para población pobre y vulnerable</t>
  </si>
  <si>
    <t>ND</t>
  </si>
  <si>
    <t>1.1.1.1.3</t>
  </si>
  <si>
    <t>% de Personas vinculadas al sistema de seguridad social en salud en el departamento</t>
  </si>
  <si>
    <t>1.1.1.1.4</t>
  </si>
  <si>
    <t xml:space="preserve">Número de municipios apoyados en la atención de niños menores de 10 años de familias en condición de pobreza con problemas de crecimiento y nutrición </t>
  </si>
  <si>
    <t>86.55</t>
  </si>
  <si>
    <t>1.1.1.1.5</t>
  </si>
  <si>
    <t>% de niños y jóvenes en edad escolar de hogares en pobreza y pobreza extrema atendido por el sistema educativo.</t>
  </si>
  <si>
    <t>1.1.1.1.6</t>
  </si>
  <si>
    <t xml:space="preserve">Alfabetizar a Los adultos de las familias en condición de pobreza extrema o en situación de desplazamiento entre 18 y 65 años </t>
  </si>
  <si>
    <t>1.1.1.1.7</t>
  </si>
  <si>
    <t xml:space="preserve">Capacitar a 400 personas con énfasis en la Educación para el Trabajo y el Emprendimiento </t>
  </si>
  <si>
    <t>Atención a grupos vulnerables - Promoción Social</t>
  </si>
  <si>
    <t>A.14</t>
  </si>
  <si>
    <t>Poner fin a la pobreza en todas sus formas en todo el mundo  -  Promover el crecimiento económico sostenido, inclusivo y sostenible, el empleo pleno y productivo y el trabajo decente para todos</t>
  </si>
  <si>
    <t>1.1.1.1.8</t>
  </si>
  <si>
    <t>4 actividades y/o proyectos apoyados para la Productividad, el Empleo y el Emprendimiento de la población bolivarense</t>
  </si>
  <si>
    <t>Número de actividades y/o proyectos apoyados para la Productividad, el Empleo y el Emprendimiento de la población bolivarense</t>
  </si>
  <si>
    <t>SI</t>
  </si>
  <si>
    <t>ICLD</t>
  </si>
  <si>
    <t>12.6.10.01.01.03</t>
  </si>
  <si>
    <t>1.1.1.1.9</t>
  </si>
  <si>
    <t xml:space="preserve">Promover la actualización de la política pública de seguridad alimentaria </t>
  </si>
  <si>
    <t>Mantenimiento</t>
  </si>
  <si>
    <t>1.1.1.1.10</t>
  </si>
  <si>
    <t>Viviendas nuevas Iniciadas para hogares en condición de pobreza.</t>
  </si>
  <si>
    <t>Vivienda</t>
  </si>
  <si>
    <t>11 Ciudades y comunidades sostenibles</t>
  </si>
  <si>
    <t>1.1.1.1.11</t>
  </si>
  <si>
    <t>Mejoramientos de vivienda iniciados para hogares en condición de pobreza.</t>
  </si>
  <si>
    <t>1.1.1.1.12</t>
  </si>
  <si>
    <t>500 personas en pobreza y pobreza extrema con asistencia técnica para fortalecer sus unidades productivas</t>
  </si>
  <si>
    <t>Número de personas en pobreza y pobreza extrema con asistencia técnica para fortalecer sus unidades productivas</t>
  </si>
  <si>
    <t>NO</t>
  </si>
  <si>
    <t>GESTIÓN</t>
  </si>
  <si>
    <t>12.6.10.01.01.04</t>
  </si>
  <si>
    <t>1.1.1.1.14</t>
  </si>
  <si>
    <t>Número de apoyos técnicos y financiero a negocios familiares de población en condición de pobreza</t>
  </si>
  <si>
    <t>100 % de Población rural bolivarense a la que se le garantiza el goce y disfrute de sus derechos sociales.</t>
  </si>
  <si>
    <t>1.1.1.1.15</t>
  </si>
  <si>
    <t>500 familias
capacitadas acerca las
características de los
distintos servicios
financieros y accediendo
a ellos</t>
  </si>
  <si>
    <t>Número de familias
capacitadas acerca las
características de los
distintos servicios
financieros y accediendo
a ellos</t>
  </si>
  <si>
    <t>12.6.10.01.01.05</t>
  </si>
  <si>
    <t xml:space="preserve">1.2 </t>
  </si>
  <si>
    <t>Bolívar Primero Educa</t>
  </si>
  <si>
    <t>1.2.1</t>
  </si>
  <si>
    <t>Bolívar Primero en calidad educativa.</t>
  </si>
  <si>
    <t>1.2.1.1</t>
  </si>
  <si>
    <t>Mejorar en las Instituciones Educativas Oficiales porcentualmente   los Resultados de Prueba Saber 11</t>
  </si>
  <si>
    <t>Instituciones
Educativas oficiales que alcanzan
niveles destacados
de calificación (A+, A, B y C) en
pruebas saber 11.</t>
  </si>
  <si>
    <t>1.2.1.1.1</t>
  </si>
  <si>
    <t>Implementar  la Jornada Única en los Establecimientos Educativos Oficiales  que cumplan con los Lineamientos del MEN</t>
  </si>
  <si>
    <t>Establecimientos educativos con
jornada única</t>
  </si>
  <si>
    <t>A.1.1.2.1</t>
  </si>
  <si>
    <t>1.2.1.2</t>
  </si>
  <si>
    <t>Mejorar el Indicador  numérico del ISCE de la Básica Primaria</t>
  </si>
  <si>
    <t>Índice Sintético de Calidad Educativa
– ISCE Primaria</t>
  </si>
  <si>
    <t>1.2.1.2.1</t>
  </si>
  <si>
    <t>Instituciones Educativas Oficiales  Construidas</t>
  </si>
  <si>
    <t>Espacios pedagógicos Nuevos</t>
  </si>
  <si>
    <t xml:space="preserve">A.1.1.2.1 </t>
  </si>
  <si>
    <t>1.2.1.3</t>
  </si>
  <si>
    <t>Mejorar el Indicador  numérico del ISCE de la Básica Secundaria</t>
  </si>
  <si>
    <t>Índice Sintético de Calidad Educativa
– ISCE Secundaria</t>
  </si>
  <si>
    <t>1.2.1.3.1</t>
  </si>
  <si>
    <t xml:space="preserve"> Ampliación y mejoramiento de
la infraestructura educativa por Ley 21 de 1982 </t>
  </si>
  <si>
    <t>Espacios pedagógicos
mejorados</t>
  </si>
  <si>
    <t>1.2.1.4</t>
  </si>
  <si>
    <t>Mejorar el Indicador  numérico del ISCE de la Media</t>
  </si>
  <si>
    <t>Índice Sintético de Calidad Educativa
– ISCE Media.</t>
  </si>
  <si>
    <t>1.2.1.4.1</t>
  </si>
  <si>
    <t xml:space="preserve">Dotar  con  Mobiliario  Escalar a las Instituciones Educativas Técnicas Oficiales </t>
  </si>
  <si>
    <t>Establecimientos educativos con
dotación básica</t>
  </si>
  <si>
    <t>1.2.1.4.2</t>
  </si>
  <si>
    <t xml:space="preserve">Dotar  con  Material Didáctico y Dispositivos  Electrónicos a las Instituciones Educativas  Técnicas Oficiales </t>
  </si>
  <si>
    <t>Establecimiento educativo con
dotación especializada</t>
  </si>
  <si>
    <t xml:space="preserve">Aumentar el servicio  de  Asistencia Técnica en  Instituciones educativas oficiales
</t>
  </si>
  <si>
    <t>1.2.1.3.2</t>
  </si>
  <si>
    <t>Prestar Asistencias Técnicas   Instituciones  Educativas oficiales</t>
  </si>
  <si>
    <t>Asistencias técnicas a I.E. en
referentes técnicos de
Educación inicial, preescolar y
Bases curriculares</t>
  </si>
  <si>
    <t>Mejorar los Resultados de Prueba Saber  en las Instituciones Educativas Oficiales con la Intervención del PTA</t>
  </si>
  <si>
    <t>1.2.1.3.3</t>
  </si>
  <si>
    <t>Establecimientos Educativos  Oficiales Intervenidos con e l Programa Todos a Aprender  (PTA)</t>
  </si>
  <si>
    <t>Establecimientos Educativos
que mejoraron los resultados en
las Pruebas Saber (PTA)</t>
  </si>
  <si>
    <t xml:space="preserve">Establecimientos Educativos  oficiales que articulan la educación
media con programas de
formación complementaria a
través de alianzas con el Sena,
IES e IETDH </t>
  </si>
  <si>
    <t>1.2.1.4.3</t>
  </si>
  <si>
    <t xml:space="preserve">( Convenio con el SENA ) Instituciones  Educativas Técnicas Oficiales  Fortalecidas  a través del Programas de Educación para el Trabajo y el Desarrollo </t>
  </si>
  <si>
    <t>Establecimientos educativos
que articulan la educación
media con programas de
formación complementaria a
través de alianzas con el Sena,
IES e IETDH</t>
  </si>
  <si>
    <t xml:space="preserve"> Docentes y estudiantes  focalizados ,innovadores conociendo estrategias para generar el pensamiento crítico y creativo en el proceso de formación académica, ...</t>
  </si>
  <si>
    <t>1.2.1.3.4</t>
  </si>
  <si>
    <t xml:space="preserve"> Docentes y Estudiantes  focalizados empoderados con la innovación y la aplicación de  estrategias para generar el pensamiento crítico </t>
  </si>
  <si>
    <t>Establecimientos focalizados
con Estrategias para el
fortalecimiento de las culturas
de la innovación y pensamiento
crítico.</t>
  </si>
  <si>
    <t xml:space="preserve">Aplicación de los DBA basado en los  Lineamientos
Curriculares y los Estándares Básicos de
Competencias  (EBC)) </t>
  </si>
  <si>
    <t>1.2.1.3.5</t>
  </si>
  <si>
    <t>Establecimientos educativos
fortalecidos en estándares y Derechos Básicos de
Aprendizaje.</t>
  </si>
  <si>
    <t xml:space="preserve">Mejorar la Calidad Educativa con la implementación de un Observatorio  que responda a las necesidades Educativas  y sirva de Apoyo a la investigación  </t>
  </si>
  <si>
    <t>1.2.1.3.6</t>
  </si>
  <si>
    <t>Establecimiento Educativo Oficial que mejoran su Calidad Educativa</t>
  </si>
  <si>
    <t>Observatorios de Calidad
Educativa creados e
implementados.</t>
  </si>
  <si>
    <t>Implementar de manera prioritaria los Programas de Desarrollo con Enfoque Territorial (PDET) en la subregión Sur de Bolívar y Montes de María.</t>
  </si>
  <si>
    <t>1.2.1.4.4</t>
  </si>
  <si>
    <t>Instituciones Educativas Oficiales Rurales  que disminuyen las Brechas de desigualdad</t>
  </si>
  <si>
    <t>Municipios PDET aplicando
estrategias de cierre de brechas
en fortalecimiento de la
educación de emprendimiento y
desarrollo sostenible</t>
  </si>
  <si>
    <t>Ruta establecida como estrategia  para el mejoramiento continuo del Sistema Institucional de Evaluación de los Estudiantes (SIEE)</t>
  </si>
  <si>
    <t>1.2.1.2.2</t>
  </si>
  <si>
    <t>Instituciones Educativas Oficiales Evaluadas</t>
  </si>
  <si>
    <t>Establecimientos Educativos con
Acuerdos por la Excelencia del
día E</t>
  </si>
  <si>
    <t>Prestar Asistencias Técnicas   como estrategia pedagógicas para fortalecer  las diferentes dimensiones del ser
(lúdicas, recreativas y culturales)</t>
  </si>
  <si>
    <t>1.2.1.3.7</t>
  </si>
  <si>
    <t>Establecimientos Educativos Oficiales  Fortalecidos  en el desarrollo de las aptitudes de los  estudiantes como base de formación integral</t>
  </si>
  <si>
    <t>Establecimientos educativos con
asistencia técnica y apoyados en
actividades pedagógicas,
lúdicas, recreativas y culturales</t>
  </si>
  <si>
    <t>Docentes que mejoran sus competencias comunicativa en inglés nivel B2.</t>
  </si>
  <si>
    <t>1.2.1.3.8</t>
  </si>
  <si>
    <t>Docentes con alta calidad de Acreditación</t>
  </si>
  <si>
    <t>Docentes Capacitados y
certificados internacionalmente
en inglés nivel B2.</t>
  </si>
  <si>
    <t>Inclusión de niños,niñas y jóvenes al Sistema educativo
 con necesidades educativas especiales</t>
  </si>
  <si>
    <t>1.2.1.2.3</t>
  </si>
  <si>
    <t>Estudiantes con limitaciones  físicas, sensoriales, psíquicas, cognoscitivas, emocIonales o con capacidades  excepcionales Atendidos
'intelectuales excepcionales
'intelectuales excepcionales
'intelectuales excepcionales,Atentidos</t>
  </si>
  <si>
    <t>Estudiantes con necesidades
educativas especiales
atendidos.</t>
  </si>
  <si>
    <t>Estudiantes con  potencial  y talentos  excepcionales identificados</t>
  </si>
  <si>
    <t>1.2.1.2.4</t>
  </si>
  <si>
    <t>Estudiantes con  potencial  y talentos  excepcionales Atendidos</t>
  </si>
  <si>
    <t>Estudiantes con talentos
excepcionales atendidos</t>
  </si>
  <si>
    <t>Revisión y Retroalimentación de los proyectos Etnoeducativos como estrategia de desarrollo y sostenibilidad que responda a la preservación de sus costumbres, creencias  y tradiciones lingüísticas</t>
  </si>
  <si>
    <t>1.2.1.4.5</t>
  </si>
  <si>
    <t>Instituciones Etnoeducativas oficiales  Fortalecidas</t>
  </si>
  <si>
    <t>Instituciones educativas
focalizadas en su PEC como
etnoeducativas fortalecidos</t>
  </si>
  <si>
    <t>Identificar las necesidades  educativas  y caracterización de Directivos Docente y Docentes por medio de los Planes Territoriales de Formación Docente(PTFD)</t>
  </si>
  <si>
    <t>1.2.1.2.5</t>
  </si>
  <si>
    <t>Directivos Docentes y Docentes Formados  con alta calidad de Acreditación</t>
  </si>
  <si>
    <t>Docentes y directivos docentes
Vinculados a la planta educativa
en programas de alto nivel.</t>
  </si>
  <si>
    <t xml:space="preserve">Jóvenes  en el tránsito hacia la educación superior y/o con mejores  ofertas  laborales </t>
  </si>
  <si>
    <t>1.2.1.4.6</t>
  </si>
  <si>
    <t xml:space="preserve">Estudiantes graduados con doble titulación en la educación media </t>
  </si>
  <si>
    <t>Estudiantes de educación media
con doble titulación</t>
  </si>
  <si>
    <t>Establecer Convenio  o Alianzas con Entidades no Gubernamentales e Interadministrativas que contribuyan a cerrar las brechas de inequidad.,asimismo  tenga la idoneidad sobre el conjunto de conocimientos y de habilidades cognitivas, emocionales y comunicativas, estrategia que busca formar a los educadores en el desarrollo de competencias ciudadanas</t>
  </si>
  <si>
    <t>1.2.1.2.6</t>
  </si>
  <si>
    <t>Implementación de Convenio o Alianzas para el desarrollo de Competencias Ciudadanas</t>
  </si>
  <si>
    <t>Convenios implementados para
desarrollar programas de
fortalecimiento de
competencias en educación
para la paz, convivencia y
democracia</t>
  </si>
  <si>
    <t>1.2.2</t>
  </si>
  <si>
    <t>Bolívar primero en cobertura.</t>
  </si>
  <si>
    <t>1.2.2.1</t>
  </si>
  <si>
    <t>Mayor numero de niños, niñas y jovenes en edad escolar accedan al sistema publico educativo, con el objetivo de aumentar las tasas de cobertura neta.</t>
  </si>
  <si>
    <t>Tasa de Cobertura Neta</t>
  </si>
  <si>
    <t>86.53</t>
  </si>
  <si>
    <t>1.2.2.1.1</t>
  </si>
  <si>
    <t>Prestación del servicio educativo a niños, niñas y jovenes en edad escolar en los niveles de 0 a 13 Grado .</t>
  </si>
  <si>
    <t>Estudiantes que acceden a
la educación</t>
  </si>
  <si>
    <t>incremento</t>
  </si>
  <si>
    <t xml:space="preserve">A.1.1.2.2 </t>
  </si>
  <si>
    <t xml:space="preserve">Mayor numero de niños, niñas y jovenes de las zonas rurarles en edad escolar accedan al sistema publico educativo ,con el objetivo de aumentar las tasas de cobertura neta. </t>
  </si>
  <si>
    <t>1.2.2.1.2</t>
  </si>
  <si>
    <t>Prestación del servicio educativo a niños, niñas y jovenes en edad escolar   en los niveles de 0 a 13 Grado en la zona rural</t>
  </si>
  <si>
    <t>Estudiantes en zonas rurales
que acceden a la educación.</t>
  </si>
  <si>
    <t>1.2.2.2</t>
  </si>
  <si>
    <t>Mayor numero de personas accedan al ciclo de alfabetización, con el objetivo de disminuir la tasa de analfabetismo.</t>
  </si>
  <si>
    <t>Tasa de analfabetismo</t>
  </si>
  <si>
    <t>12.5</t>
  </si>
  <si>
    <t>11.5</t>
  </si>
  <si>
    <t>1.2.2.2.1</t>
  </si>
  <si>
    <t xml:space="preserve">Prestación del servicio educativo a jovenes y adultos en el ciclo de alfabetización </t>
  </si>
  <si>
    <t>Personas Adultas con
modelos de alfabetización.</t>
  </si>
  <si>
    <t>1.2.2.3</t>
  </si>
  <si>
    <t>Garantizar la  permanencia de niños, niñas y jovenes en el sistema publico educativo, para así disminuir la tasa de deserción.</t>
  </si>
  <si>
    <t>Tasas de deserción Global</t>
  </si>
  <si>
    <t>2.44</t>
  </si>
  <si>
    <t>2.00</t>
  </si>
  <si>
    <t>1.2.2.3.1</t>
  </si>
  <si>
    <t>Proveer de complementos alimentarios a estudientes en edad escolar</t>
  </si>
  <si>
    <t>Estudiantes atendidos por el
PAE diariamente-Bolívar</t>
  </si>
  <si>
    <t>Garantizar la  permanencia de niños, niñas y jovenes en el sistema publico educativo, para así disminuir la tasa de deserción escolar.</t>
  </si>
  <si>
    <t>1.2.2.3.2</t>
  </si>
  <si>
    <t>Diseñar e implementar una politica publica de alimentaciómn escolar en el Departamento de Bolívar</t>
  </si>
  <si>
    <t>Política departamental de
Alimentación Escolar</t>
  </si>
  <si>
    <t>1.2.2.3.3</t>
  </si>
  <si>
    <t>Fortalecer las residencias escolares en el sector educativo.</t>
  </si>
  <si>
    <t>Residencias escolares
Fortalecidas y Cualificadas en
el servicio educativo.</t>
  </si>
  <si>
    <t>1.2.2.3.4</t>
  </si>
  <si>
    <t>Atender al 100% de los estudiantes matriculados en el sistema publico educativo a traves de los seguros escolares y ARL</t>
  </si>
  <si>
    <t>Estudiantes cubiertos con
seguros escolares y ARL</t>
  </si>
  <si>
    <t>1.2.2.3.5</t>
  </si>
  <si>
    <t>Atender al 100% de los estudiantes matriculados en la modalidad tecnica  a traves  Aseguradora de Riesgos Laborales.</t>
  </si>
  <si>
    <t>Estudiantes cubiertos con
Aseguradora de Riesgos
Laborales</t>
  </si>
  <si>
    <t>1.2.3</t>
  </si>
  <si>
    <t>Bolívar primero en eficiencia y fortalecimiento institucional de la educación</t>
  </si>
  <si>
    <t>1.2.3.1</t>
  </si>
  <si>
    <t>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t>
  </si>
  <si>
    <t>Instituciones Educativas Promoviendo el
uso y acceso de las TIC en el sector
educativo.</t>
  </si>
  <si>
    <t>1.2.3.1.1</t>
  </si>
  <si>
    <t>Tener más cobertura con el acceso a internet para que los estudiantes, docentes puedan fortalecer el proceso de enseñanza y tener acceso a información educativa.</t>
  </si>
  <si>
    <t>Instituciones Educativas
accediendo a internet</t>
  </si>
  <si>
    <t xml:space="preserve">A.1.1.2.3 </t>
  </si>
  <si>
    <t>1.2.3.1.2</t>
  </si>
  <si>
    <t>Permitir a los docentes mantener una visión amplia de su disciplina, incorporar nuevas metodologías de trabajo e incluir las TIC en la práctica educativa para alcanzar el aprendizaje significativo.</t>
  </si>
  <si>
    <t>Nuevos docentes formados en
uso y apropiación de Tics</t>
  </si>
  <si>
    <t>A.1 .1.2.3</t>
  </si>
  <si>
    <t>1.2.3.1.3</t>
  </si>
  <si>
    <t>Estrategias para la construcción del conocimiento científico, capaces de conocer, comprender y transformar su propio desarrollo y su propio entorno social y cultural mediante la producción de conocimiento apoyado en las nuevas tecnologias.</t>
  </si>
  <si>
    <t>1.2.3.1.4</t>
  </si>
  <si>
    <t>Favorecer la participación de los estudiantes, docentes creando espacios dedicados al trabajo en común y el intercambio de información. Normalmente se hace a través de chats, foros, correos electrónicos, intercambio de ficheros, etc.).</t>
  </si>
  <si>
    <t>Establecimientos educativos
participando en proyectos
colaborativos en red de
conocimiento y la innovación.</t>
  </si>
  <si>
    <t>1.2.3.1.5</t>
  </si>
  <si>
    <t>Maximizar el uso de las herramientas digitales  en los procesos educativos, con el fin de volver más innovadoras los procrsos de aulas.</t>
  </si>
  <si>
    <t>Relación de estudiantes por
Terminales. = (equipos
tecnológicos por estudiante)</t>
  </si>
  <si>
    <t>1.2.3.1.6</t>
  </si>
  <si>
    <t>Herramienta que permite la gestión y publicación de los contenidos utilizados en las escuelas, donde los estudiantes, docentes, personal administrativo, padres de familia y actores educativos, pueden tener accesos a la información y se realiza seguimiento de los progresos del alumno durante el tiempo que dure la formación.</t>
  </si>
  <si>
    <t>Plataforma tecnológica para
seguimiento de la calidad
educativa.</t>
  </si>
  <si>
    <t>1.2.3.1.7</t>
  </si>
  <si>
    <t>identificar y administrar los diferfentes riesgos por el uso del internet, como  prevenirlos y los canales de comunciacions disponibles para atenderlos.</t>
  </si>
  <si>
    <t>Establecimientos educativos
participando en estrategia de
Identificación de riesgos
asociados al uso de las
tecnologías de la información y
las comunicaciones.</t>
  </si>
  <si>
    <t>1.2.3.1.8</t>
  </si>
  <si>
    <t>Fomentar la cultura científica de los estudiantes, no solo de comunicar sino también de despertar el amor por la Ciencia, las tecnologias e innovación y formar parte de esta.</t>
  </si>
  <si>
    <t>Ferias de innovación apropiadas
en los tics</t>
  </si>
  <si>
    <t>1.2.3.1.9</t>
  </si>
  <si>
    <t xml:space="preserve">Incorporar los medios como objeto de estudio, que enseñe a los alumnos a analizar crítica y reflexivamente los textos mediáticos, incorporar los medios en la escuela, lo que significa también integrar, revalorizar y resignificar la cultura cotidiana de los alumnos, en la que la radio, el periódico, la revista, el cine y la televisión ocupan un lugar fundamental. </t>
  </si>
  <si>
    <t>Establecimientos educativos
oficiales con dotación
especializada en dispositivos
tecnológicos y audiovisuales</t>
  </si>
  <si>
    <t>1.2.3.2</t>
  </si>
  <si>
    <t>Fortalecimiento del Sistema o Modelo de Gestión de la Secretaría de Educación de Bolívar</t>
  </si>
  <si>
    <t>Implementación del Modelo Integrado de
Planeación y Gestión (MIPG) en la Secretaría
de Educación de Bolívar Nivel Central</t>
  </si>
  <si>
    <t xml:space="preserve">1.2.3.2.1 </t>
  </si>
  <si>
    <t>Apropiación  del Modelo Estándar de Control Interno - MECI en todas las áreas de la SED, como herramienta que proporcione  orientación hacia el cumplimiento de objetivos institucionales.</t>
  </si>
  <si>
    <t>Fortalecimiento de las áreas de
Gestión de la Secretaría de
Educación de Bolívar en el marco
del Modelo Estándar de Control
Interno (MECI)</t>
  </si>
  <si>
    <t>1.2.3.3</t>
  </si>
  <si>
    <t>Seguimiento al manejo administrativo eficiente de las Instituciones Educativas que acceden a los Fondos de Servicios Educativos</t>
  </si>
  <si>
    <t>Seguimiento al manejo administrativo
eficiente de las Instituciones Educativas que
acceden a los Fondos de Servicios
Educativos</t>
  </si>
  <si>
    <t xml:space="preserve">1.2.3.3.1 </t>
  </si>
  <si>
    <t>Seguimiento anual sobre el manejo de sus recursos recibidos por gratuidad educativa</t>
  </si>
  <si>
    <t>Instituciones Educativas oficiales
en seguimiento anual sobre el
manejo de sus recursos recibidos
por gratuidad educativa</t>
  </si>
  <si>
    <t xml:space="preserve">A.1.2.3 </t>
  </si>
  <si>
    <t>1.2.3.3.2</t>
  </si>
  <si>
    <t xml:space="preserve">Seguimiento financiero </t>
  </si>
  <si>
    <t>Establecimientos Educativos
oficiales en seguimiento de
presentación de informes en
plataformas y métodos para tal
fin con asistencia técnica en la
ejecución de los recursos de
gratuidad y otros recibidos en el
Fondo de Servicios Educativos</t>
  </si>
  <si>
    <t>1.2.3.3.3</t>
  </si>
  <si>
    <t>Capacitación de rectores,
directores y administrativos de
las Instituciones Educativas, sea
virtual o presencial..</t>
  </si>
  <si>
    <t>Implementación del Plan Dptal de Bienestar Laboral con el fin de mejorar la calidad  vida de los servidores del sistema educativo generando espacio de integración,capacitación y acompañamiento a los servidores</t>
  </si>
  <si>
    <t>1.2.3.3.4</t>
  </si>
  <si>
    <t>Plan Dptal de Bienestar Laboral de la SED Implementados</t>
  </si>
  <si>
    <t>Plan departamental de bienestar
laboral de sed formulado y
ejecutado</t>
  </si>
  <si>
    <t>1.3</t>
  </si>
  <si>
    <t>Bolivar Primero en Salud</t>
  </si>
  <si>
    <t xml:space="preserve">1.3.1 </t>
  </si>
  <si>
    <t>Salud Ambiental</t>
  </si>
  <si>
    <t xml:space="preserve">1.3.1.1 </t>
  </si>
  <si>
    <t>Mantener la tasa de mortalidad por
EDA en 0,79 x 100.000 menores de
5 años</t>
  </si>
  <si>
    <t>0.79</t>
  </si>
  <si>
    <t xml:space="preserve">1.3.1.1.1 </t>
  </si>
  <si>
    <t>Porcentaje de establecimientos
de interés sanitario vigilados y
controlados cumpliendo con la
normatividad sanitaria vigente</t>
  </si>
  <si>
    <t>SALUD</t>
  </si>
  <si>
    <t>A.2</t>
  </si>
  <si>
    <t>0.80</t>
  </si>
  <si>
    <t>1.3.1.1.2</t>
  </si>
  <si>
    <t>Municipios vigilados en la
calidad del agua para consumo
humano</t>
  </si>
  <si>
    <t>0.81</t>
  </si>
  <si>
    <t>1.3.1.1.3</t>
  </si>
  <si>
    <t>Consejo territorial de Salud
ambiental funcionando con la
participación de todos los
actores</t>
  </si>
  <si>
    <t>NP</t>
  </si>
  <si>
    <t xml:space="preserve">1.3.1.2 </t>
  </si>
  <si>
    <t>Disminuir la tasa de mortalidad por
IRA a 15,42x 100.000 menores de 5
años</t>
  </si>
  <si>
    <t>15.76</t>
  </si>
  <si>
    <t xml:space="preserve">1.3.1.2.1 </t>
  </si>
  <si>
    <t>Municipios priorizados
caracterizados y capacitados
para el desarrollo de acciones de
promoción y prevención de la
contaminación del aire</t>
  </si>
  <si>
    <t>1.3.1.3</t>
  </si>
  <si>
    <t xml:space="preserve">Mantener la tasa de incidencia de
dengue en 112,52 por 100.000
habitantes o menos
</t>
  </si>
  <si>
    <t>112.52</t>
  </si>
  <si>
    <t>1.3.1.3.1</t>
  </si>
  <si>
    <t>Municipios priorizados
capacitados en acciones de
promoción y prevención en el
marco de la estrategia de
entornos saludables</t>
  </si>
  <si>
    <t>1.3.1.4</t>
  </si>
  <si>
    <t>Mantener la tasa de incidencia de
intoxicación por plaguicidas en 5,02
x 100.000 habitantes o menos</t>
  </si>
  <si>
    <t>5.02</t>
  </si>
  <si>
    <t>1.3.1.4.1</t>
  </si>
  <si>
    <t xml:space="preserve">Municipios caracterizados y
capacitados para el desarrollo de
acciones de promoción y
prevención de la contaminación
por sustancias químicas
</t>
  </si>
  <si>
    <t>1.3.2</t>
  </si>
  <si>
    <t>Vida Saludables y Condiciones no Transmisibles</t>
  </si>
  <si>
    <t>1.3.2.1</t>
  </si>
  <si>
    <t>Reducir a 43,20 por 100 mil
personas entre 30 y 70 años la tasa
de mortalidad prematura por
enfermedades del sistema
circulatorio</t>
  </si>
  <si>
    <t>46.58</t>
  </si>
  <si>
    <t>SD</t>
  </si>
  <si>
    <t>1.3.2.1.1</t>
  </si>
  <si>
    <t xml:space="preserve">Municipios con la estrategia
nacional Conoce tu riesgo peso
saludable, socializada e
implementada.
</t>
  </si>
  <si>
    <t>1.3.2.2</t>
  </si>
  <si>
    <t>Reducir a 6,18 por 100 mil
personas entre 30 y 70 años la tasa
de mortalidad prematura por
diabetes mellitus</t>
  </si>
  <si>
    <t>6.38</t>
  </si>
  <si>
    <t>1.3.2.2.1</t>
  </si>
  <si>
    <t>Prestadores de servicios de
salud públicos con ruta de
promoción y mantenimiento de
la salud para el componente de
cánceres priorizados
implementada</t>
  </si>
  <si>
    <t>1.3.2.3</t>
  </si>
  <si>
    <t>Disminuir a 1,0 el Índice COP
promedio a la edad de 12 años</t>
  </si>
  <si>
    <t>1.54</t>
  </si>
  <si>
    <t>2.8</t>
  </si>
  <si>
    <t>1.3.2.3.1</t>
  </si>
  <si>
    <t>Municipios con la estrategia
"Soy generación más sonriente",
adoptada</t>
  </si>
  <si>
    <t>1.3.2.4</t>
  </si>
  <si>
    <t>1.55</t>
  </si>
  <si>
    <t>2.9</t>
  </si>
  <si>
    <t>1.3.2.4.1</t>
  </si>
  <si>
    <t>Personal del sector salud
instruido en guías y protocolos
de prevención y manejo de
enfermedades crónicas no
transmisibles, alteraciones de la
salud bucal, visual y auditiva.</t>
  </si>
  <si>
    <t>1.3.2.5</t>
  </si>
  <si>
    <t xml:space="preserve">Mantener la tasa de mortalidad
ajustada por tumor maligno de
cuello uterino en 6,15 por 100.000
mujeres o menos
</t>
  </si>
  <si>
    <t>6.15</t>
  </si>
  <si>
    <t>1.3.2.5.1</t>
  </si>
  <si>
    <t>Municipios con la estrategia
nacional 4x4, ampliada e
implementada.</t>
  </si>
  <si>
    <t xml:space="preserve">Mantener la tasa de mortalidad
por leucemia aguda pediátrica
linfoide (menores de 15 años) en
1,63 por 100.000 menores de 15
años
</t>
  </si>
  <si>
    <t>1.63</t>
  </si>
  <si>
    <t>1.3.2.5.2</t>
  </si>
  <si>
    <t xml:space="preserve">Prestadores de servicios de
salud Públicos con el módulo de
cáncer infantil de la Estrategia
AIEPI para la detección
temprana del cáncer en
menores de 18 años
implementado </t>
  </si>
  <si>
    <t>1.3.3</t>
  </si>
  <si>
    <t xml:space="preserve">Convivencia Social y Salud Mental </t>
  </si>
  <si>
    <t>1.3.3.1</t>
  </si>
  <si>
    <t>Mantener la tasa de mortalidad
ajustada por lesiones
autoinfligidas intencionalmente
en 4,70 por 100.000 habitantes o
menos</t>
  </si>
  <si>
    <t>3.82</t>
  </si>
  <si>
    <t>1.3.3.1.1</t>
  </si>
  <si>
    <t xml:space="preserve">Municipios con política de
salud mental y consumo de
sustancias psicoactivas
adoptada y adaptada
</t>
  </si>
  <si>
    <t>1.3.3.2</t>
  </si>
  <si>
    <t>Reducir la tasa de incidencia de
violencia intrafamiliar a 19,80
por 100.000 habitantes</t>
  </si>
  <si>
    <t>20.17</t>
  </si>
  <si>
    <t>1.3.3.2.1</t>
  </si>
  <si>
    <t xml:space="preserve">ESE municipal con profesionales
de la salud y el área social
capacitados en guías y protocolos
asociados a la salud mental.
</t>
  </si>
  <si>
    <t>1.3.3.3</t>
  </si>
  <si>
    <t xml:space="preserve">Mantener la prevalencia de uso
en el último año de cualquier
sustancia ilícita en población
escolar en 4,8% o menos
</t>
  </si>
  <si>
    <t>4.8</t>
  </si>
  <si>
    <t>1.3.3.3.1</t>
  </si>
  <si>
    <t xml:space="preserve">  Municipios priorizados con
estrategias para la prevención del
consumo de sustancias
psicoactivas implementado.</t>
  </si>
  <si>
    <t>4.9</t>
  </si>
  <si>
    <t>1.3.3.3.2</t>
  </si>
  <si>
    <t xml:space="preserve">Municipios asistidos
técnicamente a través de
estrategia de tele-orientación
para la atención psicológica
integral en el marco de la
pandemia de covid-19
</t>
  </si>
  <si>
    <t>1.3.4</t>
  </si>
  <si>
    <t>Seguridad Alimentaria y Nutricional</t>
  </si>
  <si>
    <t>1.3.4.1</t>
  </si>
  <si>
    <t>Mantener el porcentaje de
nacidos vivos con bajo peso al
nacer en 7,4% o menos</t>
  </si>
  <si>
    <t>7.0</t>
  </si>
  <si>
    <t>7.4</t>
  </si>
  <si>
    <t>1.3.4.1.1</t>
  </si>
  <si>
    <t>Municipios con la Estrategia
Instituciones Amigas de la Mujer y
la Infancia (IAMI) y el método
madre canguro implementado y
certificado</t>
  </si>
  <si>
    <t>1.3.4.2</t>
  </si>
  <si>
    <t>Disminuir la tasa de
mortalidad por desnutrición
en menores de 5 años a 9,15
por 100.000 menores de 5
años</t>
  </si>
  <si>
    <t>12.60</t>
  </si>
  <si>
    <t>10.0</t>
  </si>
  <si>
    <t>1.3.4.2.1</t>
  </si>
  <si>
    <t xml:space="preserve">Municipios con Grupos
Participativos Locales (Redes,
Veedurías) con capacidades para la
promoción de la participación
social y comunitaria en la
formulación, ejecución, </t>
  </si>
  <si>
    <t>1.3.4.2.2</t>
  </si>
  <si>
    <t>Municipios con lineamientos y
rutas de seguridad alimentaria y
nutricional - SAN socializados e
implementados</t>
  </si>
  <si>
    <t>1.3.4.2.3</t>
  </si>
  <si>
    <t xml:space="preserve">Porcentaje de EAPB con
seguimiento en la disponibilidad y
capacidad resolutiva de la red de
prestadores de servicios para la
atención de la desnutrición en
población menor de 5 años y en las
gestantes.
</t>
  </si>
  <si>
    <t>1.3.4.3</t>
  </si>
  <si>
    <t>Mantener la prevalencia de
exceso de peso en niños y
niñas de 5 a 12 años en 20% o
menos</t>
  </si>
  <si>
    <t>18.7</t>
  </si>
  <si>
    <t>1.3.4.3.1</t>
  </si>
  <si>
    <t>Porcentaje de Instituciones
educativas públicas con la
estrategia tiendas escolares
saludables adoptada e
implementada.</t>
  </si>
  <si>
    <t>1.3.4.3.2</t>
  </si>
  <si>
    <t>Municipios con estrategia masiva
de desparasitación antihelmíntica
ejecutada.</t>
  </si>
  <si>
    <t>1.3.4.4</t>
  </si>
  <si>
    <t>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t>
  </si>
  <si>
    <t>1.3.4.4.1</t>
  </si>
  <si>
    <t>Municipios (cabeceras y
corregimientos) con tiendas y
supermercados con acciones de
IVC bajo el enfoque de riesgo
ejecutadas.</t>
  </si>
  <si>
    <t>1.3.4.4.2</t>
  </si>
  <si>
    <t>Municipios con acciones de IVC
para el transporte de alimentos
(puestos de control) bajo el
enfoque de riesgo ejecutadas</t>
  </si>
  <si>
    <t>1.3.4.4.3</t>
  </si>
  <si>
    <t>Municipios con acciones de IVC a
los establecimientos
gastronómicos bajo el enfoque
de riesgo ejecutadas.</t>
  </si>
  <si>
    <t>INCREMENTO</t>
  </si>
  <si>
    <t>1.3.5</t>
  </si>
  <si>
    <t>Sexualidad, Derechos Sexuales y Reproductivos</t>
  </si>
  <si>
    <t>1.3.5.1</t>
  </si>
  <si>
    <t>Mantener la razón de
mortalidad materna a 42 días
en 45,29 muertes por 100.000
nacidos vivos o menos</t>
  </si>
  <si>
    <t>41.58</t>
  </si>
  <si>
    <t>1.3.5.1.1</t>
  </si>
  <si>
    <t>Porcentaje de entidades
territoriales que cuenta con al
menos 1 espacio transectorial y
comunitario que coordinará la
promoción y garantía de los
derechos sexuales y
reproductivos</t>
  </si>
  <si>
    <t>MANTENIMIENTO</t>
  </si>
  <si>
    <t>1.3.5.3</t>
  </si>
  <si>
    <t>Disminuir el porcentaje de
embarazo adolescente de 15 a
19 años a 25% por nacidos
vivos</t>
  </si>
  <si>
    <t>26.34</t>
  </si>
  <si>
    <t>1.3.5.3.1</t>
  </si>
  <si>
    <t xml:space="preserve">Municipios con servicios
integrales en salud sexual y
reproductiva dirigidos a la
población de adolescentes y
jóvenes (12 a 28 años)
implementados
</t>
  </si>
  <si>
    <t>1.3.5.4</t>
  </si>
  <si>
    <t>Disminuir la tasa de
Fecundidad 10 a 14 Años a
2.11 nacidos vivos por cada
mil mujeres de 10 a 14 años</t>
  </si>
  <si>
    <t>3.87</t>
  </si>
  <si>
    <t xml:space="preserve">1.3.5.4.1 </t>
  </si>
  <si>
    <t>Municipios con la ruta de atención
integral a víctimas de la violencia
sexual establecida</t>
  </si>
  <si>
    <t>1.3.5.5</t>
  </si>
  <si>
    <t>Mantener la tasa de
incidencia de VIH notificado
en 14,45 por 100.000
habitantes o menos</t>
  </si>
  <si>
    <t>1.3.5.5.1</t>
  </si>
  <si>
    <t>45 Municipios asistidos y acompañados en la Estrategia para la prevención de las ITS-VIH/SIDA, funcionando de acuerdo con los criterios del Ministerio de Salud.</t>
  </si>
  <si>
    <t>1.3.5.6</t>
  </si>
  <si>
    <t xml:space="preserve">Mantener el porcentaje de
transmisión materno infantil
de VIH igual e inferior 2%
</t>
  </si>
  <si>
    <t>1.3.5.6.1</t>
  </si>
  <si>
    <t>45 Municipios asistidos y acompañados en la Estrategia para la prevención de transmisión materno-infantil del VIH, funcionando, de acuerdo con los criterios del Ministerio de Salud.</t>
  </si>
  <si>
    <t>1.3.5.7</t>
  </si>
  <si>
    <t>Disminuir la tasa de incidencia
de sífilis congénita a 1,0 por
1.000 nacidos vivos</t>
  </si>
  <si>
    <t>1.3.5.7.1</t>
  </si>
  <si>
    <t>45 Municipios asistidos y acompañados en la Estrategia para la prevención de transmisión materno-infantil de la sífilis gestacional, funcionando en 37 municipios</t>
  </si>
  <si>
    <t>1.3.6</t>
  </si>
  <si>
    <t>Vida Saludable y Enfermedades Gtransmisibles</t>
  </si>
  <si>
    <t>1.3.6.1</t>
  </si>
  <si>
    <t>Mantener la tasa de
mortalidad por tuberculosis
en 1,32 por 100.000
habitantes o menos</t>
  </si>
  <si>
    <t>1.32</t>
  </si>
  <si>
    <t>1.3.6.1.1</t>
  </si>
  <si>
    <t xml:space="preserve">Municipios con desarrollo de
capacidades para la
implementación del plan
estratégico “hacia el fin de la
tuberculosis” </t>
  </si>
  <si>
    <t>1.3.6.2</t>
  </si>
  <si>
    <t>Reducir la tasa de
discapacidad grado II por
Enfermedad de Hansen a 1,1
por 1.000.000 de habitantes</t>
  </si>
  <si>
    <t>1.8</t>
  </si>
  <si>
    <t>1.3.6.2.1</t>
  </si>
  <si>
    <t xml:space="preserve">Municipios con desarrollo de
capacidades para la
implementación del plan
estratégico de prevención y
control de la enfermedad de
Hansen </t>
  </si>
  <si>
    <t>1.3.6.3</t>
  </si>
  <si>
    <t>Aumentar las coberturas de
vacunación de los biológicos
que hacen parte del esquema
nacional a 95%</t>
  </si>
  <si>
    <t>1.3.6.3.1</t>
  </si>
  <si>
    <t>Municipios con capacidades
fortalecidas para el cumplimiento
de las normas técnicas y
lineamientos del programa
ampliado de inmunizaciones</t>
  </si>
  <si>
    <t>1.3.6.3.2</t>
  </si>
  <si>
    <t>Aseguradores con capacidades
desarrolladas para la ejecución de
planes de seguimiento del
programa ampliado de
inmunizaciones</t>
  </si>
  <si>
    <t>1.3.6.3.3</t>
  </si>
  <si>
    <t xml:space="preserve">Municipios con IPS vacunadoras
con capacidades fortalecidas para
la implementación del Sistema de
Información Nominal del PAI
</t>
  </si>
  <si>
    <t>1.3.6.3.4</t>
  </si>
  <si>
    <t>Red de frío departamental
adecuada para el
almacenamiento, conservación y
distribución de biológicos</t>
  </si>
  <si>
    <t>1.3.6.4</t>
  </si>
  <si>
    <t>Disminuir la letalidad por
dengue grave a 2%</t>
  </si>
  <si>
    <t>6.67</t>
  </si>
  <si>
    <t>1.3.6.4.1</t>
  </si>
  <si>
    <t>IPS Públicas con talento humano
capacitado para la atención con
calidad a pacientes con
Enfermedades trasmitidas por
vectores y zoonosis</t>
  </si>
  <si>
    <t>1.3.6.5</t>
  </si>
  <si>
    <t>Disminuir la letalidad por
Leishmaniasis a 13,4%</t>
  </si>
  <si>
    <t>16.67</t>
  </si>
  <si>
    <t>1.3.6.5.1</t>
  </si>
  <si>
    <t>Municipios con capacidades
desarrolladas para la
implementación de acciones
regulares para la prevención de
Enfermedades Transmitidas por
vectores y zoonosis</t>
  </si>
  <si>
    <t>1.3.6.6</t>
  </si>
  <si>
    <t>Mantener la letalidad por
Chagas en 0%</t>
  </si>
  <si>
    <t>1.3.6.6.1</t>
  </si>
  <si>
    <t xml:space="preserve">Municipios con capacidades
desarrolladas para la
implementación de la EGI ETV y
EGI ZOONOSIS orientadas a la
reducción de la carga Económica
social de la enfermedad </t>
  </si>
  <si>
    <t>1.3.6.7</t>
  </si>
  <si>
    <t xml:space="preserve">Mantener la tasa de
mortalidad por rabia en 0 por
100.000 habitantes
</t>
  </si>
  <si>
    <t>1.3.6.7.1</t>
  </si>
  <si>
    <t xml:space="preserve">Plan de eliminación de la rabia
humana transmitida por animales
de compañía y en el ciclo silvestre
que incluya esquema de vacuna
pre exposición a rabia en
poblaciones priorizadas
</t>
  </si>
  <si>
    <t>1.3.7</t>
  </si>
  <si>
    <t>Salud Publica en Emergencias y Desastres</t>
  </si>
  <si>
    <t xml:space="preserve">1.3.7.1 </t>
  </si>
  <si>
    <t>Aumentar hasta el 100% el
porcentaje de IPS públicas
de mediana complejidad
con índice de seguridad
hospitalario</t>
  </si>
  <si>
    <t xml:space="preserve">1.3.7.1.1 </t>
  </si>
  <si>
    <t>IPS pública con Planes
Hospitalarios de Gestión
Integral del Riesgo de Desastres
ajustado a Normatividad
vigente.</t>
  </si>
  <si>
    <t>1.3.7.1.2</t>
  </si>
  <si>
    <t xml:space="preserve">IPS con programa de Hospitales
seguros frente a desastres
revisado y evaluado.
</t>
  </si>
  <si>
    <t>1.3.7.1.3</t>
  </si>
  <si>
    <t>Centro Regulador de Urgencias y
Emergencias Departamental
funcionando en óptimas
condiciones y articulado con el
Distrito de Cartagena</t>
  </si>
  <si>
    <t>1.3.7.1.4</t>
  </si>
  <si>
    <t>Municipios priorizados con el
sistema de emergencias médico
reglamentado e implementado</t>
  </si>
  <si>
    <t>1.3.7.1.5</t>
  </si>
  <si>
    <t xml:space="preserve">Red de toxicología
departamental implementada </t>
  </si>
  <si>
    <t>1.3.8</t>
  </si>
  <si>
    <t>Salud y Ambito Laboral</t>
  </si>
  <si>
    <t>1.3.8.1</t>
  </si>
  <si>
    <t>Disminuir en 5,0% la tasa de
accidentalidad laboral</t>
  </si>
  <si>
    <t>5.2</t>
  </si>
  <si>
    <t>1.3.8.1.1</t>
  </si>
  <si>
    <t>Municipios con la normativa
para la afiliación de
trabajadores al SGRL
socializada.</t>
  </si>
  <si>
    <t>1.3.8.1.2</t>
  </si>
  <si>
    <t>Municipios con población
trabajadora informal
caracterizada.</t>
  </si>
  <si>
    <t>1.3.8.1.3</t>
  </si>
  <si>
    <t>Municipios con acciones de
promoción de la salud y
prevención de riesgos laborales
implementadas.</t>
  </si>
  <si>
    <t>1.3.8.1.4</t>
  </si>
  <si>
    <t xml:space="preserve">Municipios asistidos
técnicamente para la inclusión
de la dimensión de salud y
ámbito laboral en sus planes de
salud territorial
</t>
  </si>
  <si>
    <t>1.3.9</t>
  </si>
  <si>
    <t>Gestión Diferencial de las Poblaciones Vulnerables</t>
  </si>
  <si>
    <t>1.3.9.1</t>
  </si>
  <si>
    <t>Disminuir la tasa de mortalidad
infantil a 10,67 muertes por
1.000 nacidos vivos</t>
  </si>
  <si>
    <t>10.87</t>
  </si>
  <si>
    <t>1.3.9.1.1</t>
  </si>
  <si>
    <t>Municipios con la estrategia
Mil Primeros Días adoptada e
implementada</t>
  </si>
  <si>
    <t>1.3.9.1.2</t>
  </si>
  <si>
    <t xml:space="preserve">Municipios priorizados con
implementación y adopción del
proyecto “Pellízcate”
relacionado con la formación
de niñas, niños y adolescentes
como promotores de prácticas
claves de AIEPI
</t>
  </si>
  <si>
    <t>1.3.9.2</t>
  </si>
  <si>
    <t>Disminuir la tasa de mortalidad
en la niñez a 13,18 muertes por
1.000 nacidos vivos</t>
  </si>
  <si>
    <t>13.48</t>
  </si>
  <si>
    <t>1.3.9.2.1</t>
  </si>
  <si>
    <t>Municipios con planes de
mejoramiento producto de
mortalidades infantiles
integradas evaluados y
monitoreados</t>
  </si>
  <si>
    <t>1.3.9.2.2</t>
  </si>
  <si>
    <t>Municipios con la estrategia
AIEPI en el componente clínico,comunitario y organizacional
adoptada e implementada</t>
  </si>
  <si>
    <t>1.3.9.2.3</t>
  </si>
  <si>
    <t xml:space="preserve">Municipios asistidos en la
adopción e implementación de
la política pública de infancia y
adolescencia </t>
  </si>
  <si>
    <t>1.3.9.3</t>
  </si>
  <si>
    <t>Mantener el porcentaje de adultos mayores con atención integral y el cuidado en salud
con enfoque diferencial en el 60%</t>
  </si>
  <si>
    <t>1.3.9.3.1</t>
  </si>
  <si>
    <t>Municipios con rutas integrales
adoptadas y monitoreadas para
la gestión de la política de
envejecimiento y vejez.</t>
  </si>
  <si>
    <t>1.3.9.3.2</t>
  </si>
  <si>
    <t>Municipios implementado
políticas de humanización en
servicios de salud a los adultos
mayores</t>
  </si>
  <si>
    <t>1.3.9.3.3</t>
  </si>
  <si>
    <t>Municipios con Centros Día y
Centros de bienestar para las
personas adultas mayores con
atención integral, funcionando
según la normatividad vigente</t>
  </si>
  <si>
    <t>1.3.9.3.4</t>
  </si>
  <si>
    <t>Municipios con un modelo de
envejecimiento humano activo y
saludable para personas adultas
mayores, implementado y
monitoreado</t>
  </si>
  <si>
    <t>1.3.9.3.5</t>
  </si>
  <si>
    <t>Municipios con acciones de
promoción y de prevención del
envejecimiento humano activo
articuladas en los espacios
educativos dirigidos a la
infancia, adolescencia, juventud
y adultez</t>
  </si>
  <si>
    <t>1.3.9.4</t>
  </si>
  <si>
    <t xml:space="preserve">Mantener la cobertura de atención integral a las víctimas de violencia de género y violencias sexuales en el 40%
</t>
  </si>
  <si>
    <t>1.3.9.4.1</t>
  </si>
  <si>
    <t>Consolidación de la base de
datos de mujeres violentadas
en el marco del conflicto
armado</t>
  </si>
  <si>
    <t>1.3.9.4.2</t>
  </si>
  <si>
    <t>Entidades Territoriales
cumpliendo los estándares de
evaluación para la operación
de red de servicios de
atención integral a víctimas de
violencias de género y
violencias sexuales.</t>
  </si>
  <si>
    <t>1.3.9.5</t>
  </si>
  <si>
    <t xml:space="preserve">Lograr un 50% de cobertura departamental en la atención psicosocial a la población indígena en el marco del lineamiento de enfoque
diferencial cultural </t>
  </si>
  <si>
    <t>1.3.9.5.1</t>
  </si>
  <si>
    <t xml:space="preserve">Municipios con
asentamientos indígenas con
acciones de promoción,
prevención y atención en
salud diferencial 
</t>
  </si>
  <si>
    <t>1.3.9.6</t>
  </si>
  <si>
    <t>Mantener el porcentaje de personas con discapacidad en atención integral en salud con enfoque diferencial en 25%</t>
  </si>
  <si>
    <t>1.3.9.6.1</t>
  </si>
  <si>
    <t>Porcentaje de personas con
discapacidad certificadas e
incluidas en el Registro para la
Localización y Caracterización
de Personas con Discapacidad
RLCPD.</t>
  </si>
  <si>
    <t>1.3.9.6.2</t>
  </si>
  <si>
    <t>Municipios con Estrategia de
Rehabilitación Basada en
Comunidad implementada y
Evaluada.</t>
  </si>
  <si>
    <t>1.3.9.6.3</t>
  </si>
  <si>
    <t>Municipios con lineamientos
de Rehabilitación FuncionalRHBF, y Rehabilitación Integral
– RHI articulados
intersectorialmente.</t>
  </si>
  <si>
    <t>1.3.9.6.4</t>
  </si>
  <si>
    <t>Personas acceso a los
productos de apoyo en el
marco de la rehabilitación
funcional excluidos del POS.</t>
  </si>
  <si>
    <t>1.3.9.6.5</t>
  </si>
  <si>
    <t>Municipios implementando
protocolos de humanización en
servicios de salud y atención inclusiva para las personas con
discapacidad</t>
  </si>
  <si>
    <t>1.3.9.7</t>
  </si>
  <si>
    <t>Mantener el 56% de cobertura
de atención psicosocial
integral a las víctimas del
conflicto armado</t>
  </si>
  <si>
    <t>1.3.9.7.1</t>
  </si>
  <si>
    <t xml:space="preserve">Municipios con Programa de
Atención Psicosocial y Salud
Integral a Víctimas del conflicto
armado </t>
  </si>
  <si>
    <t>Mantener el 56% de cobertura de atención psicosocial integral a las víctimas del conflicto armado</t>
  </si>
  <si>
    <t>1.3.9.7.2</t>
  </si>
  <si>
    <t>Acciones en salud, ordenadas por la Corte Constitucional, sentencias, tribunales y fallos, a favor de población con Planes de Reparación Colectiva (PRC) y Retornos voluntarios,
garantizados</t>
  </si>
  <si>
    <t>Acciones en salud, ordenadas
por la Corte Constitucional,
sentencias, tribunales y fallos, a
favor de población con Planes
de Reparación Colectiva (PRC) y
Retornos voluntarios,
garantizados</t>
  </si>
  <si>
    <t>1.3.9.7.3</t>
  </si>
  <si>
    <t>Municipios con programa
departamental de educación y
formación a líderes y población
general víctima del conflicto
armado para promoción de la
salud y gestión del riesgo con
énfasis en derechos humanos y
derecho internacional
humanitario, diseñado e
Implementado.</t>
  </si>
  <si>
    <t>1.3.9.8</t>
  </si>
  <si>
    <t>Mantener el 100% Cobertura
de atención integral con
enfoque diferencial a la
población reinsertada</t>
  </si>
  <si>
    <t>1.3.9.8.1</t>
  </si>
  <si>
    <t>Municipios priorizados
asistidos técnicamente con
acciones de salud para la
atención integral de la
población excombatiente</t>
  </si>
  <si>
    <t>1.3.10</t>
  </si>
  <si>
    <t>Fortalecimiento de la Autoridad Sanitaria en Salud</t>
  </si>
  <si>
    <t>1.3.10.1</t>
  </si>
  <si>
    <t>Implementar en un 100% el
plan de gestión del conocimiento y sistemas de
información en salud</t>
  </si>
  <si>
    <t>1.3.10.1.1</t>
  </si>
  <si>
    <t>Municipios con capacidades
fortalecidas en sistema de
información y gestión del
conocimiento en salud.</t>
  </si>
  <si>
    <t xml:space="preserve">Implementar en un 100%
el plan de desarrollo de
capacidades para el
fortalecimiento de los
procesos de gestión de la
salud pública
</t>
  </si>
  <si>
    <t>1.3.10.1.2</t>
  </si>
  <si>
    <t xml:space="preserve">Municipios con capacidades
desarrolladas para la ejecución
de los procesos de gestión de la
salud pública en el marco de la
política de atención integral en
salud
</t>
  </si>
  <si>
    <t>Implementar en un 100% el
plan de acción de
participación social en
salud</t>
  </si>
  <si>
    <t>1.3.10.1.3</t>
  </si>
  <si>
    <t>Municipios con planes de
acción de participación
social en salud
implementados</t>
  </si>
  <si>
    <t>Lograr un índice de
desempeño de la gestión
integral en salud Igual o
Mayor a 80%</t>
  </si>
  <si>
    <t>Dato no
disponible
aún en
SME
MinSalud</t>
  </si>
  <si>
    <t xml:space="preserve">Municipios con capacidades
fortalecidas para la planeación
integral en salud
</t>
  </si>
  <si>
    <t>Porcentaje de proyectos de
inversión en salud formulados
y aprobados según
normatividad vigente y
articulado con las metas del
Plan de Desarrollo y el Plan
Territorial de Salud</t>
  </si>
  <si>
    <t>Porcentaje de planes
bianuales de inversión en
salud revisados y
monitoreados</t>
  </si>
  <si>
    <t xml:space="preserve">Porcentaje de seguimiento de
la evaluación financiera y
técnica de los proyectos de
inversión en salud radicados
en el banco de proyectos de la
Entidad Territorial
</t>
  </si>
  <si>
    <t>Mantener en un 100% la
formulación, monitoreo y
evaluación de las
intervenciones colectivas
de la promoción de la salud
y gestión del riesgo
dirigidas a grupos
poblacionales a lo largo del
curso de la vida conforme a
las características de
calidad definidas para las
mismas.</t>
  </si>
  <si>
    <t>Municipios asistidos
técnicamente, monitoreados y
evaluados en relación con la
ejecución técnica, financiera y
administrativa de los planes de
salud pública de intervenciones
colectivas.</t>
  </si>
  <si>
    <t>Plan de salud pública e
intervenciones colectivas
departamental, formulado,
implementado, monitoreado y
evaluado</t>
  </si>
  <si>
    <t>Estrategia de Información
Educación y comunicación
implementada en 45 municipios
para el manejo de IRA e IRA
asociado a Covid -19</t>
  </si>
  <si>
    <t>Mantener en 96% o más el
cumplimiento de la
Notificación de los Eventos
de Interés en Salud Pública</t>
  </si>
  <si>
    <t>Municipios con desarrollo de
capacidades para el
fortalecimiento de la vigilancia
en salud pública</t>
  </si>
  <si>
    <t xml:space="preserve">Nuevos operadores
caracterizados y capacitados en
el Sistema de Vigilancia en Salud
Pública SIVIGILA </t>
  </si>
  <si>
    <t>Mantener en 96% o más el cumplimiento de la
Notificación de los Eventos de Interés en Salud Pública</t>
  </si>
  <si>
    <t xml:space="preserve">Análisis de las muertes por
eventos de interés en salud
pública ejecutados </t>
  </si>
  <si>
    <t>Laboratorios de la Red
departamental con acciones de
vigilancia implementadas con
calidad y en articulación con
otras redes de vigilancia
sanitaria</t>
  </si>
  <si>
    <t>Laboratorio departamental de
salud Pública con capacidad
resolutiva dotado y adecuado
para eventos de interés en salud
público y aliado con el
laboratorio de la Universidad de Cartagena para el manejo de la
emergencia por la pandemia IRA
asociado a covid-19</t>
  </si>
  <si>
    <t xml:space="preserve">Aumentar la cobertura de aseguramiento en salud en el departamento a 98.1% </t>
  </si>
  <si>
    <t>Aumentar la cobertura de
aseguramiento en salud en
el departamento a 98.1%</t>
  </si>
  <si>
    <t>98.1</t>
  </si>
  <si>
    <t>Sostenibilidad del Régimen Subsidiado en Salud.</t>
  </si>
  <si>
    <t>Municipios beneficiados con acciones de desarrollo de capacidades para la gestión eficiente del régimen subsidiado en salud</t>
  </si>
  <si>
    <t>Base de Datos Única de Afiliados depurada.</t>
  </si>
  <si>
    <t>Aumentar a 45 el número
de secretarías locales de
Salud con intervenciones
de protección específica,
detección temprana y
acciones de atención
integral de eventos de
interés en salud pública
monitoreadas y evaluadas</t>
  </si>
  <si>
    <t xml:space="preserve">Proyecto de expansión
hospitalaria para la atención en
la emergencia sanitaria covid19 formulado y ejecutado </t>
  </si>
  <si>
    <t>A.4</t>
  </si>
  <si>
    <t>Incrementar el número de
aseguradores con redes integrales de servicios de
salud de servicios de salud
con modelo de atención en
salud basado en la
Estrategia de Atención
Primaria en salud
implementado 8</t>
  </si>
  <si>
    <t>Empresas Sociales del Estado
asesoradas en la
implementación centros de
costos por servicio y
optimización de procesos
contables y financieros.</t>
  </si>
  <si>
    <t>Servicios de telemedicina implementados en municipios priorizados.</t>
  </si>
  <si>
    <t xml:space="preserve">Plan de mejoramiento de
infraestructura y dotación
hospitalaria avalado según
documento red de prestación
de servicios y plan bienal de
inversiones departamental,
formulado y ejecutado.
</t>
  </si>
  <si>
    <t>Plan de dotación de
ambulancias a Empresas
Sociales del Estado ejecutado</t>
  </si>
  <si>
    <t>Mantener la cobertura de
Inspección Vigilancia y
control en un 100%</t>
  </si>
  <si>
    <t>Cumplimiento del plan de visitas
programado de acuerdo a los
componentes definidos en el
Sistema Obligatorio de Garantía de
la Calidad</t>
  </si>
  <si>
    <t>Cobertura de Acciones de
Inspección, Vigilancia y Control al
Flujo de recursos programados</t>
  </si>
  <si>
    <t xml:space="preserve">Municipios operando
Satisfactoriamente al menos tres
mecanismos de participación
Social
</t>
  </si>
  <si>
    <t>Ranking de municipios certificados</t>
  </si>
  <si>
    <t>Municipios con metodología
GAUDI, implementada para la
auditoría del régimen subsidiado</t>
  </si>
  <si>
    <t>A.5</t>
  </si>
  <si>
    <t>1.4</t>
  </si>
  <si>
    <t>Hábitat</t>
  </si>
  <si>
    <t>1.4.1</t>
  </si>
  <si>
    <t>Primero la vivienda</t>
  </si>
  <si>
    <t>Deficit habitacional en el departamento de Bolívar</t>
  </si>
  <si>
    <t>Reducir en 2 puntos porcentuales el déficit habitacional en el Departamento de Bolívar en el marco de las políticas y programas nacionales de vivienda.</t>
  </si>
  <si>
    <t>Viviendas nuevas Iniciadas con el propósito de reducir del déficit cuantitativo.</t>
  </si>
  <si>
    <t>Disminución</t>
  </si>
  <si>
    <t>Títulos de predios fiscales entregados a los hogares ocupantes con vivienda.</t>
  </si>
  <si>
    <t>1.4.2</t>
  </si>
  <si>
    <t>Primero el Agua</t>
  </si>
  <si>
    <t>Aumentar a 90% la cobertura de agua potable en zona urbana en el departamento de Bolívar.</t>
  </si>
  <si>
    <t>Construir y/o rehabilitar 9 acueductos en zona urbana del departamento de Bolívar</t>
  </si>
  <si>
    <t xml:space="preserve">AGUA POTABLE Y SANEAMIENTO BASICO </t>
  </si>
  <si>
    <t>A.3</t>
  </si>
  <si>
    <t>Aumentar a 50% la cobertura del servicio de agua en zona rural.</t>
  </si>
  <si>
    <t>Construir y/o rehabilitar 25 acueductos en zona rural del departamento de Bolívar</t>
  </si>
  <si>
    <t>Aumentar a 40% la cobertura del servicio de alcantarillado en zona urbana del departamento de Bolívar.</t>
  </si>
  <si>
    <t>Construir y/o rehabilitar 5 alcantarillados en zona urbana del departamento de Bolívar</t>
  </si>
  <si>
    <t>Aumentar en 85% la cobertura de aseo  en zona urbana del departamento de Bolívar.</t>
  </si>
  <si>
    <t>Construir y/o rehabilitar un (1) sistema regional de aseo en zona urbana del departamento de Bolívar.</t>
  </si>
  <si>
    <t>Aumentar a 100% de los municipios del departamento de Bolívar la asistencia técnica para disminuir promedio IRCA.</t>
  </si>
  <si>
    <t xml:space="preserve">Asistir técnicamente a los 45 municipios vinculados al PDA Bolívar </t>
  </si>
  <si>
    <t>Aumentar en 3 horas (a 18 h/día) el promedio de continuidad del servicio de agua potable en zona urbana del departamento de Bolívar</t>
  </si>
  <si>
    <t>Asistir técnicamente a los 45 municipios del departamento de Bolivar para aumentar el promedio de continuidad del servicio de agua  potable en zona urbana.</t>
  </si>
  <si>
    <t>1.5</t>
  </si>
  <si>
    <t>Bolívar Primero en Recreacion y Deportes</t>
  </si>
  <si>
    <t>1.5.1</t>
  </si>
  <si>
    <t>Infraestructura Deportiva</t>
  </si>
  <si>
    <t>Escenarios deportivos y recreativos en óptimas condiciones.</t>
  </si>
  <si>
    <t>% Escenarios deportivos y recreativos en óptimas condiciones.</t>
  </si>
  <si>
    <t>Escenarios deportivos recreativos  construidos</t>
  </si>
  <si>
    <t>No. Escenarios deportivos recreativos  construidos</t>
  </si>
  <si>
    <t>Deporte y Recreación</t>
  </si>
  <si>
    <t>Salud  y Bienestar</t>
  </si>
  <si>
    <t>Escenarios deportivos recreativos mantenidos, reparados y adecuados.</t>
  </si>
  <si>
    <t>No. de escenarios deportivos recreativos mantenidos, reparados y adecuados.</t>
  </si>
  <si>
    <t>Mantenimiento escenario deportivo recreativo.</t>
  </si>
  <si>
    <t>Parques infantiles construidos.</t>
  </si>
  <si>
    <t>No. de parques infantiles construidos.</t>
  </si>
  <si>
    <t>Parques infantiles mantenidos, reparados y adecuados.</t>
  </si>
  <si>
    <t>No. de parques infantiles mantenidos, reparados y adecuados.</t>
  </si>
  <si>
    <t>1.5.2</t>
  </si>
  <si>
    <t>Altos logros y liderazgo deportivo Bolívar en los juegos nacionales 2023</t>
  </si>
  <si>
    <t>Mantener el 4° lugar en los Juegos Deportivos Nacionales 2023</t>
  </si>
  <si>
    <t>Deportistas apoyados de Altos Logros</t>
  </si>
  <si>
    <t>No.  De  Deportistas apoyados de Altos Logros</t>
  </si>
  <si>
    <t>Medallas en eventos Internacionales del Ciclo Olimpico</t>
  </si>
  <si>
    <t>No. de Medallas en eventos Internacionales del Ciclo Olimpico</t>
  </si>
  <si>
    <t>Medallas de Oro Juegos Nacionales</t>
  </si>
  <si>
    <t>No. de Medallas de Oro Juegos Nacionales</t>
  </si>
  <si>
    <t>Medallas de Oro Juegos Paranacionales</t>
  </si>
  <si>
    <t>No. de Medallas de Oro Juegos Paranacionales</t>
  </si>
  <si>
    <t xml:space="preserve">1)Desarrollo de 7 Zodes deportivos. (Desarrollo, Preparación y participación del deporte de alto rendimiento del Departamento de Bolívar) .                      2)Fomento, formación y fortalecimiento  Deportivo.                               </t>
  </si>
  <si>
    <t>Deportistas en selecciones Colombia del Ciclo Olimpico</t>
  </si>
  <si>
    <t>No. de Deportistas en selecciones Colombia del Ciclo Olimpico</t>
  </si>
  <si>
    <t>IDERBOL</t>
  </si>
  <si>
    <t>Deportistas Talento y Reserva Deportiva</t>
  </si>
  <si>
    <t>No. de Deportistas Talento y Reserva Deportiva</t>
  </si>
  <si>
    <t>Estructura de Planificación Tecno-metodológica del Entrenamiento a las Ligas Deportivas</t>
  </si>
  <si>
    <t>Profesionales de Ciencias Aplicadas contratados</t>
  </si>
  <si>
    <t>No. de Profesionales de Ciencias Aplicadas contratados</t>
  </si>
  <si>
    <t>Entrenadores Contratados</t>
  </si>
  <si>
    <t>No. de Entrenadores Contratados</t>
  </si>
  <si>
    <t>Monitores para los talentos y reserva deportiva contratados</t>
  </si>
  <si>
    <t>No. de Monitores para los talentos y reserva deportiva contratados</t>
  </si>
  <si>
    <t>Metodólogos contratados</t>
  </si>
  <si>
    <t>No. de Metodólogos contratados</t>
  </si>
  <si>
    <t>Apoyo a Ligas Deportivas</t>
  </si>
  <si>
    <t>No. de Apoyo a Ligas Deportivas</t>
  </si>
  <si>
    <t>Capacitaciones realizadas</t>
  </si>
  <si>
    <t>No. de Capacitaciones realizadas</t>
  </si>
  <si>
    <t>1.5.3</t>
  </si>
  <si>
    <t>Deporte formativo escuelas para todos  y  Deporte formativo supérate Intercolegiados</t>
  </si>
  <si>
    <t>Cobertura Departamental de municipios en Escuelas de Fomación Deportivas</t>
  </si>
  <si>
    <t>%  de Cobertura Departamental de municipios en Escuelas de Formación Deportivas.</t>
  </si>
  <si>
    <t>Actividades de formación anualmente para la práctica del deporte.</t>
  </si>
  <si>
    <t>No. de Actividades de formación anualmente para la práctica del deporte.</t>
  </si>
  <si>
    <t>Escuelas Deportivas para Todos</t>
  </si>
  <si>
    <t>Niños y jóvenes beneficiados de la práctica de formación deportiva.</t>
  </si>
  <si>
    <t>No. de Niños y jóvenes beneficiados de la práctica de formación deportiva.</t>
  </si>
  <si>
    <t>Instituciones Educativas participando en los Juegos Supérate Intercolegiados</t>
  </si>
  <si>
    <t>No. de Instituciones Educativas participando en los Juegos Supérate Intercolegiados</t>
  </si>
  <si>
    <t>Juegos Supérate en sus diferentes fases: Intramural, municipal, zodal y final Departamental.</t>
  </si>
  <si>
    <t>No. de Juegos Supérate en sus diferentes fases: Intramural, municipal, zodal y final Departamental.</t>
  </si>
  <si>
    <t>Programa Juegos Intercolegiados</t>
  </si>
  <si>
    <t>Niños y jóvenes en los Juegos Supérate Intercolegiados</t>
  </si>
  <si>
    <t>No. de Niños y jóvenes en los Juegos Supérate Intercolegiados</t>
  </si>
  <si>
    <t>1.5.4</t>
  </si>
  <si>
    <t>Deporte social Comunitario</t>
  </si>
  <si>
    <t>Cobertura Departamental de los municipios para la implementación de prácticas deportivas y sus diferentes manifestaciones.</t>
  </si>
  <si>
    <t>% Cobertura Departamental de los municipios para la implementación de prácticas deportivas y sus diferentes manifestaciones.</t>
  </si>
  <si>
    <t>Actividades encaminadas a la práctica deportiva y al aprovechamiento del tiempo libre de manera regular con grupos focalizados.</t>
  </si>
  <si>
    <t>No. de Actividades encaminadas a la práctica deportiva y al aprovechamiento del tiempo libre de manera regular con grupos focalizados.</t>
  </si>
  <si>
    <t>Deporte Social Comunitario</t>
  </si>
  <si>
    <t>Campeonatos Deportivos realizados.</t>
  </si>
  <si>
    <t>No. de Campeonatos Deportivos realizados.</t>
  </si>
  <si>
    <t>Capacitaciones "El Deporte Social Comunitario como Herramienta de Inclusión Social y Construcción de Valores"</t>
  </si>
  <si>
    <t>No. de Capacitaciones "El Deporte Social Comunitario como Herramienta de Inclusión Social y Construcción de Valores"</t>
  </si>
  <si>
    <t>1.5.5</t>
  </si>
  <si>
    <t>Las escuelas recreativas…un espacio lúdico del Bolívar primero</t>
  </si>
  <si>
    <t>Cobertura Departamental por municipios en la implementación de actividades recreativas y lúdicas por Iderbol</t>
  </si>
  <si>
    <t>% Cobertura Departamental por municipios en la implementación de actividades recreativas y lúdicas por Iderbol</t>
  </si>
  <si>
    <t>Realización  de campamentos Juveniles.</t>
  </si>
  <si>
    <t>No. de campamentos Juveniles realizados.</t>
  </si>
  <si>
    <t>Las Escuelas Recreativas …Un espacio  lúdico del Bolívar Primero</t>
  </si>
  <si>
    <t>Beneficiados en Campamentos Juveniles con la estrategia de construcción de valores.</t>
  </si>
  <si>
    <t>No. de Beneficiados en Campamentos Juveniles con la estrategia de construcción de valores.</t>
  </si>
  <si>
    <t>Beneficiados en niños y niñas en primera infancia, niños  y niñas entre 6 y 12 años y personas mayores, en el desarrollo de actividades lúdico recreativas por procesos.</t>
  </si>
  <si>
    <t>No. de Beneficiados en niños y niñas en primera infancia, niños  y niñas entre 6 y 12 años y personas mayores, en el desarrollo de actividades lúdico recreativas por procesos.</t>
  </si>
  <si>
    <t>Actividades encaminadas a las actividades lúdicas y recreativas de manera regular con grupos focalizados.</t>
  </si>
  <si>
    <t>No. de Actividades encaminadas a las actividades lúdicas y recreativas de manera regular con grupos focalizados.</t>
  </si>
  <si>
    <t>Festivales recreativos.</t>
  </si>
  <si>
    <t>No. de Festivales recreativos realizados.</t>
  </si>
  <si>
    <t>Capacitaciones del Plan Nacional de Recreación.</t>
  </si>
  <si>
    <t>No. de Capacitaciones del Plan Nacional de Recreación realizadas.</t>
  </si>
  <si>
    <t>1.5.6</t>
  </si>
  <si>
    <t>Hábitos y estilos de vida saludable “Bolívar primero…por tú salud ponte pilas</t>
  </si>
  <si>
    <t>Cobertura Departamental de municipios atendidos realizando actividad física dirigida musicalizada.</t>
  </si>
  <si>
    <t>% de Cobertura Departamental de municipios atendidos realizando actividad física dirigida musicalizada.</t>
  </si>
  <si>
    <t>Organizar grupos para la práctica regular de actividad física y promoción de Hábitos Saludables en los municipios impactados en el Departamento de Bolívar.</t>
  </si>
  <si>
    <t>No. de  grupos para la práctica regular de actividad física y promoción de Hábitos Saludables en los municipios impactados en el Departamento de Bolívar.</t>
  </si>
  <si>
    <t>Hábitos y Estilos de Vida Saludable "Bolívar Primero…por Tú Salud ponte pilas"</t>
  </si>
  <si>
    <t xml:space="preserve">Eventos masivos para la promoción de Hábitos y Estilos de Vida Saludable de manera presencial y a través de plataformas virtuales </t>
  </si>
  <si>
    <t xml:space="preserve">No. de eventos masivos  realizados para la promoción de Hábitos y Estilos de Vida Saludable de manera presencial y a través de plataformas virtuales </t>
  </si>
  <si>
    <t>Eventos de celebración del Día Mundial de la Actividad Física.</t>
  </si>
  <si>
    <t>No. de eventos realizados de celebración del Día Mundial de la Actividad Física.</t>
  </si>
  <si>
    <t>Carreras Atléticas 5K. Por la salud.</t>
  </si>
  <si>
    <t>No. de Carreras Atléticas 5K.  realizadas por la salud.</t>
  </si>
  <si>
    <t>Actividades de capacitación en promoción de HEVS y Actividad física musicalizada dirigida.</t>
  </si>
  <si>
    <t>No. de Actividades de capacitación realizadas  en promoción de HEVS y Actividad física musicalizada dirigida.</t>
  </si>
  <si>
    <t>Personas beneficiadas anualmente con el programa Departamental de Hábitos y Estilos de vida saludable,  en actividades de promocion de práctica de actividad física,  alimentacion saludable  y proteccion de espacios 100% libres de humo de tabaco.</t>
  </si>
  <si>
    <t>No. Personas beneficiadas anualmente con el programa Departamental de Hábitos y Estilos de vida saludable,  en actividades de promocion de práctica de actividad física,  alimentacion saludable  y proteccion de espacios 100% libres de humo de tabaco.</t>
  </si>
  <si>
    <t>1.6</t>
  </si>
  <si>
    <t>Bolívar Promueve el Ate, la Cultura y Salvaguarda su Patrimonio</t>
  </si>
  <si>
    <t>1.6.1</t>
  </si>
  <si>
    <t>Bolívar primero en arte y patrimonio</t>
  </si>
  <si>
    <t>Fortalecimiento a los procesos de formación artística y cultural en los municipios</t>
  </si>
  <si>
    <t xml:space="preserve">Numero de municipios con procesos de formación artistica y cultural fortalecidos </t>
  </si>
  <si>
    <t xml:space="preserve">Municipios fortalecidos </t>
  </si>
  <si>
    <t xml:space="preserve">Porcentaje de implementación del programa de cultura en movimiento </t>
  </si>
  <si>
    <t>Cultura</t>
  </si>
  <si>
    <t>ICULTUR</t>
  </si>
  <si>
    <t>Divulgación, publicación y salvaguarda del Patrimonio Cultural</t>
  </si>
  <si>
    <t>Número de estrategias de divulgación, publicación y salvaguarda del patrimonio cultural implementadas</t>
  </si>
  <si>
    <t>Estrategia implementada</t>
  </si>
  <si>
    <t xml:space="preserve">Porcentaje de implementación de la estrategia de divulgación y publicación del Patrimonio Cultural </t>
  </si>
  <si>
    <t>Inventario y registro del patrimonio material e inmaterial del Departamento</t>
  </si>
  <si>
    <t>Numero de Inventarios y registros del patrimonio material e inmaterial del Departamento realizados</t>
  </si>
  <si>
    <t>Proyectos para fortalecimiento de los inventarios y registros del Patrimonio Cultural Material e Inmaterial realizados</t>
  </si>
  <si>
    <t xml:space="preserve">Número de proyectos para el fortalecimiento de los Inventarios y registro del patrimonio material e inmaterial del departamento </t>
  </si>
  <si>
    <t xml:space="preserve">Red Departamental de Bibliotecas Públicas funcionado en condiciones optimas </t>
  </si>
  <si>
    <t>Porcentaje de funcionamiento optimo de la Red Departamental de bibliotecas públicas alcanzado</t>
  </si>
  <si>
    <t xml:space="preserve">Red Departamental de Bibliotecas Públicas en optimo funcionamiento </t>
  </si>
  <si>
    <t>Sistema de recolección de información diseñado e implementado</t>
  </si>
  <si>
    <t>Asesorías técnicas
en gestión de
bibliotecas públicas</t>
  </si>
  <si>
    <t>Número de
bibliotecas con
asistencias técnicas
realizadas</t>
  </si>
  <si>
    <t>Bibliotecas con asistencia técnica realizada</t>
  </si>
  <si>
    <t>Número de bibliotecas con asistencias técnicas realizadas</t>
  </si>
  <si>
    <t xml:space="preserve">Plan Departamental de Lectura fortalecido </t>
  </si>
  <si>
    <t xml:space="preserve">Numero de planes departamentales de lectura fortalecidos </t>
  </si>
  <si>
    <t>Plan Departamental de lectura fortalecido</t>
  </si>
  <si>
    <t xml:space="preserve">Número de planes de lectura fortalecidos y ejecutados </t>
  </si>
  <si>
    <t>1.6.2</t>
  </si>
  <si>
    <t>Bolívar primero en cultura</t>
  </si>
  <si>
    <t xml:space="preserve">Centros Culturales mantenidos y en operación </t>
  </si>
  <si>
    <t xml:space="preserve">Numero de Centros Culturales mantenidos y en operación </t>
  </si>
  <si>
    <t xml:space="preserve">Centros culturales mantenidos y operando </t>
  </si>
  <si>
    <t>Número de centros culturales fortalecidos en formación artística</t>
  </si>
  <si>
    <t xml:space="preserve">Infraestructura cultural construida </t>
  </si>
  <si>
    <t xml:space="preserve">Numero de infraestructura cultural diseñada y construida. </t>
  </si>
  <si>
    <t>Infraestructura cultural diseñada y construida</t>
  </si>
  <si>
    <t>Fomentar la
creación de las
escuelas
municipales de
música en el
departamento de
Bolívar</t>
  </si>
  <si>
    <t>Numero de escuelas de musica municipales  creadas</t>
  </si>
  <si>
    <t>Escuelas de musica creadas</t>
  </si>
  <si>
    <t>Identificar, asesorar y fortalecer los museos del Departamento</t>
  </si>
  <si>
    <t xml:space="preserve">Numero de
museos
identificados,
asesorados y
fortalecidos de la
red de museos del
departamento </t>
  </si>
  <si>
    <t>Museos de la red de museos del Departamento, identificados, asesorados y fortalecidos</t>
  </si>
  <si>
    <t xml:space="preserve">Numero de museos identificados, asesorados y fortalecidos de la red de museos del departamento  </t>
  </si>
  <si>
    <t>Institucionalizar el Consejo Departamental de Cultura con funciones específicas y cronograma de reuniones periódicas ordinarias</t>
  </si>
  <si>
    <t>Número de
reuniones de funcionamiento del Consejo Departamental de Cultura
realizadas</t>
  </si>
  <si>
    <t>Consejo Departamental de Cultura en funcionamiento</t>
  </si>
  <si>
    <t>Número de reuniones ordinarias realizadas</t>
  </si>
  <si>
    <t xml:space="preserve">Consejos Municipales de Cultura en operación </t>
  </si>
  <si>
    <t>Numero de Consejos municipales de cultura operando</t>
  </si>
  <si>
    <t>Consejos municipales de cultura en operación</t>
  </si>
  <si>
    <t>Numero de Consejos municipales de cultura en operación</t>
  </si>
  <si>
    <t xml:space="preserve">Programa para la circulación de artistas en eventos departamentales </t>
  </si>
  <si>
    <t>Número de artistas beneficiados con el programa de circulación artística departamental</t>
  </si>
  <si>
    <t xml:space="preserve">Artistas beneficiados con el programa de circulación artistica departamental </t>
  </si>
  <si>
    <t>Número de artistas beneficiados con el programa de circulación artistica departamental</t>
  </si>
  <si>
    <t>Asesorías técnicas a los festivales del departamento de Bolívar</t>
  </si>
  <si>
    <t>Numero de Asesorías técnicas a
los festivales del
departamento de
Bolívar</t>
  </si>
  <si>
    <t>Festivales del Departamento de Bolivar con asesoría técnica</t>
  </si>
  <si>
    <t>Número de festivales de Bolívar con asesorías  tecnicas realizadas a los organizadores</t>
  </si>
  <si>
    <t>Gestores y creadores culturales del departamento de Bolívar formados</t>
  </si>
  <si>
    <t>Número de Gestores y creadores culturales del departamento de Bolívar formados</t>
  </si>
  <si>
    <t>Número de gestores culturales formados</t>
  </si>
  <si>
    <t xml:space="preserve">Gestores y creadores culturales del departamento de Bolívar apoyados con beneficios económicos periódicos- BEPS </t>
  </si>
  <si>
    <t xml:space="preserve">Numero de Gestores y creadores culturales del departamento de Bolívar apoyados con beneficios económicos periódicos- BEPS </t>
  </si>
  <si>
    <t>Gestores y creadores culturales apoyados con beneficios economicos periodicos - BEPS</t>
  </si>
  <si>
    <t>Número de gestores y creadores culturales beneficiados con el programa BEPS.</t>
  </si>
  <si>
    <t xml:space="preserve">Artistas, gestores y creadores culturales beneficiados con incentivos económicos en el marco de la emergencia sanitaria generada por el COVID-19 </t>
  </si>
  <si>
    <t xml:space="preserve">Número de Artistas, gestores y creadores culturales beneficiados con incentivos económicos en el marco de la emergencia sanitaria generada por el COVID-19 </t>
  </si>
  <si>
    <t>Artistas, gestores y creadores culturales beneficiados con incentivos económicos en el marco de la emergencia sanitaria generada por el COVID-19</t>
  </si>
  <si>
    <t>Número de artistas, gestores y creadores culturales beneficiados con los incentivos economicos de los recursos del impuesto nacional al consumo- INC</t>
  </si>
  <si>
    <t>2.1</t>
  </si>
  <si>
    <t>Bolívar Primero en Infraestructura y Transporte</t>
  </si>
  <si>
    <t>2.1.1</t>
  </si>
  <si>
    <t>Plan de conectividad para Bolívar</t>
  </si>
  <si>
    <t>Propiciar el mejoramiento de la productividad y competitividad en el territorio y consecuentemente de la calidad de vida de las personas que lo habitad.</t>
  </si>
  <si>
    <t>Incrementar el número de kilómetros de vías
en buen estado en la red vial secundaria y
terciaria del departamento de Bolívar</t>
  </si>
  <si>
    <t>933.11Kms</t>
  </si>
  <si>
    <t>1163.11Kms</t>
  </si>
  <si>
    <t>Intervenir Kms de vías secundarias</t>
  </si>
  <si>
    <t>60 Kms de Vías
secundarias
intervenidas</t>
  </si>
  <si>
    <t>Mejorar, rehabilitar y/o mantener las  vías  secundarias del Departamento de Bolívar</t>
  </si>
  <si>
    <t>TRANSPORTE</t>
  </si>
  <si>
    <t>La infraestructura destinada al mejoramiento de la calidad de vida, la prevención de los
desastres y al transporte, se encuentran estrechamente ligadas al desarrollo competitivo de los
territorios.</t>
  </si>
  <si>
    <t>Intervenir Km de vias urbanas</t>
  </si>
  <si>
    <t>5 Kms de Vías urbanas
intervenidas</t>
  </si>
  <si>
    <t>Construir y/o mejorar la red vial urbana en el Departamento de Bolívar</t>
  </si>
  <si>
    <t xml:space="preserve">Construir , mejorar y/o rehabilitar un número de puentes </t>
  </si>
  <si>
    <t>12 unidades de Puentes
construidos,
mejorados y/o
rehabilitados</t>
  </si>
  <si>
    <t xml:space="preserve">Contrucción, mejoramiento y/o rehabilitación  puentes para el desarrollo competitivo e inclusion social. </t>
  </si>
  <si>
    <t xml:space="preserve">2.1.2 </t>
  </si>
  <si>
    <t>Bolívar se desarrolla por el Río</t>
  </si>
  <si>
    <t>Hectáreas protegidas con las
obras de protección que se
realicen.</t>
  </si>
  <si>
    <t>100 Ha</t>
  </si>
  <si>
    <t xml:space="preserve">10 proyectos de Obras para control
inundación, erosión, protección de
riberas y canalización de cauces en
los márgenes de los Ríos
</t>
  </si>
  <si>
    <t>Incremento en Obras para control
inundación, erosión, protección de
riberas y canalización de cauces en
los márgenes de los Ríos</t>
  </si>
  <si>
    <t>Permitir la articulación
territorial de gran parte de la provincia bolivarense, la conectividad fluvial representa una gran
ventaja competitiva frente a otros departamentos de la región.</t>
  </si>
  <si>
    <t>2.2</t>
  </si>
  <si>
    <t>Bolívar Primero en Movilidad</t>
  </si>
  <si>
    <t>2.2.1</t>
  </si>
  <si>
    <t>Bolívar Primero con Movilidad Segura.</t>
  </si>
  <si>
    <t xml:space="preserve">Disminuir el Índice de personas muertas en accidentes de tránsito en el Departamento de Bolívar.                                                                                                                                                                      
                                                            </t>
  </si>
  <si>
    <t>2.7</t>
  </si>
  <si>
    <t>2.55</t>
  </si>
  <si>
    <t>Programas de seguridad vial (señales, demarcaciones, equipos sast)</t>
  </si>
  <si>
    <t xml:space="preserve">Campañas de seguridad vial </t>
  </si>
  <si>
    <t>Mapas de riesgos y puntos de accidentalidad</t>
  </si>
  <si>
    <t>N/D</t>
  </si>
  <si>
    <t>Planes de control de ilegalidad en el transporte</t>
  </si>
  <si>
    <t>Campañas Sobre el uso Medios De Transportes Amigables Con El Medio Ambiente</t>
  </si>
  <si>
    <t xml:space="preserve">2.2.2 </t>
  </si>
  <si>
    <t>Bolívar Primero con Infraestructura y Transporte y Movilidad Activa</t>
  </si>
  <si>
    <t>Aumentar la movilidad aerea</t>
  </si>
  <si>
    <t>Frecuencias aéreas</t>
  </si>
  <si>
    <t>Nueva infraestructura de Transporte aéreo gestionada</t>
  </si>
  <si>
    <t>2.3</t>
  </si>
  <si>
    <t>Bolívar Primero en Tecnologias de la Información y las Comunicaciones</t>
  </si>
  <si>
    <t>2.3.1</t>
  </si>
  <si>
    <t>TIC’s para la competitividad y la inclusión social</t>
  </si>
  <si>
    <t>Mejorar la posicion en el ranking departamental de competitividad en el Pilar “Adopción TIC” llegar al puesto 12</t>
  </si>
  <si>
    <t>Conectar con banda ancha, fija y/o movil a 15 municipios de bolivar</t>
  </si>
  <si>
    <t>Mejorar el Indice de penetracion a internet</t>
  </si>
  <si>
    <t>Aumentar el Acceso a internet departamental al 97%</t>
  </si>
  <si>
    <t>Capacitadar en el uso de tecnologías de la información y generación de nuevos negocios</t>
  </si>
  <si>
    <t>Municipios con índice de cobertura de internet inferior al 1 %</t>
  </si>
  <si>
    <t xml:space="preserve">Número de Centros Digitales y Zonas Digitales </t>
  </si>
  <si>
    <t>2.4</t>
  </si>
  <si>
    <t>Bolívar Primero en Desarrollo Economico</t>
  </si>
  <si>
    <t>2.4.1</t>
  </si>
  <si>
    <t>Instalar a 60 Inversionistas en el departamento resultado de la promoción del departamento</t>
  </si>
  <si>
    <t>Realizar 3 convenios para promoción del Departamento</t>
  </si>
  <si>
    <t xml:space="preserve">Convenio con vicepresidencia y mincomercio: Ruta integrada  fecha sep agosto del 2020 </t>
  </si>
  <si>
    <t>Promoción del Desarrollo</t>
  </si>
  <si>
    <t>A. 13</t>
  </si>
  <si>
    <t>Promover el crecimiento económico sostenido, inclusivo y sostenible, el empleo pleno y productivo y el trabajo decente para todos</t>
  </si>
  <si>
    <t>2.4.1.	Promoción del Departamento para la competitividad</t>
  </si>
  <si>
    <t>Instalar 60 empresas en el Departamento</t>
  </si>
  <si>
    <t>disminución</t>
  </si>
  <si>
    <t xml:space="preserve">Investing </t>
  </si>
  <si>
    <t>Creación de 1 sistema de información y caracterización para inversionistas</t>
  </si>
  <si>
    <t>Formular 1 política pública de desarrollo económico departamental</t>
  </si>
  <si>
    <t>2.4.2</t>
  </si>
  <si>
    <t>Bolivar Primero en emprendimiento y encadenamientos productivos</t>
  </si>
  <si>
    <t>Desarrollar una plataforma para encadenamientos productivos</t>
  </si>
  <si>
    <t>Asistir 1 Proyecto de impacto para el fortalecimiento de cadenas productivas.</t>
  </si>
  <si>
    <t xml:space="preserve">90 empresas y pequeños productores apoyados con alianzas para el desarrollo para el emprendimiento y encadenamientos    </t>
  </si>
  <si>
    <t>Asociación acuicultores proyectos CTel</t>
  </si>
  <si>
    <t>Diseñar 1 plataforma virtual para la comercialización de los productos del departamento</t>
  </si>
  <si>
    <t>2.5</t>
  </si>
  <si>
    <t>Bolívar Primero en agricultura, Explotaciones Pecuarias, Pesca Forestal y Seguridad Alimentaria</t>
  </si>
  <si>
    <t>2.5.1</t>
  </si>
  <si>
    <t>Tecnología al campo</t>
  </si>
  <si>
    <t>Incrementar  en 0,6%  el Áreas con tecnología en , infraestructura productiva,  riego y adecuación de tierras</t>
  </si>
  <si>
    <t>% de Áreas con tecnología en , infraestructura productiva,  riego y adecuación de tierras</t>
  </si>
  <si>
    <t xml:space="preserve"> Incrementara  en 2.940 hectareas  con tecnología en , infraestructura productiva,  riego y adecuación de tierras</t>
  </si>
  <si>
    <t>No de Hectáreas  con tecnología en , infraestructura productiva,  riego y adecuación de tierras</t>
  </si>
  <si>
    <t>Tecnificación de hectareas de riego a trvés de la adecuación de 4 distritos de riesgo en los Montes de María y la contrucción de uno nuevo</t>
  </si>
  <si>
    <t>Agropecuario</t>
  </si>
  <si>
    <t>Fin de la pobreza</t>
  </si>
  <si>
    <t>2.5.2</t>
  </si>
  <si>
    <t>Bolívar fomenta la agroindustria</t>
  </si>
  <si>
    <t>Incrementar  en un 39%  los productores atendidos con servicio de extensión agropecuaria</t>
  </si>
  <si>
    <t>%de productores atendidos con servicio de extensión agropecuaria</t>
  </si>
  <si>
    <t xml:space="preserve"> Incrementara  en 19.448 productores atendidos con servicio de extensión agropecuaria</t>
  </si>
  <si>
    <t>Número de productores atendidos con servicio de extensión agropecuaria</t>
  </si>
  <si>
    <t>2.5.3</t>
  </si>
  <si>
    <t>Del campo al mercado</t>
  </si>
  <si>
    <t>Incrementar en un 24% los productores fortalecidos en sus capacidades productivas para  garantizar la competitividad y la comercialización de los productos agropecuarios  en los diferentes mercados internos como externos</t>
  </si>
  <si>
    <t>% de productores fortalecidos en sus capacidades productivas para  garantizar la competitividad y la comercialización de los productos agropecuarios  en los diferentes mercados internos como externos</t>
  </si>
  <si>
    <t>Incrementar en 12.100 los productores fortalecidos en sus capacidades productivas para  garantizar la competitividad y la comercialización de los productos agropecuarios  en los diferentes mercados internos como externos</t>
  </si>
  <si>
    <t>Número productores fortalecidos en sus capacidades productivas para garantizar la competitividad y la comercialización de los productos agropecuarios en los diferentes mercados internos como externos.</t>
  </si>
  <si>
    <t>Proyecto cacao</t>
  </si>
  <si>
    <t>Incrementar a un 100% el Número de organizaciones de cadenas productivas constituidas y operando formalmente (Ley 811 de 2003) al interior del departamento</t>
  </si>
  <si>
    <t>% organizaciones de cadenas productivas constituidas y operando formalmente (Ley 811 de 2003) al interior del departamento</t>
  </si>
  <si>
    <t>Incrementar en 2 las organizaciones de cadenas productivas constituidas y operando formalmente (Ley 811 de 2003) al interior del departamento</t>
  </si>
  <si>
    <t>Numero de organizaciones de cadenas productivas constituidas y operando formalmente (Ley 811 de 2003) al interior del departamento</t>
  </si>
  <si>
    <t>Incrementar  en un 66% las Alianzas Publico – Privadas creadas y/o fortalecidas al interior del departamento</t>
  </si>
  <si>
    <t>% de Alianzas Publico – Privadas creadas y/o fortalecidas al interior del departamento</t>
  </si>
  <si>
    <t>Incrementar en 3 las  Alianzas Publico – Privadas creadas y/o fortalecidas al interior del departamento</t>
  </si>
  <si>
    <t>Numero de  Alianzas Publico – Privadas creadas y/o fortalecidas al interior del departamento</t>
  </si>
  <si>
    <t xml:space="preserve">Conformacion de la alizanza publico privada del Ñame </t>
  </si>
  <si>
    <t>Agricola</t>
  </si>
  <si>
    <t>2.5.4</t>
  </si>
  <si>
    <t>Apoyo a los municipios en el ordenamiento social de la propiedad.</t>
  </si>
  <si>
    <t>46 Municipios apoyados en el Ordenamiento Social de la Propiedad.</t>
  </si>
  <si>
    <t>% de municipios apoyados en el Ordenamiento Social de la Propiedad.</t>
  </si>
  <si>
    <t>Número de municipios apoyados técnicamente en el Ordenamiento Social de la Propiedad</t>
  </si>
  <si>
    <t>AsitenciaTecnica a Municipio por parte de los funcionarios de la Secretaria de Agricultura y Desarrollo rural</t>
  </si>
  <si>
    <t xml:space="preserve">2.5.5 </t>
  </si>
  <si>
    <t xml:space="preserve">Bancarización </t>
  </si>
  <si>
    <t>Aumentar en un 5 % los productores Bancarizados</t>
  </si>
  <si>
    <t>% de productores Bancarizados</t>
  </si>
  <si>
    <t>2.499 productores con acceso a crédito</t>
  </si>
  <si>
    <t>Número de productores con acceso a crédito</t>
  </si>
  <si>
    <t>Programacion de jornada de socilaizacion para acceso a credito por parte del sector finaciero</t>
  </si>
  <si>
    <t>2.5.6</t>
  </si>
  <si>
    <t xml:space="preserve">Seguridad alimentaria </t>
  </si>
  <si>
    <t>Elaboración del documento del plan de seguridad alimentaria departamentamental</t>
  </si>
  <si>
    <t>% de elaboración del documento del plan de seguridad alimentaria departamentamental</t>
  </si>
  <si>
    <t>Un documento elaborado del plan de seguridad alimentaria del departamento</t>
  </si>
  <si>
    <t>Número documento elaborado del plan de seguridad alimentaria del departamento</t>
  </si>
  <si>
    <t>Elaboracion del Programa de politica publica de Seguridad alimentaria</t>
  </si>
  <si>
    <t>Hambre cero</t>
  </si>
  <si>
    <t>2.6</t>
  </si>
  <si>
    <t>Bolivar Primero en Productividad y Competitividad Minero Energetica</t>
  </si>
  <si>
    <t>2.6.1</t>
  </si>
  <si>
    <t>Minería responsable y segura</t>
  </si>
  <si>
    <t>Reducir los índices de accidentalidad del sector minero mediante la ejecución de programas de asistencia técnica y dotación a los pequeños mineros del sur de bolívar.</t>
  </si>
  <si>
    <t>Reducción del número de accidentes de trabajo en la mina</t>
  </si>
  <si>
    <t>Mineros asistidos técnica, 
tecnológica y en su salud</t>
  </si>
  <si>
    <t xml:space="preserve">Incremento </t>
  </si>
  <si>
    <t xml:space="preserve">MINAS Y ENERGIA </t>
  </si>
  <si>
    <t>8. TRABAJO DECENTE Y CRECIMIENTO ECONÓMICO</t>
  </si>
  <si>
    <t>Mineros dotados con 
elementos de seguridad</t>
  </si>
  <si>
    <t>Programas de internacionalización de mineros bolivarenses</t>
  </si>
  <si>
    <t>2.6.2</t>
  </si>
  <si>
    <t xml:space="preserve">Minería productiva y competitiva. </t>
  </si>
  <si>
    <t>Implementar  proyectos  que  nos  permitan  reducir  los  índices  de contaminación, aumentar la productividad, la investigación, tecnificación y competitividad del sector minero del Departamento</t>
  </si>
  <si>
    <t>Aumento anual de la productividad en extracción, transformación y comercialización minera</t>
  </si>
  <si>
    <t>Centro de Formación e investigación Minera y agroindustrial construidos y dotados</t>
  </si>
  <si>
    <t>12. PRODUCCIÓN Y CONSUMO RESPONSABLES</t>
  </si>
  <si>
    <t>Planta de Beneficio construida y puestas en funcionamiento</t>
  </si>
  <si>
    <t>Diseño e implementación de estrategias y mecanismos de prevención de lavado de activos y financiación del terrorismo en la actividad minera y bancarización</t>
  </si>
  <si>
    <t>Unidades de negocio implementadas para la transformación de metales preciosos que fortalezcan productivamente y económicamente a los mineros haciendo énfasis en la mujer minera, comunidades étnicas.</t>
  </si>
  <si>
    <t>5. IGUALDAD DE GÉNERO</t>
  </si>
  <si>
    <t>2.6.3</t>
  </si>
  <si>
    <t>Ambiente y Minería de la mano, bajo el marco de la legalidad.</t>
  </si>
  <si>
    <t>Reducir los índices de ilegalidad mediante la implementación de programas de legalización de minería y de formalización de esta forma aumentar la productividad y competitividad .</t>
  </si>
  <si>
    <t>Reforestación de bosques afectados por actividad minera</t>
  </si>
  <si>
    <t>Áreas de recuperación de ecosistemas intervenidos por la minería</t>
  </si>
  <si>
    <t>15. VIDA DE ECOSISTEMAS TERRESTRES</t>
  </si>
  <si>
    <t>Recuperación de ríos y quebradas afectados por la actividad minera</t>
  </si>
  <si>
    <t>No Definido</t>
  </si>
  <si>
    <t>Actualización del censo y caracterización minera</t>
  </si>
  <si>
    <t>Implementación de Catastro Multipropósito para el sector de influencia minera</t>
  </si>
  <si>
    <t>Acompañamiento de la formalización de la 
actividad minera</t>
  </si>
  <si>
    <t xml:space="preserve">UPM formalizadas </t>
  </si>
  <si>
    <t>Minas ilegales controladas</t>
  </si>
  <si>
    <t>2.6.4</t>
  </si>
  <si>
    <t xml:space="preserve">Minería y el desarrollo social participativo </t>
  </si>
  <si>
    <t xml:space="preserve">Desarrollo social de las comunidades mineras asentadas en la Serranía de SAN Lucas </t>
  </si>
  <si>
    <t>Espacios de integración para la convivencia. Asentamientos integrados mediante la dotación y organización de eventos deportivos culturales 
y artísticos</t>
  </si>
  <si>
    <t>Proyectos productivos y de integración implementados en el marco de la estrategia de desarrollo alternativo que fomenten y fortalezcan la capacidad productiva y comercial 
en los territorios donde se lleva a cabo la explotación minera</t>
  </si>
  <si>
    <t>3. SALUD Y BIENESTAR</t>
  </si>
  <si>
    <t>Foros realizados</t>
  </si>
  <si>
    <t>Programas de Deporte y 
Recreación para la convivencia 
en las zonas mineras</t>
  </si>
  <si>
    <t>2.6.5</t>
  </si>
  <si>
    <t xml:space="preserve">Bolívar primero en gas y energía para todos </t>
  </si>
  <si>
    <t>Incrementar la cobertura de gas natural domiciliario en municipios donde este esta ausente</t>
  </si>
  <si>
    <t>Aumentar la cobertura de gas</t>
  </si>
  <si>
    <t>84.6 %</t>
  </si>
  <si>
    <t>Hogares conectados a las redes de gas natural Red de distribución.</t>
  </si>
  <si>
    <t>7. ENERGÍA ASEQUIBLE Y NO CONTAMINANTE</t>
  </si>
  <si>
    <t>Aumentar la cobertura de energia en el departamento implementando sistemas solares fotovoltaicos como alternativa de conexión a nuevos usuarios</t>
  </si>
  <si>
    <t>Aumentar la cobertura de energía</t>
  </si>
  <si>
    <t>88.96%</t>
  </si>
  <si>
    <t>Hogares conectados a las redes de energía convencional y no convencional.</t>
  </si>
  <si>
    <t>Proyectos de generación de energía alternativas o no convencionales en áreas públicas o privadas</t>
  </si>
  <si>
    <t>Bolivar Primero en Turismo</t>
  </si>
  <si>
    <t xml:space="preserve">2.7.1 </t>
  </si>
  <si>
    <t>Bolívar primero en turismo, destinos mágicos</t>
  </si>
  <si>
    <t>Documento de lineamientos del Consejo Departamental de Turismo.</t>
  </si>
  <si>
    <t>Número de documentos de lineamientos del Consejo Departamental de Turismo.</t>
  </si>
  <si>
    <t>Documento de lineamientos del Consejo Departamental de Turismo diseñado</t>
  </si>
  <si>
    <t>Número de Documento de lineamientos del Consejo Departamental de Turismo diseñado</t>
  </si>
  <si>
    <t>Turismo</t>
  </si>
  <si>
    <t>A.13</t>
  </si>
  <si>
    <t>8,12,14</t>
  </si>
  <si>
    <t>Ordenanza mediante la cual se convoque la conformación del Consejo Departamental de Turismo.</t>
  </si>
  <si>
    <t>Número de Ordenanzas mediante la cual se convoque la conformación del Consejo Departamental de Turismo.</t>
  </si>
  <si>
    <t>Documentos de regulación organizacional para el Consejo Departamental de Turismo.</t>
  </si>
  <si>
    <t>Número de Documentos de regulación organizacional para el Consejo Departamental de Turismo.</t>
  </si>
  <si>
    <t>Acompañamiento técnico a municipios con vocación turística para la formulación de Planes de Desarrollo Turísticos</t>
  </si>
  <si>
    <t>Porcentaje de municipios con vocación turistica con acompañamiento técnico para la formulación de Planes de Desarrollo Turistico realizado</t>
  </si>
  <si>
    <t>Municipios con vocación turistica con acompañamiento técnico para la formulación de Planes de Desarrollo Turistico realizado</t>
  </si>
  <si>
    <t>Convenios de cooperación suscritos</t>
  </si>
  <si>
    <t>Número de Convenios de cooperación suscritos</t>
  </si>
  <si>
    <t>Acciones de articulación interinstitucional realizadas</t>
  </si>
  <si>
    <t>Número de acciones de articulación interinstitucional realizadas</t>
  </si>
  <si>
    <t>Documento con estrategias de reactivación del sector turístico de Bolívar</t>
  </si>
  <si>
    <t>Número de documentos con estrategias de reactivación del sector turístico de Bolívar</t>
  </si>
  <si>
    <t>Número de documentos con estrategias de reractivación del sector turístico de Bolívar</t>
  </si>
  <si>
    <t>Realización de la estrategia
"Bolívar pa' todo el mundo" y
socialización de las tácticas de
comunicación. Incluyendo
manual de apropiación de
imagen para alcaldías y
empresarios turísticos.</t>
  </si>
  <si>
    <t>Número de Estrategia "Bolívar pa' todo el mundo" y
socialización de las tácticas de
comunicación, Incluyendo
manual de apropiación de
imagen para alcaldías y
empresarios turísticos realizada</t>
  </si>
  <si>
    <t xml:space="preserve">Estrategia Bolívar Pa´Todo el mundo Implementada </t>
  </si>
  <si>
    <t>Plan de promoción digital para temporadas turísticas</t>
  </si>
  <si>
    <t>Número de planes de promoción digital para temporadas turísticas</t>
  </si>
  <si>
    <t>Plan de promoción digital para temporadas turísticas diseñado</t>
  </si>
  <si>
    <t>Número de planes de promoción digital para temporadas turísticas diseñado</t>
  </si>
  <si>
    <t xml:space="preserve">Realización de ruedas de negocio para el encadenamiento </t>
  </si>
  <si>
    <t>Número de ruedas de negocio para el encadenamiento realizadas</t>
  </si>
  <si>
    <t>Ruedas de negocio para el encadenamiento realizadas</t>
  </si>
  <si>
    <t xml:space="preserve">Realización de Fam trips y press trips </t>
  </si>
  <si>
    <t>Número de Fam trips y press trips realizados</t>
  </si>
  <si>
    <t xml:space="preserve">Fam trips y press trips realizados </t>
  </si>
  <si>
    <t>Gestión de formaciones con entidades aliadas para fortalecimiento del ICT</t>
  </si>
  <si>
    <t xml:space="preserve">Numero de espacios de formaciones con entidades aliadas para fortalecimiento del ICT gestionados </t>
  </si>
  <si>
    <t xml:space="preserve">Espacios de formaciones con entidades aliadas para fortalecimiento del ICP gestionados </t>
  </si>
  <si>
    <t xml:space="preserve">Numero de espacios de formaciones con entidades aliadas para fortalecimiento del ICP gestionados </t>
  </si>
  <si>
    <t>Asistir y asesorar en los sistemas de recolección de datos para medir impactos, número de visitantes y perfil del turista</t>
  </si>
  <si>
    <t>Número de asistencias y asesorias a municipios en sistemas de recolección de datos para medir impactos, numero de visitantes y perfil del turista realizadas</t>
  </si>
  <si>
    <t>Asistencias y asesorias a municipios en sistemas de recolección de datos para medir impactos, numero de visitantes y perfil del turista realizadas</t>
  </si>
  <si>
    <t xml:space="preserve">Construcción de sendero turístico </t>
  </si>
  <si>
    <t>Porcentaje de obra de sendero turistico construido</t>
  </si>
  <si>
    <t>obra de sendero turistico construido</t>
  </si>
  <si>
    <t>Construcción/mantenimiento de infraestructura turística</t>
  </si>
  <si>
    <t xml:space="preserve">Numero de infraestructura turistica construida/mantenida </t>
  </si>
  <si>
    <t xml:space="preserve">Infraestructura turistica construida/mantenida </t>
  </si>
  <si>
    <t>Trabajo Decente y Sosytenibilidad del Empleo en Escenarios de Amenazas</t>
  </si>
  <si>
    <t xml:space="preserve">2.8.1 </t>
  </si>
  <si>
    <t>Empleo y trabajo decente</t>
  </si>
  <si>
    <t>Fomentar en 14 municipios  la política de trabajo decente</t>
  </si>
  <si>
    <t xml:space="preserve">Alcanzar 15 municipios con enfoque poblacional fomentando el teletrabajo. </t>
  </si>
  <si>
    <t xml:space="preserve">Realizar 1 Alianza con MINTIC y MINTRABAJO para la implementación del teletrabajo </t>
  </si>
  <si>
    <t xml:space="preserve">Apoyar 15 empresas apoyadas que promuevan la política de protección laboral </t>
  </si>
  <si>
    <t>2.8.2</t>
  </si>
  <si>
    <t>Bolívar Primero en beneficios BEPS y desempleo</t>
  </si>
  <si>
    <t>% de Personas que participan en las campañas para acceder al auxilio BEPS en Bolívar.</t>
  </si>
  <si>
    <t>Realizar 10 campañas y/o intervenciones, talleres, eventos y foros, realizados</t>
  </si>
  <si>
    <t>Bolivar Primero en Ciencia Tecnologia e Innvacion</t>
  </si>
  <si>
    <t>2.9.1</t>
  </si>
  <si>
    <t>Fortalecimiento del sistema territorial del CTI.</t>
  </si>
  <si>
    <t>Índice de fortalecimiento territorial en términos de CTeI</t>
  </si>
  <si>
    <t>Actualización del Plan Estratégico de Ciencia e innovación en el Departamento.</t>
  </si>
  <si>
    <t>Garantizar modalidades de consumo y producción sostenibles -  Promover el crecimiento económico sostenido, inclusivo y sostenible, el empleo pleno y productivo y el trabajo decente para todos</t>
  </si>
  <si>
    <t>Fortalecimiento de las instancias donde se ejerce la gobernanza de la CTeI.</t>
  </si>
  <si>
    <t>2.9.2</t>
  </si>
  <si>
    <t>Apropiación social del CTEI y vocaciones para la consolidación de una sociedad del conocimiento.</t>
  </si>
  <si>
    <t>Intercambio de conocimiento entre lo tradicional y lo científico</t>
  </si>
  <si>
    <t>Número de personas beneficiadas por los procesos de fortalecimiento de capacidades.</t>
  </si>
  <si>
    <t>Proyecto de Turismo Científico</t>
  </si>
  <si>
    <t>1000 personas que contribuyen en el desarrollo de proyectos de I+D+i.</t>
  </si>
  <si>
    <t>20 grupos que lograron fortalecer sus capacidades en CTeI.</t>
  </si>
  <si>
    <t>300 producción científica realizada por beneficiarios.</t>
  </si>
  <si>
    <t xml:space="preserve">Innovación de las capacidades empresariales. </t>
  </si>
  <si>
    <t xml:space="preserve">Proyecto de Innovación empresarial </t>
  </si>
  <si>
    <t xml:space="preserve">200 empresas con prototipo diseñado. </t>
  </si>
  <si>
    <t>Proyecto de innovación empresarial UDC</t>
  </si>
  <si>
    <t>2.9.3</t>
  </si>
  <si>
    <t>Formación del capital humano de alto nivel del CTEI</t>
  </si>
  <si>
    <t>Fortalecimiento de las capacidades científicas de alto nivel</t>
  </si>
  <si>
    <t>No de beneficiarios graduados en formación de alto Nivel.</t>
  </si>
  <si>
    <t>Proyectos Ceiba y becas Docentes</t>
  </si>
  <si>
    <t>Número de producción científica realizada por beneficiarios.</t>
  </si>
  <si>
    <t>2.9.4</t>
  </si>
  <si>
    <t>Innovación para el desarrollo sostenible</t>
  </si>
  <si>
    <t>Ampliación de las capacidades de innovación empresarial.</t>
  </si>
  <si>
    <t xml:space="preserve">Número de empresas con prototipos diseñados </t>
  </si>
  <si>
    <t xml:space="preserve">Fortalecimiento del tejido empresarial </t>
  </si>
  <si>
    <t>2.10</t>
  </si>
  <si>
    <t>Formacion para el Trabajo</t>
  </si>
  <si>
    <t>2.10.1</t>
  </si>
  <si>
    <t>Bolívar primero facilita el acceso a la educación superior, la educación para el trabajo y el desarrollo humano</t>
  </si>
  <si>
    <t>Ampliación de cobertura en educación superior y para el trabajo</t>
  </si>
  <si>
    <t>Ampliación de cobertura en educación
superior y para el trabajo</t>
  </si>
  <si>
    <t>Nuevas instituciones de
Educación Superior creadas</t>
  </si>
  <si>
    <t>Cupos nuevos creados en
Educación Superior para ser
ofertados en el Dpto. de Bolívar</t>
  </si>
  <si>
    <t>Cupos nuevos creados en
Educación para el Trabajo y el
Desarrollo Humano para ser
ofertados en el Dpto. de Bolívar</t>
  </si>
  <si>
    <t>Convenios con instituciones
de Educación para el Trabajo y
el Desarrollo humano</t>
  </si>
  <si>
    <t>3.1</t>
  </si>
  <si>
    <t xml:space="preserve">Bolivar Primero Gestión Ambientaly Desarrollo Territorial </t>
  </si>
  <si>
    <t xml:space="preserve">3.1.1 </t>
  </si>
  <si>
    <t>Ordenamiento territorial y para un bolívar primero en institucionalidad</t>
  </si>
  <si>
    <t>Cobertura en Cartografías de las zonas limítrofes y demás zonas del departamento actualizadas</t>
  </si>
  <si>
    <t>Número de Cartografías de las zonas limítrofes y demás zonas del departamento actualizadas</t>
  </si>
  <si>
    <t>4 cartografias de las zonas limitrofes</t>
  </si>
  <si>
    <t>FORTALECIMIENTO INSTITUCIONAL</t>
  </si>
  <si>
    <t>A.17</t>
  </si>
  <si>
    <t>11.   CIUDADES Y COMUNIDADES SOSTENIBLES</t>
  </si>
  <si>
    <t>Cobertura en Sistemas de Información Geográfica de la Gobernación con la información cartográfica Actualizadas</t>
  </si>
  <si>
    <t>Número de Sistemas de
Información Geográfica de
la Gobernación con la
información cartográfica
Actualizadas</t>
  </si>
  <si>
    <t>1 Sistemas de
Información Geográfica de
la Gobernación con la
información cartográfica
Actualizadas</t>
  </si>
  <si>
    <t>FORTALECIMIENTO IN+R326:U332STITUCIONAL</t>
  </si>
  <si>
    <t>16. PAZ JUSTICIA E INSTITUCIONES SOLIDAS</t>
  </si>
  <si>
    <t>Cobertura en Talleres de asistencias técnicas en las ZODES del departamento en
ordenamiento territorial realizados</t>
  </si>
  <si>
    <t>Asistencias técnicas
municipal en ordenamiento
territorial.</t>
  </si>
  <si>
    <t>6 Talleres de asistencias técnicas en las ZODES del departamento en
ordenamiento territorial realizados</t>
  </si>
  <si>
    <t>Cobertura en Estudios de riesgos para el
ordenamiento territorial realizados.</t>
  </si>
  <si>
    <t>Número de Estudios de
riesgos para el ordenamiento territorial realizados.</t>
  </si>
  <si>
    <t>1 Estudios de riesgos para el
ordenamiento territorial realizados.</t>
  </si>
  <si>
    <t>Cobertura en Planes de ordenamiento territorial departamental aprobado.</t>
  </si>
  <si>
    <t>Plan de ordenamiento
territorial departamental
formulado y adoptado.</t>
  </si>
  <si>
    <t>1 Plan de ordenamiento territorial departamental
formulado y adoptado.</t>
  </si>
  <si>
    <t>3.2</t>
  </si>
  <si>
    <t>Bolívar Primero en Conservacion Ambiental</t>
  </si>
  <si>
    <t>3.2.1</t>
  </si>
  <si>
    <t>Ambiente por un Bolívar primero en conservación</t>
  </si>
  <si>
    <t>Cobertura en Áreas de
importancia estratégicas del
departamento de Bolívar
intervenidas</t>
  </si>
  <si>
    <t>Número de Áreas de importancia estratégicas del departamento de Bolívar intervenidas</t>
  </si>
  <si>
    <t>4  Áreas de importancia estratégicas del departamento de Bolívar intervenidas</t>
  </si>
  <si>
    <t>AMBIENTAL</t>
  </si>
  <si>
    <t>A.10</t>
  </si>
  <si>
    <t>6.           AGUA LIMPIA Y SANEAMIENTO</t>
  </si>
  <si>
    <t>Cobertura en Programas de
educación Ambiental
implementados en ZODES</t>
  </si>
  <si>
    <t>Número de capacitaciones en educación ambiental desarrolladas en las Zodes del departamento de Bolívar</t>
  </si>
  <si>
    <t>2 Programas de
educación Ambiental
implementados en ZODES</t>
  </si>
  <si>
    <t>16.          VIDA DE ECOSISTEMAS TERRESTRES</t>
  </si>
  <si>
    <t>Cobertura en talleres SIDAP
implementados</t>
  </si>
  <si>
    <t>Número de talleres SIDAP realizados</t>
  </si>
  <si>
    <t>6 talleres SIDAP
implementados</t>
  </si>
  <si>
    <t>% Cobertura en planes
institucionales de gestión
ambiental formulados</t>
  </si>
  <si>
    <t>Planes institucionales de gestión ambiental formulados y aprobados</t>
  </si>
  <si>
    <t>1 Plan institucionales de gestión ambiental formulados y aprobados</t>
  </si>
  <si>
    <t>Cobertura de sistemas de
monitoreo ambiental
diseñados e implementados</t>
  </si>
  <si>
    <t>Número de sistemas de monitoreo ambiental diseñados e implementados</t>
  </si>
  <si>
    <t>1 sistemas de monitoreo ambiental diseñados e implementados</t>
  </si>
  <si>
    <t>3.3</t>
  </si>
  <si>
    <t>Bolivar Primero en Adaptación y Mitigación del Cambio Climatico</t>
  </si>
  <si>
    <t>3.3.1</t>
  </si>
  <si>
    <t>Cambio Climatico</t>
  </si>
  <si>
    <t>Cobertura en formulación de
planes de adaptación y/o
mitigación al cambio climático
municipales</t>
  </si>
  <si>
    <t>Plan Integral de Gestión al Cambio Climático del departamento de Bolívar formulado.</t>
  </si>
  <si>
    <t>1 Plan Integral de Gestión al Cambio Climático del departamento de Bolívar formulado.</t>
  </si>
  <si>
    <t>13.     ACCION POR EL CLIMA</t>
  </si>
  <si>
    <t>Número de planes de
adaptación y/o la mitigación del
cambio climático municipales
asistidos</t>
  </si>
  <si>
    <t>Número de planes de adaptación y/o la mitigación del cambio climático municipales asistidos</t>
  </si>
  <si>
    <t xml:space="preserve">45 municipios asistidos en  planes de adaptación y/o la mitigación del cambio climático </t>
  </si>
  <si>
    <t>3.4</t>
  </si>
  <si>
    <t>Gestión Del Riesgo</t>
  </si>
  <si>
    <t xml:space="preserve">3.4.1 </t>
  </si>
  <si>
    <t>Conocimiento del Riesgo</t>
  </si>
  <si>
    <t>Incrementar en un 100% el número de beneficiados con educación y/o capacitación en temas de GRD y ACC:</t>
  </si>
  <si>
    <t>Consolidar y formalizaren un 100% el proyecto normativo de ajuste al Plan Departamental de Gestión del Riesgos de Desastres ante la Asamblea Departamental de Bolívar</t>
  </si>
  <si>
    <t>Consolidar y formalizar proyectos normativos de ajuste al Plan Departamental de Gestión del Riesgos de Desastres ante la Asamblea Departamental de Bolívar</t>
  </si>
  <si>
    <t>Asistir técnicamente al funcionamiento de los Comités municipales de Gestión del Riesgo en un 100%</t>
  </si>
  <si>
    <t>Asistir técnicamente al funcionamiento y reactivación de los Comités Municipales de Gestión del Riesgo</t>
  </si>
  <si>
    <t xml:space="preserve">3.4.2 </t>
  </si>
  <si>
    <t>Disminución y/o Elimicación del Riesgo</t>
  </si>
  <si>
    <t>Dos sistemas de alertas tempranas instalados estratégicamente.</t>
  </si>
  <si>
    <t>Instalación de un sistema de alertas tempranas instaladas</t>
  </si>
  <si>
    <t>Incrementar el porcentaje anual de recursos ICLD destinados al FDGRD en un 6% con respecto al 2019.</t>
  </si>
  <si>
    <t>Incrementar el porcentaje anual de recursos ICLD destinados
al FDGRD</t>
  </si>
  <si>
    <t>Incrementar la inversión en programas de GRD por número de habitantes por año en un 6% con
respecto al año 2019.</t>
  </si>
  <si>
    <t>Incrementar la inversión en programas de GRD por número de habitantes por año en un 6% con respecto al año 2019.</t>
  </si>
  <si>
    <t xml:space="preserve">Incrementar la inversión en programas de GRD por número de habitantes por año </t>
  </si>
  <si>
    <t>3.4.3</t>
  </si>
  <si>
    <t>Atencion de Desastre</t>
  </si>
  <si>
    <t xml:space="preserve">Disminución del % en el número de habitantes afectados por situaciones de riesgo y desastres </t>
  </si>
  <si>
    <t>Disminución del número de habitantes afectados por situaciones de riesgo y desastres</t>
  </si>
  <si>
    <t>Aumento en el % de eventos ocurridos y atendidos por situaciones de riesgos y desastres</t>
  </si>
  <si>
    <t>Disminución del número
de eventos atendidos por
situaciones de riesgos y
desastres</t>
  </si>
  <si>
    <t xml:space="preserve">Disminución en el % del número de viviendas destruidas por situaciones de riesgo y desastres </t>
  </si>
  <si>
    <t>Disminución del número
de viviendas destruidas
por situaciones de riesgo y
desastres.</t>
  </si>
  <si>
    <t>Aumento del % en el número de familias reasentadas por situaciones de riesgo y
presentación de desastres:</t>
  </si>
  <si>
    <t>Disminución del número
de familias reasentadas
por situaciones de riesgo y
presentación de desastres:</t>
  </si>
  <si>
    <t>4.1</t>
  </si>
  <si>
    <t>Bolívar Seguro</t>
  </si>
  <si>
    <t>4.1.1</t>
  </si>
  <si>
    <t>Percepción positiva de la seguridad y la convivencia en el departamento de Bolívar</t>
  </si>
  <si>
    <t>Plan Integral de Seguridad y Convivencia Departamental formulado e implementado (con seguimiento)</t>
  </si>
  <si>
    <t>porcentaje</t>
  </si>
  <si>
    <t>Gobierno territorial</t>
  </si>
  <si>
    <t>Sistemas de tecnologías de apoyo a la seguridad y convivencia funcionando en Bolívar</t>
  </si>
  <si>
    <t>Municipios Impactados por fortalecimiento de la movilidad de la fuerza pública o instituciones de seguridad</t>
  </si>
  <si>
    <t>Unidades operativas de la fuerza pública o instituciones de seguridad fortalecidas en su capacidad operativa técnica para mejorar la seguridad, orden público y convivencia</t>
  </si>
  <si>
    <t>4.2</t>
  </si>
  <si>
    <t>4.2.1</t>
  </si>
  <si>
    <t>Líderes y lideresas con criterio positivo sobre la existencia de garantías para el ejercicio de su labor</t>
  </si>
  <si>
    <t xml:space="preserve">Plan Integral de Protección y seguridad de líderes y lideresas formulado e implementado (con seguimiento) </t>
  </si>
  <si>
    <t>Porcentaje</t>
  </si>
  <si>
    <t>Política Publica de Derechos Humanos Departamental de Bolívar formulada e implementada (con seguimiento)</t>
  </si>
  <si>
    <t>Organizaciones sociales participantes en la implementación de un programa departamental integral de fomento y socialización de Cultura de Derechos Humanos.</t>
  </si>
  <si>
    <t>Municipios implementando acciones para el cumplimiento de los planes de acción de respuesta a las alertas tempranas e informes de riesgos en Bolívar</t>
  </si>
  <si>
    <t>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t>
  </si>
  <si>
    <t>Número de acciones institucionales de acompañamiento a la implementación de la Política Publica de Acción Integral contra Minas Antipersonas (AICMA) en el Departamento de Bolivar</t>
  </si>
  <si>
    <t>Número de acciones institucionales de acompañamiento a la implementación de la Estrategia Nacional para lucha contra la trata de personas en el Departamento de Bolívar</t>
  </si>
  <si>
    <t>4.3</t>
  </si>
  <si>
    <t>4.3.1</t>
  </si>
  <si>
    <t>Sistema de Información geográfica de Bolívar SIGBOL Actualizado</t>
  </si>
  <si>
    <t xml:space="preserve">No. De municipios Implementando SIGBOL </t>
  </si>
  <si>
    <t>Fortalecimiento Institucional</t>
  </si>
  <si>
    <t xml:space="preserve">Promover sociedades pacíficas e inclusivas para el desarrollo sostenible, facilitar el acceso a la justicia para todos y construir a todos los niveles instituciones eficaces e inclusivas que rindan cuentas </t>
  </si>
  <si>
    <t>Sistema de seguimiento y evaluación a Plan de desarrollo y políticas públicas actualizados e implementado</t>
  </si>
  <si>
    <t>Implementación de software para seguimiento y evaluación de plan de desarrollo y políticas publicas</t>
  </si>
  <si>
    <t>No de municipios apoyados técnicamente para la evaluación de plan de desarrollo y construcción de sistema de seguimiento</t>
  </si>
  <si>
    <t>Construcción de 1 Batería de indicadores Departamental</t>
  </si>
  <si>
    <t>Apoyo a la creación de 7 subsistemas de planeación</t>
  </si>
  <si>
    <t>Realizar 1convenio para fortalecer las capacidades y apoyo logísticos atinentes a sus actividades del Consejo Territorial de Planeación</t>
  </si>
  <si>
    <t>Asistir 45 municipio para la implementación del SISBEN IV</t>
  </si>
  <si>
    <t>Apoyar 20  municipios en estratificación</t>
  </si>
  <si>
    <t>4.3.2</t>
  </si>
  <si>
    <t>% de Zodes con procesos de descentralización en planeación territorial</t>
  </si>
  <si>
    <t>Asistir a 2 bancos de proyectos creados en ZODES</t>
  </si>
  <si>
    <t xml:space="preserve">Asistir a 45 municipios  técnicamente en la formulación de proyectos </t>
  </si>
  <si>
    <t>Asesorar 10  bancos de proyectos municipales</t>
  </si>
  <si>
    <t xml:space="preserve">mejorar en 30 municipios con índices de desempeños </t>
  </si>
  <si>
    <t>4.4</t>
  </si>
  <si>
    <t>4.4.1</t>
  </si>
  <si>
    <t>Espacios físicos y servicios de atención al ciudadano mejorados y fortalecidos</t>
  </si>
  <si>
    <t>50 puntos</t>
  </si>
  <si>
    <t>80 puntos</t>
  </si>
  <si>
    <t>Infraestructura física de la
oficina de atención al
ciudadano, accesible a
población en condición de
discapacidad</t>
  </si>
  <si>
    <t>Gobierno Territorial</t>
  </si>
  <si>
    <t>16. Paz, Justicia e Instituciones Sólidas</t>
  </si>
  <si>
    <t xml:space="preserve">SECRETARÍA GENERAL </t>
  </si>
  <si>
    <t>Servicios de atención al
ciudadano de la Gobernación
de Bolívar Accesibles a la
población en condición de
discapacidad</t>
  </si>
  <si>
    <t>3 nuevos canales de atención
al ciudadano del
Departamento de Bolívar
creados y en funcionamiento</t>
  </si>
  <si>
    <t>Jornadas Itinerantes de
atención y Servicio al
Ciudadano</t>
  </si>
  <si>
    <t>Mecanismo implementado
para recibir y tramitar
peticiones interpuestas en
lenguas nativas o dialectos
oficiales de Bolívar diferentes
al español</t>
  </si>
  <si>
    <t>4.4.2</t>
  </si>
  <si>
    <t>Fortalecimiento y mejoramiento de la
Gestión Documental de la gobernación de
Bolívar</t>
  </si>
  <si>
    <t>Software de Gestión Documental Electrónica implementado para la gobernación de Bolívar</t>
  </si>
  <si>
    <t>Centro de Digitalización Documental de la Gobernación de Bolívar creado y en funcionamiento</t>
  </si>
  <si>
    <t>Infraestructura para la
Gestión Documental
mejorada</t>
  </si>
  <si>
    <t>Consejo Departamental de Archivo fortalecido</t>
  </si>
  <si>
    <t>4.4.3</t>
  </si>
  <si>
    <t>TIC para Gobierno Abierto</t>
  </si>
  <si>
    <t>41,4/100</t>
  </si>
  <si>
    <t>80/100</t>
  </si>
  <si>
    <t>Accesibilidad, usabilidad y datos abiertos para garantizar la transparencia en la administración pública</t>
  </si>
  <si>
    <t>73,6/100</t>
  </si>
  <si>
    <t>41.4/100</t>
  </si>
  <si>
    <t>Tecnologias de la información y las comunicaciones</t>
  </si>
  <si>
    <t>Acciones de colaboración con terceros usando medios electrónicos</t>
  </si>
  <si>
    <t>0/100</t>
  </si>
  <si>
    <t>Actualización de canales de participación ciudadana a través de medios electrónicos</t>
  </si>
  <si>
    <t>100/100</t>
  </si>
  <si>
    <t>TIC para la Gestión</t>
  </si>
  <si>
    <t>12,3/100</t>
  </si>
  <si>
    <t>75/100</t>
  </si>
  <si>
    <t>Implementación Estrategia de TI</t>
  </si>
  <si>
    <t>76/100</t>
  </si>
  <si>
    <t>15/100</t>
  </si>
  <si>
    <t>Fortalecimiento de Gobierno de TI</t>
  </si>
  <si>
    <t>47,5/100</t>
  </si>
  <si>
    <t>Fortalecimiento de las capacidades institucionales en TICS</t>
  </si>
  <si>
    <t>33,3/100</t>
  </si>
  <si>
    <t>20/100</t>
  </si>
  <si>
    <t>Seguridad y Privacidad de la Información</t>
  </si>
  <si>
    <t>36,8/100</t>
  </si>
  <si>
    <t>Política de seguridad y privacidad de la información implementada</t>
  </si>
  <si>
    <t>20,8/100</t>
  </si>
  <si>
    <t>40/100</t>
  </si>
  <si>
    <t>Tratamiento de riesgos de seguridad informática</t>
  </si>
  <si>
    <t>4.4.4</t>
  </si>
  <si>
    <t>Mejoramiento de la infraestructura física
y bienes inmuebles de la gobernación de
Bolívar</t>
  </si>
  <si>
    <t>Optimizar las sedes de la
Gobernación de Bolívar para
mejoras en la atención al
público y garantizar el clima
laboral</t>
  </si>
  <si>
    <t>Inventario físico, saneamiento
y normalización de bienes inmuebles de la gobernación
de Bolívar actualizado</t>
  </si>
  <si>
    <t>Fortalecimiento de los
sistemas de vigilancia de los
diferentes inmuebles de la
gobernación de Bolívar</t>
  </si>
  <si>
    <t>4.4.5</t>
  </si>
  <si>
    <t>Municipios con asistencia municipal</t>
  </si>
  <si>
    <t>Municipios con desempeño fiscal bajo asistidos.</t>
  </si>
  <si>
    <t>4.4.6</t>
  </si>
  <si>
    <t>Municipios con cuerpos de bomberos activos administrativamente</t>
  </si>
  <si>
    <t>Cuerpos de bomberos constituidos y reconocidos legalmente en Bolívar</t>
  </si>
  <si>
    <t>4.4.7</t>
  </si>
  <si>
    <t>Talento Humano en Teletrabajo</t>
  </si>
  <si>
    <t>Implementación modelo de Teletrabajo</t>
  </si>
  <si>
    <t>4.4.8</t>
  </si>
  <si>
    <t>Acciones de desarrollo en territorio Departamental</t>
  </si>
  <si>
    <t>Ruta de protocolo y
atención</t>
  </si>
  <si>
    <t>SECRETARIA PRIVADA</t>
  </si>
  <si>
    <t>Sistema de comunicación como herramienta vital para mantener una Red departamental  fortalecida</t>
  </si>
  <si>
    <t>Canales De
Comunicación</t>
  </si>
  <si>
    <t>4.5</t>
  </si>
  <si>
    <t>4.5.1</t>
  </si>
  <si>
    <t>Incremento del recaudo de los Ingresos Corriente de Libre Destinacion</t>
  </si>
  <si>
    <t>Un sistema de Informacion tecnologico que permite el manejo eficiente de los tributos Departamentales</t>
  </si>
  <si>
    <t>A.17 FORTALECIMIENTO INSTITUCIONAL</t>
  </si>
  <si>
    <t>01</t>
  </si>
  <si>
    <t>SECRETARÍA DE HACIENDA</t>
  </si>
  <si>
    <t>Un manual de procedimientos elaborado, socializado e implementado</t>
  </si>
  <si>
    <t>Un sistema de informacion para la administracion de las bases de datos del Fondo de Pensiones del departamento de Bolivar</t>
  </si>
  <si>
    <t>El departamento de Bolivar saneado contablemente</t>
  </si>
  <si>
    <t>Politica Contable Implementada y socializada</t>
  </si>
  <si>
    <t>Cuatro convenios suscritos, uno cada año para el apoyo financiero y operativo de la Secretaria de Hacienda parala lucha contra el contrabando y la evasion</t>
  </si>
  <si>
    <t>Numero de municipios capacitados y con asistencia tecnica en materia financiera, tributaria y fiscal</t>
  </si>
  <si>
    <t>4.6</t>
  </si>
  <si>
    <t xml:space="preserve">BOLÍVAR CON INSTITUCIONALIDAD AL SERVICIO DE LA CIUDADANÍA. </t>
  </si>
  <si>
    <t>4.6.1</t>
  </si>
  <si>
    <t>Ciudadanos con percepción positiva sobre la participación ciudadana en el departamento de Bolívar</t>
  </si>
  <si>
    <t>Estrategia integral de Fomento de las veedurías ciudadanas</t>
  </si>
  <si>
    <t>SECRETARÍA DEL INTERIOR</t>
  </si>
  <si>
    <t>Consejos Departamental de Participación Ciudadana constituido y en operatividad</t>
  </si>
  <si>
    <t>mantiene</t>
  </si>
  <si>
    <t>SECRETARIA DEL INTERIOR</t>
  </si>
  <si>
    <t>Comités, consejos, consultivas, otros espacios de participación ciudadana orientados por la ley y política públicas en operatividad</t>
  </si>
  <si>
    <t>Rendición de cuentas de la administración departamental coordinada y realizada</t>
  </si>
  <si>
    <t>4.6. BOLÍVAR PRIMERO PROPICIA LA PARTICIPACIÓN CIUDADANA.</t>
  </si>
  <si>
    <t xml:space="preserve">4.6.2 </t>
  </si>
  <si>
    <t>Organizaciones comunales municipales (JAC, asociaciones, federaciones) aportando a la elaboración e implementación de la política pública comunal en Bolívar</t>
  </si>
  <si>
    <t>Política Publica Departamental Comunal elaborada e implementada (con seguimiento)</t>
  </si>
  <si>
    <t>Organizaciones comunales participantes en los procesos de elecciones según calendario</t>
  </si>
  <si>
    <t>Dependencia o instituto departamental de fortalecimiento de la participación ciudadana y la acción comunal gestionado</t>
  </si>
  <si>
    <t>4.6.3</t>
  </si>
  <si>
    <t>Municipios con elecciones libres y seguras</t>
  </si>
  <si>
    <t>Procesos electorales desarrollados en Bolívar</t>
  </si>
  <si>
    <t>procesos electorales</t>
  </si>
  <si>
    <t>4.6.4</t>
  </si>
  <si>
    <t>Lograr que los Bolivarenses se sienten orgullosos de su Departamento</t>
  </si>
  <si>
    <t>Realizar un sondeo para determinar el orgullo Bolivarense</t>
  </si>
  <si>
    <t>Realizar 4 campañas para fomentar el sentido de pertenencia y la identidad en municipios del Departamento de Bolívar</t>
  </si>
  <si>
    <t>Establecer el día del Orgullo Bolivarense</t>
  </si>
  <si>
    <t>5.1</t>
  </si>
  <si>
    <t xml:space="preserve">5.1 Bolívar al campo: plan de atención rural integral y prioritaria - PARIP </t>
  </si>
  <si>
    <t>5.1.1</t>
  </si>
  <si>
    <t xml:space="preserve">Bolívar garantiza derechos sociales en el campo.  </t>
  </si>
  <si>
    <t>Población rural bolivarense a la que se le garantiza el goce y disfrute de sus derechos sociales.</t>
  </si>
  <si>
    <t>22 Jornadas de tramites de
documentos a miembros de la población rural del departamento de Bolívar</t>
  </si>
  <si>
    <t>Jornadas de tramites de
documentos a miembros de la población rural del departamento de Bolívar</t>
  </si>
  <si>
    <t>Familias rurales atendidas para el fortalecimiento del núcleo familiar y la convivencia comunitariar</t>
  </si>
  <si>
    <t>Casas de justicia operando que facilitan el acceso a la justicia a la población rural</t>
  </si>
  <si>
    <t>Personas del sector rural víctimas de un delito que denuncian</t>
  </si>
  <si>
    <t>Viviendas nuevas rurales iniciadas con el proposito de reducir del deficit cuantitativo</t>
  </si>
  <si>
    <t>Mejoramiento de viviendas rurales iniciados para la reducción del deficit cualitativo</t>
  </si>
  <si>
    <t>Viviendas nuevas rurales iniciadas para madres cabezas de familia</t>
  </si>
  <si>
    <t>Mejoramiento de viviendas rurales para madres campesinas cabezas de hogar</t>
  </si>
  <si>
    <t>Espacio público rural habilitado.</t>
  </si>
  <si>
    <t>5.1.2</t>
  </si>
  <si>
    <t>Bolívar Educa en el campo</t>
  </si>
  <si>
    <t>Establecimientos educativos del sector rural mejoran su infraestructura y calidad</t>
  </si>
  <si>
    <t>Espacios pedagógicos rurales
nuevos y mejorados.</t>
  </si>
  <si>
    <t>N.D</t>
  </si>
  <si>
    <t>Establecimientos educativos  rurales con dotación básica y/o especializada</t>
  </si>
  <si>
    <t>Establecimientos Educativos rurales que mejoraron los resultados en las Pruebas Saber</t>
  </si>
  <si>
    <t>I.E rurales a los que se les garantiza seguridad alimentaria</t>
  </si>
  <si>
    <t>5.1.3</t>
  </si>
  <si>
    <t>Bolívar lleva Servicios Públicos al campo.</t>
  </si>
  <si>
    <t>Aumento de cobertura en el suministro de agua potable en el sector rural</t>
  </si>
  <si>
    <t>Aumentar en 9 puntos (a 50%) la cobertura de agua potable en zona rural en el departamento de Bolívar</t>
  </si>
  <si>
    <t>Construcción y/o rehabilitación de sistemas de acueducto para aumentar cobertura del servicio en zona rural en el departamento de Bolívar</t>
  </si>
  <si>
    <t>6 Agua limpia y saneamiento</t>
  </si>
  <si>
    <t>Aumento de la cobertura en el servicio de alcantarillado en el sector rural</t>
  </si>
  <si>
    <t>Aumentar en 3 puntos (a 6%) la cobertura de alcantarillado en zona rural en el departamento de Bolívar</t>
  </si>
  <si>
    <t>Construcción y/o rehabilitación de sistemas de alcantarillado para aumentar cobertura del servicio en zona rural en el departamento de Bolívar</t>
  </si>
  <si>
    <t>Aumento de la cobertura en el suministro de Energía en el sector rural</t>
  </si>
  <si>
    <t>Viviendas en zonas rurales
con suministro de energía
desde fuentes de energía
renovables</t>
  </si>
  <si>
    <t>5.1.4</t>
  </si>
  <si>
    <t xml:space="preserve">Ingreso, trabajo y productividad en el campo. </t>
  </si>
  <si>
    <t>Hogares rurales de Bolívar que han aumentado su productividad</t>
  </si>
  <si>
    <t>% de Hogares rurales de bolivar que han aumentado su productividad</t>
  </si>
  <si>
    <t>20 Hogares rurales de Bolívar que han aumentado su productividad</t>
  </si>
  <si>
    <t>Numero de Hogares rurales de Bolívar que han aumentado su productividad</t>
  </si>
  <si>
    <t>Entrega de insumos, semilla, herramienta, maquinaria para pequeños ´productores del departamento</t>
  </si>
  <si>
    <t>Escuelas rurales que brindan educación media articulada con la vocación del territorio.</t>
  </si>
  <si>
    <t>% Escuelas rurales que brindan educación media articulada con la vocación del territorio.</t>
  </si>
  <si>
    <t>Numero de Escuelas rurales que brindan educación media articulada con la vocación del territorio.</t>
  </si>
  <si>
    <t xml:space="preserve"> </t>
  </si>
  <si>
    <t xml:space="preserve">Encadenamientos productivos que benefician familias rurales acompañados y apoyados. </t>
  </si>
  <si>
    <t xml:space="preserve">% de Encadenamientos productivos que benefician familias rurales acompañados y apoyados. </t>
  </si>
  <si>
    <t xml:space="preserve">4 Encadenamientos productivos que benefician familias rurales acompañados y apoyados. </t>
  </si>
  <si>
    <t xml:space="preserve">Numero de  Encadenamientos productivos que benefician familias rurales acompañados y apoyados. </t>
  </si>
  <si>
    <t>Entrega de insumos y semilla para pequeños ´productores del departamento</t>
  </si>
  <si>
    <t>Asociaciones de pequeños productores conformadas y apoyadas.</t>
  </si>
  <si>
    <t>% de Asociaciones de pequeños productores conformadas y apoyadas.</t>
  </si>
  <si>
    <t>una  Asociaciones de pequeños productores conformadas y apoyadas.</t>
  </si>
  <si>
    <t>Numero de   Asociaciones de pequeños productores conformadas y apoyadas.</t>
  </si>
  <si>
    <t>Proyectos productivos con enfoque poblacional, para población rural bolivarense
presentados y aprobados</t>
  </si>
  <si>
    <t>% de Proyectos productivos con enfoque poblacional, para población rural bolivarense
presentados y aprobados</t>
  </si>
  <si>
    <t>Numero de Proyectos productivos con enfoque poblacional, para población rural bolivarense
presentados y aprobados</t>
  </si>
  <si>
    <t>Proyectos productivos para poblaciones minorias</t>
  </si>
  <si>
    <t>Proyectos productivos con enfoque de género, para apoyar a mujeres campesinas
bolivarenses presentados y
aprobados.</t>
  </si>
  <si>
    <t>% de Proyectos productivos con enfoque de género, para apoyar a mujeres campesinas
bolivarenses presentados y
aprobados.</t>
  </si>
  <si>
    <t>Numero de Proyectos productivos con enfoque de género, para apoyar a mujeres campesinas
bolivarenses presentados y
aprobados.</t>
  </si>
  <si>
    <t>Proyectos productivos con enfoque de genero</t>
  </si>
  <si>
    <t>Fondos de desarrollo rural creados para el fomento de la asociatividad.</t>
  </si>
  <si>
    <t xml:space="preserve">Fondos de desarrollo rural creados para el fomento de la asociatividad </t>
  </si>
  <si>
    <t xml:space="preserve">Un Fondos de desarrollo rural creados para el fomento de la asociatividad </t>
  </si>
  <si>
    <t xml:space="preserve">Talleres de capacitación para promover la productividad la asociatividad y los emprendimientos familiares </t>
  </si>
  <si>
    <t xml:space="preserve">% Talleres de capacitación para promover la productividad la asociatividad y los emprendimientos familiares </t>
  </si>
  <si>
    <t xml:space="preserve">12 Talleres de capacitación para promover la productividad la asociatividad y los emprendimientos familiares </t>
  </si>
  <si>
    <t xml:space="preserve">Numero de  Talleres de capacitación para promover la productividad la asociatividad y los emprendimientos familiares </t>
  </si>
  <si>
    <t>Talleres realizados en el desarrollo del proyecto de extension agropecuria del departamento de Bolivar en 10 encadenamientos productivos</t>
  </si>
  <si>
    <t>Jóvenes rurales adquieren competencias laborales a través de la Educación para el Trabajo y el Desarrollo
Humano</t>
  </si>
  <si>
    <t>% de Jóvenes rurales adquieren competencias laborales a través de la Educación para el Trabajo y el Desarrollo
Humano</t>
  </si>
  <si>
    <t>Numero de   Jóvenes rurales adquieren competencias laborales a través de la Educación para el Trabajo y el Desarrollo
Humano</t>
  </si>
  <si>
    <t>Programacion de cursos con el sena Bolivar agroempresarial</t>
  </si>
  <si>
    <t>Mujeres rurales adquieren competencias laborales a través de la Educación para el Trabajo y el Desarrollo
Humano.</t>
  </si>
  <si>
    <t>% de Mujeres rurales adquieren competencias laborales a través de la Educación para el Trabajo y el Desarrollo
Humano.</t>
  </si>
  <si>
    <t>Numero de   Mujeres rurales adquieren competencias laborales a través de la Educación para el Trabajo y el Desarrollo
Humano.</t>
  </si>
  <si>
    <t>5.1.5</t>
  </si>
  <si>
    <t>Infraestructura rural.</t>
  </si>
  <si>
    <t>Mejorar las condiciones de las vías para transportarse entre zonas rurales y los centros urbanos</t>
  </si>
  <si>
    <t>552,13 Km</t>
  </si>
  <si>
    <t>170 Kilometros</t>
  </si>
  <si>
    <t>Intervenir kilometros de  Red vial terciaria, para interconectar el sector rural con centros urbanos.</t>
  </si>
  <si>
    <t>170 Km de la Red vial terciaria intervenida</t>
  </si>
  <si>
    <t xml:space="preserve">Mejorar, rehabilitar y/o mantener  Kilometros de red vial terciaria para interconectar el sector rural con centros urbanos </t>
  </si>
  <si>
    <t>AGRICULTURA Y DESARROLLO RURAL</t>
  </si>
  <si>
    <t>Las concepciones del desarrollo rural se han ido modificando en la medida que se percibe la
complejidad y diversidad de la realidad, es por ello que las sociedades rurales han presentado
cambios estructurales. Estos cambios hacen que tengamos que ver y analizar lo rural de
diferente manera</t>
  </si>
  <si>
    <t xml:space="preserve">Construir, mejorar y/o rehabilitar   metros lineales de puentes en el sector rural.  </t>
  </si>
  <si>
    <t>200 Metros lineales de puentes construidos o intervenidos en el sector rural</t>
  </si>
  <si>
    <t>Construir, mejorar, rehabilitar y/o mantener  puentes en el sector rural</t>
  </si>
  <si>
    <t>5.1.6</t>
  </si>
  <si>
    <t>Cultura, deporte y recreación en el campo.</t>
  </si>
  <si>
    <t>Municipios de Bolívar con población rural apoyados en sus procesos artísticos, deportivos y culturales.</t>
  </si>
  <si>
    <t>Eventos para la visibilizarían de las manifestaciones artísticas y culturales de población RURAL en el departamento de Bolívar</t>
  </si>
  <si>
    <t>Espacios institucionales en medios de comunicación apoyados para difundir las manifestaciones socioculturales de la población RURAL</t>
  </si>
  <si>
    <t>Eventos anuales realizados para la promoción, reconocimiento, rescate y salvaguarda de valores, hábitos, tradiciones y costumbres del campesino bolivarense.</t>
  </si>
  <si>
    <t>Convocatorias de estímulos a artistas, creadores y Gestores culturales RURAL realizadas</t>
  </si>
  <si>
    <t>Artistas, creadores y Gestores culturales rurales capacitados</t>
  </si>
  <si>
    <t>Actividades deportivas rurales, organizadas y apoyadas</t>
  </si>
  <si>
    <t xml:space="preserve">Programa Juegos Intercolegiados.         </t>
  </si>
  <si>
    <t>6.1</t>
  </si>
  <si>
    <t xml:space="preserve">CAPITULO ATENCIÓN A VÍCTIMAS, CONSTRUCCIÓN DE PAZ Y RECONCILIACIÓN </t>
  </si>
  <si>
    <t>6.1.1</t>
  </si>
  <si>
    <t>Asistencia, atención y reparación para el restablecimiento de derechos de la población víctima y la construcción de paz.</t>
  </si>
  <si>
    <t xml:space="preserve">Victimas que han superado la condición de vulnerabilidad </t>
  </si>
  <si>
    <t>80.2%</t>
  </si>
  <si>
    <t xml:space="preserve">Implementación de acciones estratégicas orientadas a garantizar el acceso de las víctimas del conflicto armado a las medidas de asistencia y atención en todo el territorio departamental </t>
  </si>
  <si>
    <t xml:space="preserve">Victima que han superado la carencia de Subsistencia mínima </t>
  </si>
  <si>
    <t xml:space="preserve">3,4,5,10,16 </t>
  </si>
  <si>
    <t>Unidades productivas creadas y/o fortalecidas por población víctima para la generación de ingresos.</t>
  </si>
  <si>
    <t>3,4,5,10,16</t>
  </si>
  <si>
    <t>Recursos Propios</t>
  </si>
  <si>
    <t>Asistencia y Atencion</t>
  </si>
  <si>
    <t>Víctimas colocadas laboralmente para la generación de ingresos con enfoque diferencial y étnico</t>
  </si>
  <si>
    <t>Víctimas del conflicto con estrategias de fomento para el acceso a la educación inicial, preescolar, básica y media.</t>
  </si>
  <si>
    <t>88.8%</t>
  </si>
  <si>
    <t>Fortalecimiento del acceso a cupos diferenciado especiales de educación superior para la población víctima, de acuerdo a resolución de la Universidad de Cartagena</t>
  </si>
  <si>
    <t xml:space="preserve">Personas víctimas del conflicto armado VINCULADAS con centros de formación técnica y superior </t>
  </si>
  <si>
    <t>Personas víctimas beneficiarias con modelos de alfabetización con enfoque diferencial y étnico</t>
  </si>
  <si>
    <t>Víctimas del conflicto con estrategias de afiliación al Regimen subsidiado en salud.</t>
  </si>
  <si>
    <t>Victima atendida en acciones de promoción social con enfoque diferencial y étnico</t>
  </si>
  <si>
    <t>Iniciativas para la recuperación emocional y la resiliencia con enfoque de genero</t>
  </si>
  <si>
    <t xml:space="preserve">Hogares víctimas que reciben recursos para el mejoramiento de condiciones de habitabilidad </t>
  </si>
  <si>
    <t>60.4%</t>
  </si>
  <si>
    <t>Hogares con unidades productivas para autoconsumo instaladas</t>
  </si>
  <si>
    <t xml:space="preserve">Centro Regional de atención a víctimas construidos y en funcionamiento </t>
  </si>
  <si>
    <t xml:space="preserve">Puntos de atención a víctimas fortalecidos y/o dotación  </t>
  </si>
  <si>
    <t>Jornadas Itinerante para la atención integral a victimas</t>
  </si>
  <si>
    <t xml:space="preserve">Hogares víctimas con atención humanitaria </t>
  </si>
  <si>
    <t>6.1.2</t>
  </si>
  <si>
    <t>Garantizar la no repetición y la ocurrencia de hechos revictimizantes para las víctimas y para la población reincorporada en el Departamento de Bolívar.</t>
  </si>
  <si>
    <t>Tiene el propósito de enfrentar los factores de riesgo, eliminar las amenazas y disminuir su impacto en la comunidad</t>
  </si>
  <si>
    <t>Plan de Prevención formulado, ejecutado y revisado anualmente</t>
  </si>
  <si>
    <t>3,5,10,16</t>
  </si>
  <si>
    <t xml:space="preserve">PREVENCION Y PROTECCION </t>
  </si>
  <si>
    <t>Plan de Contingencia formulado, ejecutado y revisado anualmente</t>
  </si>
  <si>
    <t>Recursos para líderes de Victimas, sociales, reincorporados y defensores de ddhh, amenazados con ayuda y atención humanitaria (en especie y/o dinero)</t>
  </si>
  <si>
    <t xml:space="preserve">Zonas identificadas y actualizadas con riesgos de minas antipersonales </t>
  </si>
  <si>
    <t>Atención y seguimiento a las alertas tempranas emanadas por la Defensoría del Pueblo</t>
  </si>
  <si>
    <t xml:space="preserve">6.1.3 </t>
  </si>
  <si>
    <t>monitoreo y seguimiento realizados en la implementación de las intervenciones para la inclusión social y productiva de la población en situación de
vulnerabilidad,</t>
  </si>
  <si>
    <t>Porcentaje de Víctimas que han superado la condición de vulnerabilidad</t>
  </si>
  <si>
    <t>implica contribuir a la reconstrucción del proyecto de vida y dignificación de las víctimas en sus dimensiones individual, colectiva, material, moral y simbólica.</t>
  </si>
  <si>
    <t>numero de Informes de monitoreo y seguimiento elaborados a planes de reparación colectiva</t>
  </si>
  <si>
    <t>mantenimiento</t>
  </si>
  <si>
    <t>3, 6, 7 y 10</t>
  </si>
  <si>
    <t>contribuir a la reconstruccion del proyecto de vida de las victimas garantizando las medidas de reparacion integral</t>
  </si>
  <si>
    <t>Acciones cumplidas dentro del plan de reparación colectiva, aplicando el decreto de corresponsabilidad</t>
  </si>
  <si>
    <t xml:space="preserve">incremento </t>
  </si>
  <si>
    <t xml:space="preserve">REPARACION COLECTIVA,  RETORNOS Y REUBICACIONES </t>
  </si>
  <si>
    <t>Garantizar la dignificacion de las victimas en su dimension coletiva y la no repeticion de los  hechos victimizantes</t>
  </si>
  <si>
    <t xml:space="preserve">porcentaje de Victimas que han superado la
condición de vulnerabilidad </t>
  </si>
  <si>
    <t>construccion de canchas, acueducto, y alcantarillado , vias, instituciones educativas, puestos de salud, cultura y recreacion  en municipios con procesos retornos y reubicaciones</t>
  </si>
  <si>
    <t xml:space="preserve">Numero de Acciones cumplidas dentro del
plan de retorno y reubicación y
restitución de tierras, aplicando
el decreto de corresponsabilidad
departamental </t>
  </si>
  <si>
    <t xml:space="preserve">6.1.4 </t>
  </si>
  <si>
    <t>Garantizar en el territorio departamental la participación efectiva de las víctimas de acuerdo con el protocolo de participación emanado por la Unidad Nacional de Victimas</t>
  </si>
  <si>
    <t xml:space="preserve">Las Mesas de Participación Efectiva son las que a nombre de las víctimas concertarán con el Estado los planes, programas y proyectos, destinados a desarrollar las políticas públicas de Victimas. </t>
  </si>
  <si>
    <t>Jornadas de asistencia técnica integral presenciales a entes territoriales</t>
  </si>
  <si>
    <t xml:space="preserve">PARTICIPACION EFECTIVA </t>
  </si>
  <si>
    <t>Asistencia Técnica y jurídica a la Mesa Departamental y a las Mesas Municipales de Participación de víctimas del conflicto armado en el Departamento de Bolívar</t>
  </si>
  <si>
    <t>Convocatoria y elección de la Mesa Departamental de victimas</t>
  </si>
  <si>
    <t xml:space="preserve">Plan de Acción de Mesa Departamental concertado y ejecutado </t>
  </si>
  <si>
    <t xml:space="preserve">Espacios de coordinación y participación en la política pública de víctimas de la mesa departamental. </t>
  </si>
  <si>
    <t xml:space="preserve">6.1.5 </t>
  </si>
  <si>
    <t>Elaboración y ejecución de acciones, planes y proyectos para la gestión institucional</t>
  </si>
  <si>
    <t>Proyecto ejecutado</t>
  </si>
  <si>
    <t>Proyecto para el fortalecimiento para la gestión institucional</t>
  </si>
  <si>
    <t xml:space="preserve">Lograr la conformación y consolidación del Consejo Departamental y Municipales de Paz </t>
  </si>
  <si>
    <t>Asistencia técnica para el fortalecimiento, la socialización y la elección del Consejo Departamental de Paz, reconciliación y Derechos Humanos y los Consejos Municipales de Paz</t>
  </si>
  <si>
    <t xml:space="preserve">FORTALECIMIENTO Y SISTEMAS DE INFORMACION  </t>
  </si>
  <si>
    <t>Brindar asistencia tecnica para lograr la participación de todos los municipios en la oferta isntitucional</t>
  </si>
  <si>
    <t>Asistencia Técnica a municipios para la participación en la oferta institucional</t>
  </si>
  <si>
    <t>Ejecutar el plan de acción territorial en todos los municipios</t>
  </si>
  <si>
    <t>Asistencia Técnica a municipios para la formulación, ejecución y seguimiento del plan de acción territorial, contingencia, Prevención y protección.</t>
  </si>
  <si>
    <t>Realizar asistecia técnica para la caracterización en los municipios del departamento de Bolívar, con enfoque diferencial y étnico</t>
  </si>
  <si>
    <t>Asistencia Técnica y apoyo subsidiario a municipios para la caracterización de las víctimas con enfoque diferencial y étnico</t>
  </si>
  <si>
    <t xml:space="preserve">Ejecutar Plan de Acción Territorial PAT con enfoque diferencial y étnico </t>
  </si>
  <si>
    <t>Formulación del Plan de Acción Territorial PAT con enfoque diferencial y étnico</t>
  </si>
  <si>
    <t>Realizar la Construcción y seguimiento al modelo de gestión transversal departamental</t>
  </si>
  <si>
    <t>Construcción y seguimiento al modelo de gestión transversal para la atención reparación, garantías de no repetición, la reconciliación y construcción de paz en el departamento de Bolívar</t>
  </si>
  <si>
    <t xml:space="preserve">Lograr Sensibilizar a los funcionarios publicos del departamento para la atención a victimas con enfoque diferencial </t>
  </si>
  <si>
    <t>Sensibilización a funcionarios públicos del departamento para atención a víctimas con enfoque diferencial.</t>
  </si>
  <si>
    <t>Reestructuración de las dependencias de la secretaría de victimas y reconciliación departamento de Bolívar según lo que indique la ley.</t>
  </si>
  <si>
    <t>Reestructurar la dependencia de la Secretaría de Víctimas de acuerdo a los lineamientos del gobierno Nacional en temas de paz, reconciliación y trabajo por las víctimas.</t>
  </si>
  <si>
    <t xml:space="preserve">Convocar  y consolidar los comites de justicia transicional </t>
  </si>
  <si>
    <t>Comités de Justicia Transicional Departamental realizados</t>
  </si>
  <si>
    <t>Actualizar todas las plataformas de los sistemas de información, en las fechas establecidas, en articulación con el SNARIV</t>
  </si>
  <si>
    <t>Sistemas de información actualizados en articulación con entidades del SNARIV territorial Bolívar</t>
  </si>
  <si>
    <t>6.1.6</t>
  </si>
  <si>
    <t>cumplir un rol estratégico para garantizar el goce efectivo de los derechos de las víctimas y en la armonización de la restitución con las apuestas del desarrollo territorial</t>
  </si>
  <si>
    <t xml:space="preserve">Víctimas reparadas administrativamente </t>
  </si>
  <si>
    <t>cumplimiento de las condiciones para el retorno a los predios restituidos (salud, educación, vivienda, seguridad, etc.)</t>
  </si>
  <si>
    <t xml:space="preserve">Información de municipios beneficiarios de restitución de tierras </t>
  </si>
  <si>
    <t xml:space="preserve">Información de municipios que aún no cuentan con fallos de restitución de tierras con datos cuantitativos que podrán ser utilizados en la construcción de diagnósticos municipales en materia de restitución de tierras. </t>
  </si>
  <si>
    <t>Coordinar las Medidas de protección integral a las víctimas, testigos y a los funcionarios públicos que intervengan en los procedimientos administrativos y judiciales de reparación y en especial de restitución de tierras.</t>
  </si>
  <si>
    <t>Atender los fallos de los jueces y magistrados en materia de restitución de tierras y derechos territoriales que involucran a las administraciones públicas</t>
  </si>
  <si>
    <t>6.1.7</t>
  </si>
  <si>
    <t>Lograr el desarrollo de programas, planes y proyectos para la construción de paz, memoria historica, convivencia y que  fomenten la reincorporación comunitaria de los excombatientes FARC-EP</t>
  </si>
  <si>
    <t>Estrategia de Reincorporación comunitaria sostenible para la consolidación de la Paz.</t>
  </si>
  <si>
    <t>Lograr consolidación de conversación y articulación institucional para tratar temas relacionados a los procesos de reintegración y reincorporación en el departamento de Bolívar.</t>
  </si>
  <si>
    <t>Fortalecimiento y convocatoria de la Mesa Técnica de Reincorporación.</t>
  </si>
  <si>
    <t>Promover la convivencia, la paz y la reconciliación a través de la ejecución de acciones e iniciativas en los municipios PDET.</t>
  </si>
  <si>
    <t>Proyectos de convivencia, paz y reconciliación en las dos zonas PDET del departamento de Bolívar</t>
  </si>
  <si>
    <t xml:space="preserve">Promover la construcción de Paz y convivencia a través de actividades relacionadas con el deporte y la cultura. </t>
  </si>
  <si>
    <t>Jornadas de Integración deportivas y culturales.</t>
  </si>
  <si>
    <t>Generar procesos efectivos de reconstrucción del tejido social, teniendo como motor la construcción y fortalecimiento de la reconciliación y la memoria histórica en el departamento de Bolívar.</t>
  </si>
  <si>
    <t>Iniciativas o acciones de Memoria Histórica para comunidades, que se requiere realizar o difundir en la entidad territorial.</t>
  </si>
  <si>
    <t xml:space="preserve">Lograr la implementación de proyectos para el desarrollo y consolidadción de la Paz que cuenten con la participación de población civil y excombatientes FARC-EP. </t>
  </si>
  <si>
    <t>Reincorporados en proyectos comunitarios y sociales implementados junto con las comunidades afectadas por la violencia</t>
  </si>
  <si>
    <t>Integrar asociaciones y cooperativas en el desarrollo de proyectos productivos junto con reincorporados</t>
  </si>
  <si>
    <t>Cooperativas/asociaciones locales en proyectos productivos colectivos junto con reincorporados.</t>
  </si>
  <si>
    <t>En cooperación institucional, lograr desarrollar proyectos para el mejoramiento de viviendas de los miembros de los procesos de reintegración y reincorporación.</t>
  </si>
  <si>
    <t>Mejoramientos de vivienda iniciados para familias de reincorporados.</t>
  </si>
  <si>
    <t>Lograr aumentar la participación de los miembros del proceso de Reincorporación en programas de educación escolar, técnica y profesional en conjunto con instituciones academicas.</t>
  </si>
  <si>
    <t>Reincorporados, o familiares, incluidos en programas de educación.</t>
  </si>
  <si>
    <t>6.2</t>
  </si>
  <si>
    <t>6,2,1</t>
  </si>
  <si>
    <t>Consultivas, consejos comunitarios, y organizaciones de base población negra, afrocolombiana, raizal, palenquera, indígena y rom participando en acciones de articulación institucional</t>
  </si>
  <si>
    <t>Procesos de capacitación y/o formación en fortalecimiento organizativo a Consejos comunitarios, Comisión Consultiva departamental y organizaciones de base</t>
  </si>
  <si>
    <t>Política pública para la atención de la población negra, afrocolombiana, raizal, palenquera, indígena y rom asentada en Bolívar construida y aprobada por la Asamblea departamental</t>
  </si>
  <si>
    <t>Espacios e instancias de representatividad étnicos creados, activos y en articulación con la administración departamental (consultiva departamental, consultiva de alto nivel, otros)</t>
  </si>
  <si>
    <t>Estrategia integral para la concientización y respeto sobre la identidad, diversidad étnica y cultural de la población negra, afrocolombiana, raizal, palenquera, indígena y rom.</t>
  </si>
  <si>
    <t>6.2.2</t>
  </si>
  <si>
    <t>Municipios con población negra, afrocolombiana, raizal, palenquera, indígena y rom organizada con sus mujeres en pleno goce y disfrute de sus derechos.</t>
  </si>
  <si>
    <t>4 Eventos para la promoción de derechos de las mujeres población negra, afrocolombiana, raizal, palenquera, indígena y rom</t>
  </si>
  <si>
    <t xml:space="preserve">ODS 5 </t>
  </si>
  <si>
    <t>1 Estudio de caracterización de la
situación económica, política y social de la mujer población negra, afrocolombiana, raizal, palenquera, indígena y rom asentada en el departamento de Bolívar.</t>
  </si>
  <si>
    <t>Estudios de caracterización de la
situación económica, política y social de la mujer población negra, afrocolombiana, raizal, palenquera, indígena y rom asentada en el departamento de Bolívar.</t>
  </si>
  <si>
    <t>2 Acciones afirmativas con perspectiva de género en el ámbito de la educación</t>
  </si>
  <si>
    <t>Acciones afirmativas con perspectiva de género en el ámbito de la educación</t>
  </si>
  <si>
    <t>8 Espacios de capacitación y /o formación para mujeres Afro</t>
  </si>
  <si>
    <t>Espacios de capacitación y /o formación para mujeres Afro</t>
  </si>
  <si>
    <t>6.2.3</t>
  </si>
  <si>
    <t>Municipios de Bolívar que reconocen las manifestaciones artísticas y culturales de la comunidad población negra, afrocolombiana, raizal, palenquera, indígena y rom como factor de consolidación de los procesos de identificación y cohesión social de esta comunidad.</t>
  </si>
  <si>
    <t>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t>
  </si>
  <si>
    <t>Municipios población negra, afrocolombiana, raizal, palenquera, indígena y rom asistidos en la implementación de acciones de protección y salvaguarda del Patrimonio material e inmaterial bolivarense</t>
  </si>
  <si>
    <t>Eventos para la visibilizarían de las manifestaciones artísticas y culturales de población negra, afrocolombiana, raizal, palenquera, indígena y rom en el departamento de Bolívar</t>
  </si>
  <si>
    <t>espacios institucionales en medios de comunicación apoyados para difundir las manifestaciones socioculturales de la población negra, afrocolombiana, raizal, palenquera, indígena y rom</t>
  </si>
  <si>
    <t xml:space="preserve">N.D </t>
  </si>
  <si>
    <t>Convocatorias de estímulos a artistas, creadores y Gestores culturales población negra, afrocolombiana, raizal, palenquera, indígena y rom realizadas</t>
  </si>
  <si>
    <t>Eventos artísticos y culturales apoyados para promover e incentivar la participación de niños, niñas, adolescentes y jóvenes población negra, afrocolombiana, raizal,
palenquera, indígena y rom</t>
  </si>
  <si>
    <t>Artistas, creadores y Gestores culturales población negra, afrocolombiana, raizal, palenquera, indígena y rom capacitados</t>
  </si>
  <si>
    <t>6,2,4</t>
  </si>
  <si>
    <t xml:space="preserve">Municipios de Bolívar con población negra,
afrocolombiana, raizal, palenquera, indígena y
rom organizada, apoyados en sus actividades deportivas dirigidas a población negra,
afrocolombiana, raizal, palenquera, indígena y
rom.
</t>
  </si>
  <si>
    <t xml:space="preserve">% Municipios de Bolívar con población negra,
afrocolombiana, raizal, palenquera, indígena y
rom organizada, apoyados en sus actividades deportivas dirigidas a población negra,
afrocolombiana, raizal, palenquera, indígena y
rom.
</t>
  </si>
  <si>
    <t>Eventos deportivos y recreativos
organizados y realizados con la
participación de población negra,
afrocolombiana, raizal,
palenquera, indígena y rom</t>
  </si>
  <si>
    <t>No. de eventos deportivos y recreativos
organizados y realizados con la
participación de población negra,
afrocolombiana, raizal,
palenquera, indígena y rom</t>
  </si>
  <si>
    <t>6,2,5</t>
  </si>
  <si>
    <t>Municipios con población negra, afrocolombiana, raizal, palenquera, indígena y rom organizada, apoyados que mejoran su productividad.</t>
  </si>
  <si>
    <t>iniciativas productivas, 
culturales, educativas, científicas, sociales y deportivas de población negra, afrocolombiana, raizal, palenquera, indígena y rom apoyadas</t>
  </si>
  <si>
    <t>Desarrollar 4 iniciativas productivas en cabeza de la mujer población negra, afrocolombiana, raizal, palenquera, indígena y rom</t>
  </si>
  <si>
    <t>iniciativas productivas en cabeza de la mujer población negra, afrocolombiana, raizal, palenquera, indígena y rom</t>
  </si>
  <si>
    <t>Atencion a grupos vulnerables - Promocion Social</t>
  </si>
  <si>
    <t xml:space="preserve">Emprendimientos culturales de población negra, afrocolombiana, raizal, palenquera, indígena y rom apoyados </t>
  </si>
  <si>
    <t>Adelantar 4 procesos de formación y capacitación empresarial para población negra, afrocolombiana, raizal, palenquera, indígena y rom</t>
  </si>
  <si>
    <t>procesos de formación y capacitación empresarial para población negra, afrocolombiana, raizal, palenquera, indígena y rom</t>
  </si>
  <si>
    <t>100%de losMunicipios con población negra, afrocolombiana, raizal, palenquera, indígena y rom organizada con asistencia técnica para la formulación y presentación de proyectos a la cooperación nacional e internacional, en el marco del Decenio Afro</t>
  </si>
  <si>
    <t>Municipios con población negra, afrocolombiana, raizal, palenquera, indígena y rom organizada con asistencia técnica para la formulación y presentación de proyectos a la cooperación nacional e internacional, en el marco del Decenio Afro</t>
  </si>
  <si>
    <t>Asesorarías, procesos de asistencia técnica y acompañamiento   a micros, pequeños y medianos empresarios población negra, afrocolombiana, raizal, palenquera, indígena y rom</t>
  </si>
  <si>
    <t>6.2.6</t>
  </si>
  <si>
    <t>Municipios con población negra, afrocolombiana, raizal, palenquera, indígena y rom organizada, cuya educación se basa en un enfoque diferencial adaptado a las tradiciones ancestrales de la población negra, afrocolombiana, raizal, palenquera, indígena y rom.</t>
  </si>
  <si>
    <t>Programas etno educativos
implementados</t>
  </si>
  <si>
    <t>Foros y encuentros Para socializar experiencias e iniciativas relacionadas con la implementación de los Estudios
Afrocolombianos</t>
  </si>
  <si>
    <t>Docentes y directivos docentes, vinculados a la planta de personal que se auto reconocen población negra, afrocolombiana, raizal, palenquera, indígena y rom, en programas de alto nivel</t>
  </si>
  <si>
    <t>Sistema de estímulos creado para estimular a las I.E. oficiales que desarrollen experiencias significativas y exitosas en la implementación de la Afrocolombianidad.</t>
  </si>
  <si>
    <t>Estudiantes que se reconocen población negra, afrocolombiana, raizal, palenquera, indígena y rom apadrinados para cursar estudios de Educación Superior</t>
  </si>
  <si>
    <t>Municipios con población negra, afrocolombiana, raizal, palenquera, indígena y rom organizada, que mejoran la cobertura y calidad educativa de los estudiantes pertenecientes a la población negra, afrocolombiana, raizal, palenquera, indígena y rom</t>
  </si>
  <si>
    <t>Personas con título de pregrado, apoyados para cursar estudios de posgrados</t>
  </si>
  <si>
    <t>6.2.7</t>
  </si>
  <si>
    <t>Municipios de Bolívar en los que se garantiza la protección y respecto de los derechos humanos de la población negra, afrocolombiana, raizal, palenquera, indígena y rom en el marco del derecho internacional Humanitario</t>
  </si>
  <si>
    <t>Acciones de atención y tratamiento especial a la población negra, afrocolombiana, raizal,  palenquera, indígena y rom asentada en Bolívar, víctima del conflicto armado</t>
  </si>
  <si>
    <t xml:space="preserve">Actividades para propiciar la inclusión y participación de la población negra, afrocolombiana, raizal, palenquera, indígena y rom, asentada en Bolívar, en el sistema departamental de justicia. </t>
  </si>
  <si>
    <t>PORCENTAJE</t>
  </si>
  <si>
    <t>Observatorio para el control, seguimiento y vigilancia de los derechos humanos de la población negra, afrocolombiana, raizal, palenquera, indígena y rom</t>
  </si>
  <si>
    <t>6.2.8</t>
  </si>
  <si>
    <t>Comunidades indígenas asentadas en territorio bolivarense que mejoran sus condiciones de vida al tiempo que fortalecen su identidad y cultura</t>
  </si>
  <si>
    <t>Política pública indígena formulada</t>
  </si>
  <si>
    <t>Espacios de capacitación y/o formación para representantes legales de población indígena (cabildos y otros reconocidos legalmente y registrados ante el Ministerio del Interior).</t>
  </si>
  <si>
    <t>iniciativas productivas de población indígena bolivarense apoyadas</t>
  </si>
  <si>
    <t>Emprendimientos culturales de población indígena apoyados</t>
  </si>
  <si>
    <t xml:space="preserve">Eventos apoyados para la visibilizarían de las manifestaciones artísticas y culturales de población indígena en el departamento de Bolívar </t>
  </si>
  <si>
    <t>6.3</t>
  </si>
  <si>
    <t>6.3.1</t>
  </si>
  <si>
    <t>15% de niños, niñas y adolescentes
beneficiarios de Programas para la Celebración del Día de la Niñez de acuerdo a los lineamientos de la Corporación Juego y Niñez implementado</t>
  </si>
  <si>
    <t>Porcentaje de niños, niñas y adolescentes
beneficiarios de Programas para la Celebración del Día de la Niñez de acuerdo a los lineamientos de la Corporación Juego y Niñez implementado</t>
  </si>
  <si>
    <t>50.000 Niños, niñas y adolescentes beneficiarios de Proyectos realizados para la Celebración del Día de la Niñez.</t>
  </si>
  <si>
    <t>Niños, niñas y adolescentes beneficiarios de Proyectos realizados para la Celebración del Día de la Niñez.</t>
  </si>
  <si>
    <t>ODS 3</t>
  </si>
  <si>
    <t>implementado para la prevención del trabajo infantil dirigido a los niños y niñas con familias afectadas económicamente por el COVID-19</t>
  </si>
  <si>
    <t xml:space="preserve">8 espacios adecuados y/o construidos y dotados para su funcionamiento como ludotecas en zonas urbanas y rurales de Bolívar </t>
  </si>
  <si>
    <t xml:space="preserve">Número de espacios adecuados y/o construidos y dotados para su funcionamiento como ludotecas en zonas urbanas y rurales de Bolívar </t>
  </si>
  <si>
    <t>20% de niños y niñas en servicios de educación inicial, en el marco de la atención integral, que cuentan con seis o más atenciones.</t>
  </si>
  <si>
    <t>Porcentaje de niños y niñas en servicios de educación inicial, en el marco de la atención integral, que cuentan con seis o más atenciones.</t>
  </si>
  <si>
    <t>12Agentes educativos formados y cualificados en la atención a la primera infancia</t>
  </si>
  <si>
    <t>Agentes educativos formados y cualificados en la atención a la primera infancia</t>
  </si>
  <si>
    <t>8 sedes para la educación inicial de niños y niñas que cuentan con dotación para el fortalecimiento de ambientes pedagógicos en la primera infancia</t>
  </si>
  <si>
    <t>Número de sedes para la educación inicial de niños y niñas que cuentan con dotación para el fortalecimiento de ambientes pedagógicos en la primera infancia</t>
  </si>
  <si>
    <t>no</t>
  </si>
  <si>
    <t>ODS 5</t>
  </si>
  <si>
    <t>26.000 adolescentes sensibilizados a través de estrategia para la prevención de embarazo en adolescente</t>
  </si>
  <si>
    <t>Número de adolescentes sensibilizados a través de estrategia para la prevención de embarazo en adolescente</t>
  </si>
  <si>
    <t>18 actividades y/o proyectos realizados en zonas urbanas y rurales en el marco de la implementación de la Política Pública de Infancia, Adolescencia y Familia del departamento de Bolívar</t>
  </si>
  <si>
    <t>Número de actividades y/o proyectos realizados en zonas urbanas y rurales en el marco de la implementación de la Política Pública de Infancia, Adolescencia y Familia del departamento de Bolívar</t>
  </si>
  <si>
    <t>ods3</t>
  </si>
  <si>
    <t>1 Programa creado e implementado para la prevención del embarazo en adolescentes y matrimonio infantil, precoz y/o forzado</t>
  </si>
  <si>
    <t>Programa creado e implementado para la prevención del embarazo en adolescentes y matrimonio infantil, precoz y/o forzado</t>
  </si>
  <si>
    <t xml:space="preserve">1 Programa creado e implementado para la prevención abuso y explotación sexual y comercial en NNA </t>
  </si>
  <si>
    <t xml:space="preserve">Programa creado e implementado para la prevención abuso y explotación sexual y comercial en NNA </t>
  </si>
  <si>
    <t>si</t>
  </si>
  <si>
    <t>ODS5</t>
  </si>
  <si>
    <t>45 municipios con estrategias implementadas para la prevención de la vulneración de los derechos de los niños, las niñas y los adolescentes durante y posterior al COVID - 19</t>
  </si>
  <si>
    <t>BA</t>
  </si>
  <si>
    <t>6.4</t>
  </si>
  <si>
    <t>6.4.1</t>
  </si>
  <si>
    <t>Organizaciones sociales de jóvenes participando del sistema departamental de juventud</t>
  </si>
  <si>
    <t>Política Pública Departamental de juventud elaborada e implementada (con seguimiento)</t>
  </si>
  <si>
    <t>Plataformas municipales y departamental de juventud constituidas y activas</t>
  </si>
  <si>
    <t>Municipios con Consejos Municipales de Juventud elegidos.</t>
  </si>
  <si>
    <t>Jóvenes infractores en el SRPA con medidas protectoras, educativas y restaurativas</t>
  </si>
  <si>
    <t>Apoyo al restablecimiento en administración de justicia de jóvenes infractores (acompañamiento técnico, inversión directa departamento, APP)</t>
  </si>
  <si>
    <t>6.5</t>
  </si>
  <si>
    <t xml:space="preserve">BOLÍVAR GARANTIZA DERECHOS Y CUBRE LAS NECESIDADES DE ENVEJECIMIENTO Y VEJEZ. </t>
  </si>
  <si>
    <t>6.5.1</t>
  </si>
  <si>
    <t>7200 Adultos Mayores beneficiados a través de los recursos de estampilla para el Bienestar del Adulto Mayor</t>
  </si>
  <si>
    <t>Número de Adultos Mayores beneficiados a través de los recursos de estampilla para el Bienestar del Adulto Mayor</t>
  </si>
  <si>
    <t>45 Centros de Vida Municipal apoyados a través de los recursos de estampilla para el Bienestar del Adulto Mayor</t>
  </si>
  <si>
    <t>Número de Centros de Vida Municipal apoyados a través de los recursos de estampilla para el Bienestar del Adulto Mayor</t>
  </si>
  <si>
    <t>ODS10</t>
  </si>
  <si>
    <t>40 Centros de Vida Municipal ubicados en zona rural apoyados a través de los recursos de estampilla para el Bienestar del Adulto Mayor</t>
  </si>
  <si>
    <t>Número de Centros de Vida Municipal ubicados en zona rural apoyados a través de los recursos de estampilla para el Bienestar del Adulto Mayor</t>
  </si>
  <si>
    <t>8 Centros de Protección apoyados a través de los recursos de estampilla para el Bienestar del Adulto Mayor</t>
  </si>
  <si>
    <t>Número de Centros de Protección apoyados a través de los recursos de estampilla para el Bienestar del Adulto Mayor</t>
  </si>
  <si>
    <t>600 Adultos Mayores alfabetizados</t>
  </si>
  <si>
    <t>Número de Adultos Mayores alfabetizados</t>
  </si>
  <si>
    <t>100  hogares y cuidadores de adultos mayores con acompañamiento familiar y psicosocial, rutinas de autocuidados</t>
  </si>
  <si>
    <t>Número de hogares y cuidadores de adultos mayores con acompañamiento familiar y psicosocial, rutinas de autocuidados</t>
  </si>
  <si>
    <t>3 Encuentros Departamental de Adulto Mayor realizados</t>
  </si>
  <si>
    <t>Número de Encuentros Departamental de Adulto Mayor realizados</t>
  </si>
  <si>
    <t>3 Proyectos de Alfabetización para el Adulto Mayor realizados</t>
  </si>
  <si>
    <t>Número de Proyectos de Alfabetización para el Adulto Mayor realizados</t>
  </si>
  <si>
    <t>3 Proyectos para la Dignificación del Adulto Mayor ejecutado</t>
  </si>
  <si>
    <t>Número de Proyectos para la Dignificación del Adulto Mayor ejecutado</t>
  </si>
  <si>
    <t>6.6</t>
  </si>
  <si>
    <t>6.6.1</t>
  </si>
  <si>
    <t>1 Política Pública para la Equidad de Género y Autonomía de la Mujer Bolivarense implementada y actualizada</t>
  </si>
  <si>
    <t>Política Pública para la Equidad de Género y Autonomía de la Mujer Bolivarense implementada y actualizada</t>
  </si>
  <si>
    <t>8 actividades y/o proyectos realizados en zonas urbanas y rurales para la implementación de la Política Pública para la Equidad de Género y Autonomía de la Mujer Bolivarense</t>
  </si>
  <si>
    <t>Número de actividades y/o proyectos realizados en zonas urbanas y rurales para la implementación de la Política Pública para la Equidad de Género y Autonomía de la Mujer Bolivarense</t>
  </si>
  <si>
    <t>1 Documento actualizado de Política Pública para la Equidad de Género y Autonomía de la Mujer Bolivarense</t>
  </si>
  <si>
    <t>Documento actualizado de Política Pública para la Equidad de Género y Autonomía de la Mujer Bolivarense</t>
  </si>
  <si>
    <t>GESTIÓN, REALIZADO DE MANERA VIRTUAL</t>
  </si>
  <si>
    <t xml:space="preserve">6000 personas sensibilizadas en
rechazo al maltrato a la mujer y las
violencias de género
</t>
  </si>
  <si>
    <t xml:space="preserve">Número de personas sensibilizadas en
rechazo al maltrato a la mujer y las
violencias de género
</t>
  </si>
  <si>
    <t>3 actividades y/o proyectos realizados para el empoderamiento en derechos de la mujer bolivarense y la prevención de las VBG</t>
  </si>
  <si>
    <t>Número de actividades y/o proyectos realizados para el empoderamiento en derechos de la mujer bolivarense y la prevención de las VBG</t>
  </si>
  <si>
    <t>Creación y Puesta en Marcha de 1 Escuela de Participación Política y/o Control Político para Mujeres itinerante en el departamento de Bolívar</t>
  </si>
  <si>
    <t>Creación y Puesta en Marcha de Escuela de Participación Política y/o Control Político para Mujeres itinerante en el departamento de Bolívar</t>
  </si>
  <si>
    <t>1 espacio construido para la protección y restablecimiento de derechos de mujeres víctimas de VBG y víctimas del conflicto armado</t>
  </si>
  <si>
    <t>Número de espacios construidos para la protección y restablecimiento de derechos de mujeres víctimas de VBG y víctimas del conflicto armado</t>
  </si>
  <si>
    <t>500 iniciativas productivas de mujeres apoyadas</t>
  </si>
  <si>
    <t>Número de iniciativas productivas de mujeres apoyadas</t>
  </si>
  <si>
    <t>1 estrategia implementadas el empoderamiento productivo de la mujer bolivarense</t>
  </si>
  <si>
    <t>Número de estrategias implementadas el empoderamiento productivo de la mujer bolivarense</t>
  </si>
  <si>
    <t>1 Programa para el bienestar de la Mujer Rural Bolivarense implementado</t>
  </si>
  <si>
    <t>Programa para el bienestar de la Mujer Rural Bolivarense implementado</t>
  </si>
  <si>
    <t>1 alianzas estratégicas consolidadas para la rehabilitación en salud mental de mujeres afectadas por la emergencia sanitaria COVID-19 y sus consecuencias</t>
  </si>
  <si>
    <t>Número de alianzas estratégicas consolidadas para la rehabilitación en salud mental de mujeres afectadas por la emergencia sanitaria COVID-19 y sus consecuencias</t>
  </si>
  <si>
    <t>6000 personas sensibilizadas en rechazo al maltrato a la mujer y las violencias de género</t>
  </si>
  <si>
    <t>Número de personas sensibilizadas en rechazo al maltrato a la mujer y las violencias de género</t>
  </si>
  <si>
    <t>1 campaña informativa
y educativas realizadas para la
sensibilización de la participación
masculina en el trabajo doméstico
y la lucha contra el maltrato a la
mujer y la violencia intrafamiliar</t>
  </si>
  <si>
    <t>6.7</t>
  </si>
  <si>
    <t>6.7.1</t>
  </si>
  <si>
    <t>Municipios fortalecidos con organizaciones sociales LGBTIQ constituidas y activas</t>
  </si>
  <si>
    <t>Política Pública de género y diversidad sexual Departamental formulada e implementada (con seguimiento)</t>
  </si>
  <si>
    <t>Mesas municipales y departamental activas</t>
  </si>
  <si>
    <t>Acciones afirmativas hacia la población LGBTIQ en el departamento de Bolívar</t>
  </si>
  <si>
    <t>Organizaciones sociales LGBTIQ apoyando la implementación de un Programa departamental integral de sensibilización sobre el libre desarrollo de la personalidad</t>
  </si>
  <si>
    <t>6.8</t>
  </si>
  <si>
    <t>6.8.1</t>
  </si>
  <si>
    <t>Organizaciones sociales de discapacidad constituidas y activas en Municipios de Bolívar</t>
  </si>
  <si>
    <t>Política Publica de discapacidad Departamental actualizada e implementada (con seguimiento)</t>
  </si>
  <si>
    <t>Comités municipales y departamental activos y operando en el marco del sistema nacional de discapacidad</t>
  </si>
  <si>
    <t>6.9</t>
  </si>
  <si>
    <t>6.9.1</t>
  </si>
  <si>
    <t>Entidades religiosas participantes de la elaboración e implementación de la política pública de asuntos religiosos</t>
  </si>
  <si>
    <t>Política Publica Departamental asuntos religiosos elaborada e implementada (con seguimiento)</t>
  </si>
  <si>
    <t>Municipios impactados por una estrategia de difusión y socialización del respeto a la libertad de cultos</t>
  </si>
  <si>
    <t>6.10</t>
  </si>
  <si>
    <t>6.10.1</t>
  </si>
  <si>
    <t>Personas sindicadas oriundas de Bolívar participes de beneficio de acciones institucionales</t>
  </si>
  <si>
    <t>Construcción y/o adecuación de cárcel para sindicados mediante inversión directa del departamento y municipios, o en convenio APP</t>
  </si>
  <si>
    <t>Personas atendidas con apoyo directo con abastecimiento de elementos y artículos personales para aseo personal, alojamiento.</t>
  </si>
  <si>
    <t>BOLIVAR PROGRESA, SUPERACIÓN DE LA POBREZA</t>
  </si>
  <si>
    <t>BOLÍVAR COMPETITIVO PARA LA INCLUSIÓN SOCIAL</t>
  </si>
  <si>
    <t xml:space="preserve">GESTIÓN AMBIENTAL Y ORDENAMIENTO TERRITORIAL
</t>
  </si>
  <si>
    <t>BOLÍVAR PRIMERO EN FORTALECIMIENTO INSTITUCIONAL Y SEGURIDAD EFECTIVA PARA TODOS</t>
  </si>
  <si>
    <t>BOLÍVAR PRIMERO EN RURALIDAD</t>
  </si>
  <si>
    <t>GRUPOS POBLACIONALES</t>
  </si>
  <si>
    <t>Total general</t>
  </si>
  <si>
    <t>SECRETARÍA DE EDUCACIÓN</t>
  </si>
  <si>
    <t>SECRETARÍA DE INFRAESTRUCTURA</t>
  </si>
  <si>
    <t>TOTAL METAS</t>
  </si>
  <si>
    <t>CUMPLIMIENTO</t>
  </si>
  <si>
    <t>TOTAL METAS PROGRAMADAS 2020</t>
  </si>
  <si>
    <t>CUMPLIMIENTO TOTAL PLAN DE DESARROLLO CUATRENIO</t>
  </si>
  <si>
    <t>12.5%</t>
  </si>
  <si>
    <t>2.5%</t>
  </si>
  <si>
    <t>SECRETARÍA DE LA MUJER</t>
  </si>
  <si>
    <t>SECRETARÍA DE SALUD</t>
  </si>
  <si>
    <t>SECRETARÍA DE PLANEACIÓN</t>
  </si>
  <si>
    <t>SECRETARÍA DE DESARROLLO REGIONAL Y ORDENAMIENTO TERRITORIAL</t>
  </si>
  <si>
    <t>AGUAS DE BOLÍVAR</t>
  </si>
  <si>
    <t>GESTIÓN DE RIESGO</t>
  </si>
  <si>
    <t>IDERBOL/SECRETARÍA PRIVADA</t>
  </si>
  <si>
    <t>SECRETARÍA DE AGRICULTURA</t>
  </si>
  <si>
    <t>SECRETARÍA DE HÁBITAT</t>
  </si>
  <si>
    <t>SECRETARÍA DE HÁBITAT / SECRETARÍA DE LA MUJER</t>
  </si>
  <si>
    <t>SECRETARÍA DE HÁBITAT Y AGUAS DE BOLÍVAR S.A. E.S.P.</t>
  </si>
  <si>
    <t xml:space="preserve">SECRETARÍA DE MINAS Y ENERGÍA   </t>
  </si>
  <si>
    <t>SECRETARÍA DE  MOVILIDAD</t>
  </si>
  <si>
    <t>SECRETARÍA DE VÍCTIMAS</t>
  </si>
  <si>
    <t>Cuenta de Valor esperado 2020</t>
  </si>
  <si>
    <t>TOTAL DE METAS</t>
  </si>
  <si>
    <t>Cuenta de Indicador de Producto</t>
  </si>
  <si>
    <t>Total Plan Departamental de Emergencia Social Para la
Igualdad y la Inclusión</t>
  </si>
  <si>
    <t>Total Bolívar Primero Educa</t>
  </si>
  <si>
    <t>Total Bolivar Primero en Salud</t>
  </si>
  <si>
    <t>Total Hábitat</t>
  </si>
  <si>
    <t>Total Bolívar Primero en Recreacion y Deportes</t>
  </si>
  <si>
    <t>Total Bolívar Promueve el Ate, la Cultura y Salvaguarda su Patrimonio</t>
  </si>
  <si>
    <t>Total BOLIVAR PROGRESA, SUPERACIÓN DE LA POBREZA</t>
  </si>
  <si>
    <t>Total Bolívar Primero en Infraestructura y Transporte</t>
  </si>
  <si>
    <t>Total Formacion para el Trabajo</t>
  </si>
  <si>
    <t>Total Bolívar Primero en Movilidad</t>
  </si>
  <si>
    <t>Total Bolívar Primero en Tecnologias de la Información y las Comunicaciones</t>
  </si>
  <si>
    <t>Total Bolívar Primero en Desarrollo Economico</t>
  </si>
  <si>
    <t>Total Bolívar Primero en agricultura, Explotaciones Pecuarias, Pesca Forestal y Seguridad Alimentaria</t>
  </si>
  <si>
    <t>Total Bolivar Primero en Productividad y Competitividad Minero Energetica</t>
  </si>
  <si>
    <t>Total Bolivar Primero en Turismo</t>
  </si>
  <si>
    <t>Total Trabajo Decente y Sosytenibilidad del Empleo en Escenarios de Amenazas</t>
  </si>
  <si>
    <t>Total Bolivar Primero en Ciencia Tecnologia e Innvacion</t>
  </si>
  <si>
    <t>Total BOLÍVAR COMPETITIVO PARA LA INCLUSIÓN SOCIAL</t>
  </si>
  <si>
    <t xml:space="preserve">Total Bolivar Primero Gestión Ambientaly Desarrollo Territorial </t>
  </si>
  <si>
    <t>Total Bolívar Primero en Conservacion Ambiental</t>
  </si>
  <si>
    <t>Total Bolivar Primero en Adaptación y Mitigación del Cambio Climatico</t>
  </si>
  <si>
    <t>Total Gestión Del Riesgo</t>
  </si>
  <si>
    <t xml:space="preserve">Total GESTIÓN AMBIENTAL Y ORDENAMIENTO TERRITORIAL
</t>
  </si>
  <si>
    <t>Total Bolívar Seguro</t>
  </si>
  <si>
    <t>Total 4.6. BOLÍVAR PRIMERO PROPICIA LA PARTICIPACIÓN CIUDADANA.</t>
  </si>
  <si>
    <t xml:space="preserve">Total BOLÍVAR CON INSTITUCIONALIDAD AL SERVICIO DE LA CIUDADANÍA. </t>
  </si>
  <si>
    <t>Total BOLÍVAR PRIMERO EN FORTALECIMIENTO INSTITUCIONAL Y SEGURIDAD EFECTIVA PARA TODOS</t>
  </si>
  <si>
    <t xml:space="preserve">Total 5.1 Bolívar al campo: plan de atención rural integral y prioritaria - PARIP </t>
  </si>
  <si>
    <t>Total BOLÍVAR PRIMERO EN RURALIDAD</t>
  </si>
  <si>
    <t xml:space="preserve">Total CAPITULO ATENCIÓN A VÍCTIMAS, CONSTRUCCIÓN DE PAZ Y RECONCILIACIÓN </t>
  </si>
  <si>
    <t xml:space="preserve">Total BOLÍVAR GARANTIZA DERECHOS Y CUBRE LAS NECESIDADES DE ENVEJECIMIENTO Y VEJEZ. </t>
  </si>
  <si>
    <t>Total GRUPOS POBLACIONALES</t>
  </si>
  <si>
    <t>IDERBOL/SECRETARÍA DEL INTERIOR/SECRETARÍA PRIVADA</t>
  </si>
  <si>
    <t>% CUMPLIMIENTO CUATRENIO</t>
  </si>
  <si>
    <t>% CIMPLIMIENTO  AÑO 2020</t>
  </si>
  <si>
    <t>No. METAS DE PRODUCTO PDD</t>
  </si>
  <si>
    <t>METAS AÑO 2020</t>
  </si>
  <si>
    <t>BOLÍVAR PRIMERO EN DERECHOS HUMANOS</t>
  </si>
  <si>
    <t>BOLÍVAR CON SISTEMA INTEGRAL DE PLANIFICACIÓN DEPARTAMENTAL</t>
  </si>
  <si>
    <t xml:space="preserve">BOLÍVAR CONTROLA LAS FINANZAS PÚBLICAS. </t>
  </si>
  <si>
    <t>CAPITULO DE MINORÍAS ÉTNICAS.</t>
  </si>
  <si>
    <t>CAPITULO NIÑOS Y NIÑAS EN SU PRIMERA INFANCIA, INFANCIA Y ADOLESCENCIA.</t>
  </si>
  <si>
    <t>JUVENTUD</t>
  </si>
  <si>
    <t>BOLÍVAR PRIMERO GARANTIZA LA EQUIDAD DE GÉNERO Y LA AUTONOMÍA DE LA MUJER BOLIVARENSE.</t>
  </si>
  <si>
    <t>CAPITULO LGTBIQ</t>
  </si>
  <si>
    <t>CAPITULO POBLACIÓN EN SITUACIÓN DE DISCAPACIDAD</t>
  </si>
  <si>
    <t>ASUNTOS RELIGIOSOS</t>
  </si>
  <si>
    <t>SISTEMA PENITENCIARIO</t>
  </si>
  <si>
    <t>ICULTUR Y SECRETARIA PRIVADA</t>
  </si>
  <si>
    <t>PDD</t>
  </si>
  <si>
    <t>BOLIVAR PRIMERO 2020 - 2023</t>
  </si>
  <si>
    <t>EJE ESTRATEGICO</t>
  </si>
  <si>
    <t>LINEA</t>
  </si>
  <si>
    <t>PROGRAMA</t>
  </si>
  <si>
    <t>Asuntos religiosos</t>
  </si>
  <si>
    <t>COD</t>
  </si>
  <si>
    <t>DESCRIPCIÓN</t>
  </si>
  <si>
    <t>NOMBRE</t>
  </si>
  <si>
    <t xml:space="preserve">FECHA DE ELABROACION: </t>
  </si>
  <si>
    <t xml:space="preserve">ELABORADO POR : </t>
  </si>
  <si>
    <t xml:space="preserve">SECRETARÍA DE PLANEACION </t>
  </si>
  <si>
    <t>BOLÍVAR SEGURO</t>
  </si>
  <si>
    <t>BOLÍVAR AL CAMPO: PLAN DE ATENCIÓN RURAL INTEGRAL Y PRIORITARIA - PARIP</t>
  </si>
  <si>
    <t>BOLÍVAR PRIMERO PROPICIA LA PARTICIPACIÓN CIUDADANA.</t>
  </si>
  <si>
    <t>BOLÍVAR CON SISTEMA INTEGRAL DE PLANIFICACION DEPARTAMENTAL</t>
  </si>
  <si>
    <t>GESTIÓN DEL RIESGO</t>
  </si>
  <si>
    <t>BOLIVAR PRIMERO EN ADAPTACIÓN Y MITIGACIÓN DEL CAMBIO CLIMÁTICO</t>
  </si>
  <si>
    <t>BOLÍVAR PRIMERO EN CONSERVACIÓN AMBIENTAL</t>
  </si>
  <si>
    <t>FORMACIÓN PARA EL TRABAJO</t>
  </si>
  <si>
    <t>BOLIVAR PRIMERO GESTIÓN AMBIENTAL Y DESARROLLO TERRITORIAL</t>
  </si>
  <si>
    <t>BOLIVAR PRIMERO EN CIENCIA TECNOLOGÍA E INNOVACIÓN</t>
  </si>
  <si>
    <t>TRABAJO DECENTE Y SOSTENIBILIDAD DEL EMPLEO EN ESCENARIOS DE AMENAZAS</t>
  </si>
  <si>
    <t>BOLIVAR PRIMERO EN TURISMO</t>
  </si>
  <si>
    <t>BOLIVAR PRIMERO EN PRODUCTIVIDAD Y COMPETITIVIDAD MINERO ENERGÉTICA</t>
  </si>
  <si>
    <t>BOLÍVAR PRIMERO EN AGRICULTURA, EXPLOTACIONES PECUARIAS, PESCA FORESTAL Y SEGURIDAD ALIMENTARIA</t>
  </si>
  <si>
    <t>BOLÍVAR PRIMERO EN DESARROLLO ECONÓMICO</t>
  </si>
  <si>
    <t>BOLÍVAR PRIMERO EN TECNOLOGÍAS DE LA INFORMACIÓN Y LAS COMUNICACIONES</t>
  </si>
  <si>
    <t>BOLÍVAR PRIMERO EN MOVILIDAD</t>
  </si>
  <si>
    <t>BOLÍVAR PRIMERO EN INFRAESTRUCTURA Y TRANSPORTE</t>
  </si>
  <si>
    <t>BOLÍVAR PRIMERO EN RECREACIÓN Y DEPORTES</t>
  </si>
  <si>
    <t>HÁBITAT</t>
  </si>
  <si>
    <t>BOLIVAR PRIMERO EN SALUD</t>
  </si>
  <si>
    <t>BOLÍVAR PRIMERO EDUCA</t>
  </si>
  <si>
    <t>PLAN DEPARTAMENTAL DE EMERGENCIA SOCIAL PARA LA IGUALDAD Y LA INCLUSIÓN</t>
  </si>
  <si>
    <t>Fortalecimiento integral de la seguridad y convivencia</t>
  </si>
  <si>
    <t>Garantía integral de los derechos humanos.</t>
  </si>
  <si>
    <t>Fortalecimiento al sistema de Planeación departamental.</t>
  </si>
  <si>
    <t>Programa Descentralización y planeación territorial</t>
  </si>
  <si>
    <t>Atención y servicios al ciudadano de calidad al alcance de todos.</t>
  </si>
  <si>
    <t>Gestión Documental</t>
  </si>
  <si>
    <t>Gobierno Digital</t>
  </si>
  <si>
    <t>Infraestructura física para todos</t>
  </si>
  <si>
    <t>Asistencia Municipal</t>
  </si>
  <si>
    <t>Programa: Cuerpos Bomberos</t>
  </si>
  <si>
    <t>Mejores funcionarios, mejor gobierno</t>
  </si>
  <si>
    <t>Bolívar primero en el territorio: diálogo y acción</t>
  </si>
  <si>
    <t xml:space="preserve">Fortalecimiento financiero administrativo y fiscal de la secretaria de hacienda </t>
  </si>
  <si>
    <t>Participación Ciudadana</t>
  </si>
  <si>
    <t>Organismos comunales</t>
  </si>
  <si>
    <t>Procesos electorales</t>
  </si>
  <si>
    <t>Construcción de Cultura Ciudadana</t>
  </si>
  <si>
    <t>Atención y Asistencia</t>
  </si>
  <si>
    <t>Prevención y Protección</t>
  </si>
  <si>
    <t xml:space="preserve">Reparación Colectiva, retornos y reubicaciones </t>
  </si>
  <si>
    <t>Participación efectiva</t>
  </si>
  <si>
    <t xml:space="preserve">Fortalecimiento para la Gestión institucional y Sistemas de Información </t>
  </si>
  <si>
    <t>Restitución de tierras</t>
  </si>
  <si>
    <t>Programa: Inclusión y reincorporación comunitaria para la consolidación de la paz</t>
  </si>
  <si>
    <t xml:space="preserve">Fortalecimiento de los procesos organizacionales de la población NARP. </t>
  </si>
  <si>
    <t>Mujer y género en población negra, afrocolombiana, raizal, palenquera, indígena y rom</t>
  </si>
  <si>
    <t>Arte, cultura y patrimonio</t>
  </si>
  <si>
    <t>Recreación y deporte.</t>
  </si>
  <si>
    <t>Desarrollo económico</t>
  </si>
  <si>
    <t>Educación</t>
  </si>
  <si>
    <t>Derechos Humanos</t>
  </si>
  <si>
    <t>Atención a población indígena.</t>
  </si>
  <si>
    <t>Niños y niñas en su primera infancia, infancia y adolescencia</t>
  </si>
  <si>
    <t>Juventud</t>
  </si>
  <si>
    <t>Bolívar garantiza derechos y cubre las necesidades de envejecimiento y vejez.</t>
  </si>
  <si>
    <t>Mujer Bolivarense</t>
  </si>
  <si>
    <t>LGTBIQ</t>
  </si>
  <si>
    <t>Población en situación de discapacidad</t>
  </si>
  <si>
    <t>Sistema Penitenciario</t>
  </si>
  <si>
    <t>Plan departamental de emergencia social para la igualdad y la inclusión PLADES.</t>
  </si>
  <si>
    <t>Total BOLÍVAR PRIMERO EN DERECHOS HUMANOS</t>
  </si>
  <si>
    <t>Total BOLÍVAR CON SISTEMA INTEGRAL DE PLANIFICACIÓN DEPARTAMENTAL</t>
  </si>
  <si>
    <t xml:space="preserve">Total BOLÍVAR CONTROLA LAS FINANZAS PÚBLICAS. </t>
  </si>
  <si>
    <t>Total SISTEMA PENITENCIARIO</t>
  </si>
  <si>
    <t>Total CAPITULO DE MINORÍAS ÉTNICAS.</t>
  </si>
  <si>
    <t>Total CAPITULO NIÑOS Y NIÑAS EN SU PRIMERA INFANCIA, INFANCIA Y ADOLESCENCIA.</t>
  </si>
  <si>
    <t>Total JUVENTUD</t>
  </si>
  <si>
    <t>Total BOLÍVAR PRIMERO GARANTIZA LA EQUIDAD DE GÉNERO Y LA AUTONOMÍA DE LA MUJER BOLIVARENSE.</t>
  </si>
  <si>
    <t>Total CAPITULO LGTBIQ</t>
  </si>
  <si>
    <t>Total CAPITULO POBLACIÓN EN SITUACIÓN DE DISCAPACIDAD</t>
  </si>
  <si>
    <t>Total ASUNTOS RELIGIOSOS</t>
  </si>
  <si>
    <t>AVANCE META PRODUCTO 2020 DICIEMBRE DE 2020</t>
  </si>
  <si>
    <t>Municipios con la estrategia
"Soy generación más sonriente",adoptada</t>
  </si>
  <si>
    <t>Nuevos Grupos de
investigaciones generando una cultura que valora y gestiona el conocimiento y la innovación.</t>
  </si>
  <si>
    <t>Número de campañas informativas y educativas realizadas para la sensibilización de la participación masculina en el trabajo doméstico y la lucha contra el maltrato a la mujer y la violencia intrafamiliar</t>
  </si>
  <si>
    <t>IDERBOL/SESCRETARÍA DE INFRAESTRUCTURA</t>
  </si>
  <si>
    <t xml:space="preserve">SECRETARÍA DE PLANEACIÓN </t>
  </si>
  <si>
    <t>AVANCE META PRODUCTO CUATRIENIO JUNIO 30 DE 2021</t>
  </si>
  <si>
    <t>AVANCE META PRODUCTO CUATRIENIO SEPTIEMBRE 30 DE 2021</t>
  </si>
  <si>
    <t>AVANCE META PRODUCTO CUATRIENIO DICIEMBREE 30 DE 2021</t>
  </si>
  <si>
    <t>Valor esperado 2021</t>
  </si>
  <si>
    <t>AVANCE META PRODUCTO 2021 JUNIO 30 DE 2021</t>
  </si>
  <si>
    <t>AVANCE META PRODUCTO 2021 SEPTIEMBRE 30 DE 2021</t>
  </si>
  <si>
    <t>AVANCE META PRODUCTO 2021 DICIEMBRE DE 2021</t>
  </si>
  <si>
    <t>% de Avance años meta producto 2021</t>
  </si>
  <si>
    <t xml:space="preserve">CUATRENIO </t>
  </si>
  <si>
    <t>AVANCE AÑO 2021</t>
  </si>
  <si>
    <t>AVANCE AÑO 2020</t>
  </si>
  <si>
    <t>Porcentaje de establecimientos de interés sanitario vigilados y controlados cumpliendo con la normatividad sanitaria vigente</t>
  </si>
  <si>
    <t>Municipios con estrategia masiva de desparasitación antihelmíntica ejecutada.</t>
  </si>
  <si>
    <t>Municipios con la Estrategia
Instituciones Amigas de la Mujer y la Infancia (IAMI) y el método madre canguro implementado y certificado</t>
  </si>
  <si>
    <t xml:space="preserve">Municipios con Grupos
Participativos Locales (Redes, Veedurías) con capacidades para la
promoción de la participación social y comunitaria en la formulación, ejecución, </t>
  </si>
  <si>
    <t>Municipios (cabeceras y
corregimientos) con tiendas y supermercados con acciones de IVC bajo el enfoque de riesgo
ejecutadas.</t>
  </si>
  <si>
    <t>Municipios con acciones de IVC para el transporte de alimentos (puestos de control) bajo el
enfoque de riesgo ejecutadas</t>
  </si>
  <si>
    <t>Municipios con acciones de IVC a los establecimientos
gastronómicos bajo el enfoque de riesgo ejecutadas.</t>
  </si>
  <si>
    <t>Porcentaje de entidades
territoriales que cuenta con al menos 1 espacio transectorial y comunitario que coordinará la promoción y garantía de los derechos sexuales y reproductivos</t>
  </si>
  <si>
    <t xml:space="preserve">Municipios con desarrollo de
capacidades para la implementación del plan
estratégico “hacia el fin de la tuberculosis” </t>
  </si>
  <si>
    <t>Municipios con la estrategia AIEPI en el componente clínico,comunitario y organizacional
adoptada e implementada</t>
  </si>
  <si>
    <t>Eventos para la promoción de derechos de las mujeres población negra,  afrocolombiana, raizal, palenquera, indígena y rom</t>
  </si>
  <si>
    <t>Ejecutar  proyectos de obras para control inundación, erosión, protección de riberas y canalización de cauces en
los márgenes de los Ríos
Magdalena, Cauca y cauces a
complejos cenagosos.</t>
  </si>
  <si>
    <t>Creación de la Escuela de Gobierno para los municipios</t>
  </si>
  <si>
    <t>AVANCE META PRODUCTO CUATRIENIO JUNIO 30 DE 2022</t>
  </si>
  <si>
    <t>AVANCE META PRODUCTO CUATRIENIO SEPTIEMBRE 30 DE 2022</t>
  </si>
  <si>
    <t>AVANCE META PRODUCTO CUATRIENIO DICIEMBREE 30 DE 2022</t>
  </si>
  <si>
    <t>Valor esperado 2022</t>
  </si>
  <si>
    <t>AVANCE META PRODUCTO 2022 JUNIO 30 DE 2022</t>
  </si>
  <si>
    <t>AVANCE META PRODUCTO 2022 SEPTIEMBRE 30 DE 2022</t>
  </si>
  <si>
    <t>AVANCE META PRODUCTO 2022 DICIEMBRE DE 2022</t>
  </si>
  <si>
    <t>% de Avance años meta producto 2022</t>
  </si>
  <si>
    <t>AVANCE META PRODUCTO CUATRIENIO JUNIO 30 DE 2023</t>
  </si>
  <si>
    <t>AVANCE META PRODUCTO CUATRIENIO SEPTIEMBRE 30 DE 2023</t>
  </si>
  <si>
    <t>AVANCE META PRODUCTO CUATRIENIO DICIEMBREE 30 DE 2023</t>
  </si>
  <si>
    <t>Valor esperado 2023</t>
  </si>
  <si>
    <t>AVANCE META PRODUCTO 2023 JUNIO 30 DE 2023</t>
  </si>
  <si>
    <t>AVANCE META PRODUCTO 2023 SEPTIEMBRE 30 DE 2023</t>
  </si>
  <si>
    <t>AVANCE META PRODUCTO 2023 DICIEMBRE DE 2023</t>
  </si>
  <si>
    <t>% de Avance años meta producto 2023</t>
  </si>
  <si>
    <t>AVANCE META PRODUCTO CUATRIENIO MARZO 30 DE 2021</t>
  </si>
  <si>
    <t>AVANCE META PRODUCTO CUATRIENIO MARZO 30 DE 2022</t>
  </si>
  <si>
    <t>AVANCE META PRODUCTO 2022 MARZO 30 DE 2022</t>
  </si>
  <si>
    <t>AVANCE META PRODUCTO CUATRIENIO MAEZO 30 DE 2023</t>
  </si>
  <si>
    <t>AVANCE AÑO 2022</t>
  </si>
  <si>
    <t>AVANCE AÑO 2023</t>
  </si>
  <si>
    <t>AVANCE META PRODUCTO 2023 MARZO 30 DE 2023</t>
  </si>
  <si>
    <t>AVANCE META PRODUCTO CUATRIENIO DICIEMBRE 30 DE 2020</t>
  </si>
  <si>
    <t>AVANCE META PRODUCTO 2020 NOVIEMBRE DE 2020</t>
  </si>
  <si>
    <t>AVANCE META PRODUCTO CUATRIENIO NOVIEMBRE  30 DE 2020</t>
  </si>
  <si>
    <t>A.18</t>
  </si>
  <si>
    <t xml:space="preserve">PLAN INDICATIVO </t>
  </si>
  <si>
    <t>Incrementar el número de beneficiados con educación y/o capacitación en temas de GRD y ACC</t>
  </si>
  <si>
    <t>TOTAL</t>
  </si>
  <si>
    <t>PRUEBA</t>
  </si>
  <si>
    <t>METAS AÑO 2021</t>
  </si>
  <si>
    <t>Etiquetas de fila</t>
  </si>
  <si>
    <t>Cuenta de Valor esperado 2021</t>
  </si>
  <si>
    <t>(Todas)</t>
  </si>
  <si>
    <t>Cuenta de Valor esperado 2023</t>
  </si>
  <si>
    <t>Cuenta de Valor esperado 2022</t>
  </si>
  <si>
    <t>6.2.1</t>
  </si>
  <si>
    <t>6.2.4</t>
  </si>
  <si>
    <t>6.2.5</t>
  </si>
  <si>
    <t>BOLÍVAR PROMUEVE EL ARTE, LA CULTURA Y SALVAGUARDA SU PATRIMONIO</t>
  </si>
  <si>
    <t>SECRETARÍA DE DESARROLLO REGIONAL Y ORDENAMIENTO TERRITORIAL - SECRETARÍA DE PLANEACIÓN</t>
  </si>
  <si>
    <t>Avance Meta Producto Cuatrienio Diciembre 30 De 2021</t>
  </si>
  <si>
    <t>1500  Jóvenes rurales adquieren competencias laborales a través de la Educación para el Trabajo y el Desarrollo Humano</t>
  </si>
  <si>
    <t>500  Mujeres rurales adquieren competencias laborales a través de la Educación para el Trabajo y el Desarrollo Humano.</t>
  </si>
  <si>
    <t>Incrementar el número de beneficiados con educación y/o capacitación en temas de GRD y ACC:</t>
  </si>
  <si>
    <t>Disminución del número
de eventos presentados y no atendidos por
situaciones de riesgos y
desastres</t>
  </si>
  <si>
    <t>Disminución del número de fallecidos anualmente por situaciones de riesgos 
de eventos atendidos por
situaciones de riesgos y
desastres</t>
  </si>
  <si>
    <t xml:space="preserve">Mantenimiento en el % del número de personas fallecidas y/o desaparecidas en situaciones de riesgo </t>
  </si>
  <si>
    <t>Comunidad Educativa Fortalecida de acuerdo a sus procesos  de diseño curricular de área y de aulacon la incorporación de los DBA</t>
  </si>
  <si>
    <t xml:space="preserve">Municipios con política de
salud mental y consumo de
sustancias psicoactivas
adoptada 
</t>
  </si>
  <si>
    <t xml:space="preserve">IPS Públicas con talento humano
capacitado para la atención con
calidad a pacientes con
Enfermedades trasmitidas por
vectores </t>
  </si>
  <si>
    <t>Municipios con capacidades desarrolladas para la implementacion de la EGI ETV orientadas a la reduccion  de la carga Economica social de la enfermedad</t>
  </si>
  <si>
    <t>Vida Saludable y Enfermedades transmisibles</t>
  </si>
  <si>
    <t xml:space="preserve">Apoyar 15 empresas que promuevan la política de protección laboral </t>
  </si>
  <si>
    <t>Nuevas instituciones de
Educación Superior o tecnica creadas</t>
  </si>
  <si>
    <t>Numero de municipio asesorados en Economia Naranja</t>
  </si>
  <si>
    <t>np</t>
  </si>
  <si>
    <t>1 Programa implementado para la prevención del trabajo infantil dirigido a los niños y niñas con familias afectadas económicamente por el COVID-19</t>
  </si>
  <si>
    <t>4 actividades y/o proyectos realizados para el fortalecimiento de las autoridades municipales en la atención de las Violencias basadas en el Género (VBG)</t>
  </si>
  <si>
    <t>Número de actividades y/o
proyectos realizados para el
fortalecimiento de las autoridades
municipales en la atención de las
Violencias basadas en el Género
(VBG)</t>
  </si>
  <si>
    <t>Municipios con focos de caracterizacion de leishmaniasis con acciones sostenidas de promocion y prevencion implementadas</t>
  </si>
  <si>
    <t>AVANCE META PRODUCTO  MARZO 30 DE 2021</t>
  </si>
  <si>
    <t xml:space="preserve">SECRETARÍA DEL INTERIOR </t>
  </si>
  <si>
    <t>EVALUACION EJE PRODUCTO</t>
  </si>
  <si>
    <t>EVALUACION PROGRAMA AÑO PRODUCTO</t>
  </si>
  <si>
    <t>Avance Meta Producto Cuatrienio Marzo 30 De 2021</t>
  </si>
  <si>
    <t>Avance Meta Producto Cuatrienio Junio 30 De 2021</t>
  </si>
  <si>
    <t>Avance Meta Producto Cuatrienio septiembre 30 De 2021</t>
  </si>
  <si>
    <t xml:space="preserve">Avance Meta Producto 2021 Marzo </t>
  </si>
  <si>
    <t xml:space="preserve">Avance Meta Producto 2021 junio </t>
  </si>
  <si>
    <t xml:space="preserve">Avance Meta Producto 2021 septiembre </t>
  </si>
  <si>
    <t xml:space="preserve">Avance Meta Producto 2021 diciembre </t>
  </si>
  <si>
    <t>Número de municipios asesorados en
Economía Naranja</t>
  </si>
  <si>
    <t>1.6.3</t>
  </si>
  <si>
    <t>Fomentar la creación de las escuelas música en el departamento de
Bolívar</t>
  </si>
  <si>
    <t xml:space="preserve">% de Avance cuatrienio </t>
  </si>
  <si>
    <t>EJECUCIÓN PLAN DESESARROLLO Y PLAN ACCIÓN A CORTE 
MARZO DE 2021</t>
  </si>
  <si>
    <t>EJECUCIÓN PLAN DE DESARROLLO Y PLAN DE ACCIÓN A CORTE 
MARZO DE 2021 POR EJE</t>
  </si>
  <si>
    <t>30 DE ABRIL 2020</t>
  </si>
  <si>
    <t xml:space="preserve">EJECUCIÓN PLAN DE DESARROLLO Y PLAN DE ACCIÓN A CORTE 
MARZO DE 2020 </t>
  </si>
  <si>
    <t>6 GRUPOS POBLACIONALES</t>
  </si>
  <si>
    <t>5 BOLÍVAR PRIMERO EN RURALIDAD</t>
  </si>
  <si>
    <t>4 BOLÍVAR PRIMERO EN FORTALECIMIENTO INSTITUCIONAL Y SEGURIDAD EFECTIVA PARA TODOS</t>
  </si>
  <si>
    <t>3 GESTIÓN AMBIENTAL Y ORDENAMIENTO TERRITORIAL</t>
  </si>
  <si>
    <t>2 BOLÍVAR COMPETITIVO PARA LA INCLUSIÓN SOCIAL</t>
  </si>
  <si>
    <t>1 BOLIVAR PROGRESA, SUPERACIÓN DE LA POBREZA</t>
  </si>
  <si>
    <t>% CUMPLIMIENTO  AÑO 2021</t>
  </si>
  <si>
    <t>CUMPLIMIENTO PLAN DE ACCION 2021</t>
  </si>
  <si>
    <t>ABRIL. 2021</t>
  </si>
  <si>
    <t>cuatrenio</t>
  </si>
  <si>
    <t>año</t>
  </si>
  <si>
    <t>0 a 12</t>
  </si>
  <si>
    <t xml:space="preserve">12 al 25 </t>
  </si>
  <si>
    <t>0 a 12%</t>
  </si>
  <si>
    <t>12 a 20</t>
  </si>
  <si>
    <t>21 en adelante</t>
  </si>
  <si>
    <t>26 en adelante</t>
  </si>
  <si>
    <t xml:space="preserve">13 al 25 </t>
  </si>
  <si>
    <t>13 a 20</t>
  </si>
  <si>
    <t>revisar</t>
  </si>
  <si>
    <t>revisado</t>
  </si>
  <si>
    <t xml:space="preserve">revisado </t>
  </si>
  <si>
    <t xml:space="preserve">se le llamo y se le envio el cuadro a yorlin , pero no manifesto cambio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</si>
</sst>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1" formatCode="_(* #,##0_);_(* \(#,##0\);_(* &quot;-&quot;_);_(@_)"/>
    <numFmt numFmtId="44" formatCode="_(&quot;$&quot;\ * #,##0.00_);_(&quot;$&quot;\ * \(#,##0.00\);_(&quot;$&quot;\ * &quot;-&quot;??_);_(@_)"/>
    <numFmt numFmtId="43" formatCode="_(* #,##0.00_);_(* \(#,##0.00\);_(* &quot;-&quot;??_);_(@_)"/>
    <numFmt numFmtId="164" formatCode="_-* #,##0_-;\-* #,##0_-;_-* &quot;-&quot;_-;_-@_-"/>
    <numFmt numFmtId="165" formatCode="_-&quot;$&quot;\ * #,##0.00_-;\-&quot;$&quot;\ * #,##0.00_-;_-&quot;$&quot;\ * &quot;-&quot;??_-;_-@_-"/>
    <numFmt numFmtId="166" formatCode="_-* #,##0.00_-;\-* #,##0.00_-;_-* &quot;-&quot;??_-;_-@_-"/>
    <numFmt numFmtId="167" formatCode="_(&quot;$&quot;* #,##0.00_);_(&quot;$&quot;* \(#,##0.00\);_(&quot;$&quot;* &quot;-&quot;??_);_(@_)"/>
    <numFmt numFmtId="168" formatCode="_-* #,##0.00\ &quot;€&quot;_-;\-* #,##0.00\ &quot;€&quot;_-;_-* &quot;-&quot;??\ &quot;€&quot;_-;_-@_-"/>
    <numFmt numFmtId="169" formatCode="_(* #,##0_);_(* \(#,##0\);_(* &quot;-&quot;??_);_(@_)"/>
    <numFmt numFmtId="170" formatCode="0.0%"/>
    <numFmt numFmtId="171" formatCode="&quot;$&quot;#,##0"/>
    <numFmt numFmtId="172" formatCode="&quot;$&quot;#,##0;[Red]\-&quot;$&quot;#,##0"/>
    <numFmt numFmtId="173" formatCode="&quot;$&quot;\ #,##0.00"/>
    <numFmt numFmtId="174" formatCode="_-* #,##0_-;\-* #,##0_-;_-* &quot;-&quot;??_-;_-@_-"/>
    <numFmt numFmtId="175" formatCode="_-&quot;$&quot;* #,##0_-;\-&quot;$&quot;* #,##0_-;_-&quot;$&quot;* &quot;-&quot;_-;_-@_-"/>
    <numFmt numFmtId="176" formatCode="#,##0.0"/>
    <numFmt numFmtId="177" formatCode="0.0"/>
    <numFmt numFmtId="178" formatCode="0.000"/>
    <numFmt numFmtId="179" formatCode="0.0000"/>
    <numFmt numFmtId="180" formatCode="_(* #,##0.00_);_(* \(#,##0.00\);_(* &quot;-&quot;_);_(@_)"/>
  </numFmts>
  <fonts count="53" x14ac:knownFonts="1">
    <font>
      <sz val="11"/>
      <color theme="1"/>
      <name val="Calibri"/>
      <family val="2"/>
      <scheme val="minor"/>
    </font>
    <font>
      <sz val="11"/>
      <color theme="1"/>
      <name val="Calibri"/>
      <family val="2"/>
      <scheme val="minor"/>
    </font>
    <font>
      <sz val="12"/>
      <name val="Calibri"/>
      <family val="2"/>
      <scheme val="minor"/>
    </font>
    <font>
      <sz val="18"/>
      <name val="Calibri"/>
      <family val="2"/>
      <scheme val="minor"/>
    </font>
    <font>
      <b/>
      <sz val="12"/>
      <name val="Calibri"/>
      <family val="2"/>
      <scheme val="minor"/>
    </font>
    <font>
      <b/>
      <sz val="11"/>
      <color rgb="FF6F6F6E"/>
      <name val="Calibri"/>
      <family val="2"/>
      <scheme val="minor"/>
    </font>
    <font>
      <sz val="12"/>
      <color theme="1"/>
      <name val="Calibri"/>
      <family val="2"/>
      <scheme val="minor"/>
    </font>
    <font>
      <b/>
      <sz val="9"/>
      <color indexed="81"/>
      <name val="Tahoma"/>
      <family val="2"/>
    </font>
    <font>
      <sz val="9"/>
      <color indexed="81"/>
      <name val="Tahoma"/>
      <family val="2"/>
    </font>
    <font>
      <sz val="11"/>
      <color theme="0"/>
      <name val="Calibri"/>
      <family val="2"/>
      <scheme val="minor"/>
    </font>
    <font>
      <b/>
      <sz val="11"/>
      <color theme="1"/>
      <name val="Calibri"/>
      <family val="2"/>
      <scheme val="minor"/>
    </font>
    <font>
      <b/>
      <sz val="20"/>
      <color theme="1"/>
      <name val="Calibri"/>
      <family val="2"/>
      <scheme val="minor"/>
    </font>
    <font>
      <sz val="11"/>
      <name val="Calibri"/>
      <family val="2"/>
      <scheme val="minor"/>
    </font>
    <font>
      <b/>
      <sz val="18"/>
      <color theme="1"/>
      <name val="Calibri"/>
      <family val="2"/>
      <scheme val="minor"/>
    </font>
    <font>
      <b/>
      <sz val="18"/>
      <name val="Arial"/>
      <family val="2"/>
    </font>
    <font>
      <b/>
      <sz val="16"/>
      <color theme="1"/>
      <name val="Calibri"/>
      <family val="2"/>
      <scheme val="minor"/>
    </font>
    <font>
      <b/>
      <sz val="11"/>
      <color theme="0"/>
      <name val="Calibri"/>
      <family val="2"/>
      <scheme val="minor"/>
    </font>
    <font>
      <sz val="12"/>
      <name val="Arial"/>
      <family val="2"/>
    </font>
    <font>
      <sz val="11"/>
      <color theme="1"/>
      <name val="Arial"/>
      <family val="2"/>
    </font>
    <font>
      <b/>
      <sz val="14"/>
      <name val="Arial"/>
      <family val="2"/>
    </font>
    <font>
      <b/>
      <sz val="20"/>
      <color theme="1"/>
      <name val="Arial"/>
      <family val="2"/>
    </font>
    <font>
      <b/>
      <sz val="12"/>
      <name val="Arial"/>
      <family val="2"/>
    </font>
    <font>
      <sz val="12"/>
      <color theme="1"/>
      <name val="Arial"/>
      <family val="2"/>
    </font>
    <font>
      <sz val="8"/>
      <name val="Calibri"/>
      <family val="2"/>
      <scheme val="minor"/>
    </font>
    <font>
      <b/>
      <sz val="14"/>
      <color theme="0"/>
      <name val="Calibri"/>
      <family val="2"/>
      <scheme val="minor"/>
    </font>
    <font>
      <b/>
      <sz val="16"/>
      <name val="Calibri"/>
      <family val="2"/>
      <scheme val="minor"/>
    </font>
    <font>
      <sz val="22"/>
      <color theme="1"/>
      <name val="Calibri"/>
      <family val="2"/>
      <scheme val="minor"/>
    </font>
    <font>
      <sz val="18"/>
      <color theme="1"/>
      <name val="Arial"/>
      <family val="2"/>
    </font>
    <font>
      <b/>
      <sz val="12"/>
      <color theme="1"/>
      <name val="Arial"/>
      <family val="2"/>
    </font>
    <font>
      <b/>
      <sz val="20"/>
      <name val="Arial"/>
      <family val="2"/>
    </font>
    <font>
      <b/>
      <sz val="22"/>
      <name val="Arial"/>
      <family val="2"/>
    </font>
    <font>
      <b/>
      <sz val="24"/>
      <name val="Arial"/>
      <family val="2"/>
    </font>
    <font>
      <b/>
      <sz val="26"/>
      <name val="Arial"/>
      <family val="2"/>
    </font>
    <font>
      <b/>
      <sz val="22"/>
      <color theme="1"/>
      <name val="Arial"/>
      <family val="2"/>
    </font>
    <font>
      <sz val="22"/>
      <color theme="0"/>
      <name val="Calibri"/>
      <family val="2"/>
      <scheme val="minor"/>
    </font>
    <font>
      <sz val="26"/>
      <name val="Arial"/>
      <family val="2"/>
    </font>
    <font>
      <b/>
      <sz val="14"/>
      <name val="Calibri"/>
      <family val="2"/>
      <scheme val="minor"/>
    </font>
    <font>
      <sz val="14"/>
      <color theme="1"/>
      <name val="Calibri"/>
      <family val="2"/>
      <scheme val="minor"/>
    </font>
    <font>
      <b/>
      <sz val="12"/>
      <color theme="1"/>
      <name val="Calibri"/>
      <family val="2"/>
      <scheme val="minor"/>
    </font>
    <font>
      <b/>
      <sz val="14"/>
      <color theme="1"/>
      <name val="Calibri"/>
      <family val="2"/>
      <scheme val="minor"/>
    </font>
    <font>
      <b/>
      <sz val="12"/>
      <color rgb="FF000000"/>
      <name val="Calibri"/>
      <family val="2"/>
    </font>
    <font>
      <sz val="12"/>
      <color rgb="FF000000"/>
      <name val="Calibri"/>
      <family val="2"/>
    </font>
    <font>
      <b/>
      <sz val="11"/>
      <color rgb="FF000000"/>
      <name val="Calibri"/>
      <family val="2"/>
    </font>
    <font>
      <b/>
      <sz val="14"/>
      <color rgb="FF000000"/>
      <name val="Calibri"/>
      <family val="2"/>
    </font>
    <font>
      <b/>
      <sz val="18"/>
      <color theme="1"/>
      <name val="Arial"/>
      <family val="2"/>
    </font>
    <font>
      <b/>
      <sz val="26"/>
      <name val="Calibri"/>
      <family val="2"/>
      <scheme val="minor"/>
    </font>
    <font>
      <b/>
      <sz val="26"/>
      <color theme="0"/>
      <name val="Calibri"/>
      <family val="2"/>
      <scheme val="minor"/>
    </font>
    <font>
      <b/>
      <sz val="22"/>
      <name val="Calibri"/>
      <family val="2"/>
      <scheme val="minor"/>
    </font>
    <font>
      <b/>
      <sz val="24"/>
      <name val="Calibri"/>
      <family val="2"/>
      <scheme val="minor"/>
    </font>
    <font>
      <b/>
      <sz val="18"/>
      <name val="Calibri"/>
      <family val="2"/>
      <scheme val="minor"/>
    </font>
    <font>
      <sz val="10"/>
      <name val="Bookman Old Style"/>
      <family val="1"/>
    </font>
    <font>
      <sz val="10"/>
      <color theme="1"/>
      <name val="Calibri"/>
      <family val="2"/>
      <scheme val="minor"/>
    </font>
    <font>
      <b/>
      <sz val="16"/>
      <color rgb="FFFF0000"/>
      <name val="Calibri"/>
      <family val="2"/>
      <scheme val="minor"/>
    </font>
  </fonts>
  <fills count="37">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rgb="FFECECEC"/>
        <bgColor indexed="64"/>
      </patternFill>
    </fill>
    <fill>
      <patternFill patternType="solid">
        <fgColor theme="5" tint="0.39997558519241921"/>
        <bgColor indexed="64"/>
      </patternFill>
    </fill>
    <fill>
      <patternFill patternType="solid">
        <fgColor rgb="FFFFC000"/>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rgb="FFFF0000"/>
        <bgColor indexed="64"/>
      </patternFill>
    </fill>
    <fill>
      <patternFill patternType="solid">
        <fgColor theme="5" tint="0.59999389629810485"/>
        <bgColor indexed="64"/>
      </patternFill>
    </fill>
    <fill>
      <patternFill patternType="solid">
        <fgColor theme="9" tint="-0.499984740745262"/>
        <bgColor indexed="64"/>
      </patternFill>
    </fill>
    <fill>
      <patternFill patternType="solid">
        <fgColor theme="3" tint="-0.499984740745262"/>
        <bgColor indexed="64"/>
      </patternFill>
    </fill>
    <fill>
      <patternFill patternType="solid">
        <fgColor theme="8" tint="-0.249977111117893"/>
        <bgColor indexed="64"/>
      </patternFill>
    </fill>
    <fill>
      <patternFill patternType="solid">
        <fgColor theme="4" tint="0.79998168889431442"/>
        <bgColor rgb="FF000000"/>
      </patternFill>
    </fill>
    <fill>
      <patternFill patternType="solid">
        <fgColor theme="5"/>
        <bgColor indexed="64"/>
      </patternFill>
    </fill>
    <fill>
      <patternFill patternType="solid">
        <fgColor theme="0" tint="-4.9989318521683403E-2"/>
        <bgColor rgb="FF000000"/>
      </patternFill>
    </fill>
    <fill>
      <patternFill patternType="solid">
        <fgColor theme="0"/>
        <bgColor rgb="FF000000"/>
      </patternFill>
    </fill>
    <fill>
      <patternFill patternType="solid">
        <fgColor rgb="FF92D050"/>
        <bgColor indexed="64"/>
      </patternFill>
    </fill>
    <fill>
      <patternFill patternType="solid">
        <fgColor rgb="FF00B05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theme="5" tint="-0.249977111117893"/>
        <bgColor indexed="64"/>
      </patternFill>
    </fill>
    <fill>
      <patternFill patternType="solid">
        <fgColor rgb="FFFFCCFF"/>
        <bgColor indexed="64"/>
      </patternFill>
    </fill>
    <fill>
      <patternFill patternType="solid">
        <fgColor rgb="FFFF6600"/>
        <bgColor indexed="64"/>
      </patternFill>
    </fill>
    <fill>
      <patternFill patternType="solid">
        <fgColor theme="7" tint="-0.499984740745262"/>
        <bgColor indexed="64"/>
      </patternFill>
    </fill>
    <fill>
      <patternFill patternType="solid">
        <fgColor theme="7" tint="0.79998168889431442"/>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indexed="64"/>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522B57"/>
      </left>
      <right style="thin">
        <color rgb="FF522B57"/>
      </right>
      <top style="thin">
        <color rgb="FF522B57"/>
      </top>
      <bottom style="thin">
        <color rgb="FF522B57"/>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double">
        <color auto="1"/>
      </bottom>
      <diagonal/>
    </border>
    <border>
      <left/>
      <right style="medium">
        <color indexed="64"/>
      </right>
      <top/>
      <bottom style="medium">
        <color indexed="64"/>
      </bottom>
      <diagonal/>
    </border>
    <border>
      <left style="thin">
        <color theme="0"/>
      </left>
      <right style="thin">
        <color theme="0"/>
      </right>
      <top style="thin">
        <color theme="0"/>
      </top>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s>
  <cellStyleXfs count="29">
    <xf numFmtId="0" fontId="0" fillId="0" borderId="0"/>
    <xf numFmtId="43" fontId="1" fillId="0" borderId="0" applyFont="0" applyFill="0" applyBorder="0" applyAlignment="0" applyProtection="0"/>
    <xf numFmtId="41" fontId="1" fillId="0" borderId="0" applyFont="0" applyFill="0" applyBorder="0" applyAlignment="0" applyProtection="0"/>
    <xf numFmtId="168" fontId="1" fillId="0" borderId="0" applyFont="0" applyFill="0" applyBorder="0" applyAlignment="0" applyProtection="0"/>
    <xf numFmtId="9" fontId="1" fillId="0" borderId="0" applyFont="0" applyFill="0" applyBorder="0" applyAlignment="0" applyProtection="0"/>
    <xf numFmtId="0" fontId="5" fillId="10" borderId="8">
      <alignment horizontal="center" vertical="center" wrapText="1"/>
    </xf>
    <xf numFmtId="43" fontId="1" fillId="0" borderId="0" applyFont="0" applyFill="0" applyBorder="0" applyAlignment="0" applyProtection="0"/>
    <xf numFmtId="167"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175"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cellStyleXfs>
  <cellXfs count="626">
    <xf numFmtId="0" fontId="0" fillId="0" borderId="0" xfId="0"/>
    <xf numFmtId="0" fontId="2" fillId="0" borderId="1" xfId="0" applyFont="1" applyBorder="1" applyAlignment="1">
      <alignment horizontal="center" vertical="center"/>
    </xf>
    <xf numFmtId="0" fontId="2" fillId="0" borderId="0" xfId="0" applyFont="1"/>
    <xf numFmtId="0" fontId="2" fillId="0" borderId="0" xfId="0" applyFont="1" applyAlignment="1">
      <alignment horizontal="center"/>
    </xf>
    <xf numFmtId="0" fontId="2" fillId="0" borderId="0" xfId="0" applyFont="1" applyAlignment="1">
      <alignment wrapText="1"/>
    </xf>
    <xf numFmtId="0" fontId="4" fillId="6" borderId="1" xfId="0" applyFont="1" applyFill="1" applyBorder="1" applyAlignment="1">
      <alignment horizontal="center" vertical="center" wrapText="1"/>
    </xf>
    <xf numFmtId="9" fontId="4" fillId="7" borderId="1" xfId="4"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9" fontId="4" fillId="8" borderId="1" xfId="4"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9" fontId="2" fillId="0" borderId="1" xfId="0" applyNumberFormat="1" applyFont="1" applyBorder="1" applyAlignment="1">
      <alignment vertical="center" wrapText="1"/>
    </xf>
    <xf numFmtId="0" fontId="2" fillId="0" borderId="1" xfId="0" applyFont="1" applyBorder="1" applyAlignment="1">
      <alignment horizontal="left" vertical="center" wrapText="1"/>
    </xf>
    <xf numFmtId="9" fontId="2" fillId="0" borderId="1" xfId="0" applyNumberFormat="1" applyFont="1" applyBorder="1" applyAlignment="1">
      <alignment horizontal="left" vertical="center"/>
    </xf>
    <xf numFmtId="18" fontId="2" fillId="0" borderId="1" xfId="0" applyNumberFormat="1" applyFont="1" applyBorder="1" applyAlignment="1">
      <alignment horizontal="left" vertical="center" wrapText="1"/>
    </xf>
    <xf numFmtId="9" fontId="2" fillId="9" borderId="1" xfId="4" applyFont="1" applyFill="1" applyBorder="1" applyAlignment="1">
      <alignment horizontal="center" vertical="center"/>
    </xf>
    <xf numFmtId="10" fontId="2" fillId="0" borderId="1"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9" fontId="2" fillId="0" borderId="1" xfId="0" applyNumberFormat="1" applyFont="1" applyBorder="1" applyAlignment="1">
      <alignment horizontal="left" vertical="center" wrapText="1"/>
    </xf>
    <xf numFmtId="9" fontId="2" fillId="3" borderId="1" xfId="4" applyFont="1" applyFill="1" applyBorder="1" applyAlignment="1">
      <alignment horizontal="center" vertical="center"/>
    </xf>
    <xf numFmtId="168" fontId="2" fillId="0" borderId="1" xfId="3" applyFont="1" applyFill="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xf>
    <xf numFmtId="3" fontId="2" fillId="0" borderId="1" xfId="0" applyNumberFormat="1" applyFont="1" applyBorder="1" applyAlignment="1">
      <alignment horizontal="center" vertical="center"/>
    </xf>
    <xf numFmtId="9" fontId="2" fillId="0" borderId="1" xfId="0" applyNumberFormat="1" applyFont="1" applyBorder="1" applyAlignment="1">
      <alignment horizontal="center" vertical="center"/>
    </xf>
    <xf numFmtId="1" fontId="2" fillId="0" borderId="1" xfId="0" applyNumberFormat="1" applyFont="1" applyBorder="1" applyAlignment="1">
      <alignment horizontal="center" vertical="center"/>
    </xf>
    <xf numFmtId="9" fontId="2" fillId="0" borderId="1" xfId="1" applyNumberFormat="1" applyFont="1" applyFill="1" applyBorder="1" applyAlignment="1">
      <alignment horizontal="center" vertical="center" wrapText="1"/>
    </xf>
    <xf numFmtId="1" fontId="2" fillId="0" borderId="1" xfId="1" applyNumberFormat="1" applyFont="1" applyFill="1" applyBorder="1" applyAlignment="1">
      <alignment horizontal="center" vertical="center" wrapText="1"/>
    </xf>
    <xf numFmtId="1" fontId="2" fillId="0" borderId="1" xfId="4" applyNumberFormat="1" applyFont="1" applyFill="1" applyBorder="1" applyAlignment="1">
      <alignment horizontal="center" vertical="center"/>
    </xf>
    <xf numFmtId="9" fontId="2" fillId="0" borderId="1" xfId="4" applyFont="1" applyFill="1" applyBorder="1" applyAlignment="1">
      <alignment horizontal="center" vertical="center"/>
    </xf>
    <xf numFmtId="1" fontId="2" fillId="0" borderId="1" xfId="4" applyNumberFormat="1" applyFont="1" applyFill="1" applyBorder="1" applyAlignment="1">
      <alignment horizontal="center" vertical="center" wrapText="1"/>
    </xf>
    <xf numFmtId="9" fontId="2" fillId="0" borderId="1" xfId="4" applyFont="1" applyFill="1" applyBorder="1" applyAlignment="1">
      <alignment horizontal="center" vertical="center" wrapText="1"/>
    </xf>
    <xf numFmtId="0" fontId="2" fillId="0" borderId="1" xfId="5" applyFont="1" applyFill="1" applyBorder="1">
      <alignment horizontal="center" vertical="center" wrapText="1"/>
    </xf>
    <xf numFmtId="1" fontId="2" fillId="0" borderId="1" xfId="0" applyNumberFormat="1" applyFont="1" applyBorder="1" applyAlignment="1">
      <alignment horizontal="left" vertical="center" wrapText="1"/>
    </xf>
    <xf numFmtId="1" fontId="2" fillId="0" borderId="1" xfId="0" applyNumberFormat="1" applyFont="1" applyBorder="1" applyAlignment="1">
      <alignment horizontal="center" vertical="center" wrapText="1"/>
    </xf>
    <xf numFmtId="0" fontId="2" fillId="0" borderId="1" xfId="0" applyFont="1" applyBorder="1" applyAlignment="1">
      <alignment horizontal="justify" vertical="center"/>
    </xf>
    <xf numFmtId="9" fontId="2" fillId="0" borderId="1" xfId="4" applyFont="1" applyFill="1" applyBorder="1" applyAlignment="1">
      <alignment horizontal="left" vertical="center" wrapText="1"/>
    </xf>
    <xf numFmtId="9" fontId="2" fillId="0" borderId="1" xfId="4" applyFont="1" applyFill="1" applyBorder="1" applyAlignment="1">
      <alignment horizontal="left" vertical="center"/>
    </xf>
    <xf numFmtId="0" fontId="2" fillId="0" borderId="1" xfId="0" applyFont="1" applyBorder="1" applyAlignment="1">
      <alignment vertical="center"/>
    </xf>
    <xf numFmtId="10" fontId="2" fillId="0" borderId="1" xfId="0" applyNumberFormat="1" applyFont="1" applyBorder="1" applyAlignment="1">
      <alignment horizontal="lef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xf>
    <xf numFmtId="171"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readingOrder="1"/>
    </xf>
    <xf numFmtId="172" fontId="2" fillId="0" borderId="1" xfId="0" applyNumberFormat="1" applyFont="1" applyBorder="1" applyAlignment="1">
      <alignment horizontal="center" vertical="center" wrapText="1"/>
    </xf>
    <xf numFmtId="171" fontId="2" fillId="0" borderId="1" xfId="0" applyNumberFormat="1" applyFont="1" applyBorder="1" applyAlignment="1">
      <alignment horizontal="center" vertical="center"/>
    </xf>
    <xf numFmtId="173" fontId="2" fillId="0" borderId="1" xfId="0" applyNumberFormat="1" applyFont="1" applyBorder="1" applyAlignment="1">
      <alignment horizontal="center" vertical="center"/>
    </xf>
    <xf numFmtId="3" fontId="2" fillId="0" borderId="1" xfId="0" applyNumberFormat="1" applyFont="1" applyBorder="1" applyAlignment="1">
      <alignment horizontal="left" vertical="center"/>
    </xf>
    <xf numFmtId="3" fontId="2" fillId="0" borderId="1" xfId="0" applyNumberFormat="1" applyFont="1" applyBorder="1" applyAlignment="1">
      <alignment vertical="center" wrapText="1"/>
    </xf>
    <xf numFmtId="0" fontId="6" fillId="0" borderId="0" xfId="0" applyFont="1"/>
    <xf numFmtId="9" fontId="2" fillId="0" borderId="0" xfId="4" applyFont="1" applyFill="1"/>
    <xf numFmtId="0" fontId="2" fillId="0" borderId="0" xfId="0" applyFont="1" applyAlignment="1">
      <alignment horizontal="center" vertical="center"/>
    </xf>
    <xf numFmtId="0" fontId="2" fillId="0" borderId="0" xfId="0" applyFont="1" applyAlignment="1">
      <alignment horizontal="left"/>
    </xf>
    <xf numFmtId="0" fontId="6" fillId="0" borderId="1" xfId="0" applyFont="1" applyBorder="1" applyAlignment="1">
      <alignment horizontal="left" vertical="center" wrapText="1"/>
    </xf>
    <xf numFmtId="9" fontId="4" fillId="9" borderId="1" xfId="4"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3" fontId="4" fillId="2" borderId="1" xfId="0" applyNumberFormat="1" applyFont="1" applyFill="1" applyBorder="1" applyAlignment="1">
      <alignment horizontal="center" vertical="center" wrapText="1"/>
    </xf>
    <xf numFmtId="9" fontId="0" fillId="0" borderId="1" xfId="0" applyNumberFormat="1" applyBorder="1" applyAlignment="1">
      <alignment horizontal="center" vertical="center"/>
    </xf>
    <xf numFmtId="0" fontId="0" fillId="0" borderId="0" xfId="0" applyFill="1"/>
    <xf numFmtId="0" fontId="10" fillId="0" borderId="0" xfId="0" applyFont="1" applyAlignment="1">
      <alignment horizontal="center"/>
    </xf>
    <xf numFmtId="0" fontId="0" fillId="0" borderId="0" xfId="0" applyFont="1"/>
    <xf numFmtId="1"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3" fontId="6" fillId="0" borderId="7"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xf>
    <xf numFmtId="3" fontId="6" fillId="0" borderId="1" xfId="0" applyNumberFormat="1" applyFont="1" applyFill="1" applyBorder="1" applyAlignment="1">
      <alignment horizontal="center" vertical="center"/>
    </xf>
    <xf numFmtId="0" fontId="6" fillId="0" borderId="6" xfId="0" applyFont="1" applyFill="1" applyBorder="1" applyAlignment="1">
      <alignment horizontal="center" vertical="center"/>
    </xf>
    <xf numFmtId="9" fontId="6" fillId="0" borderId="1" xfId="0" applyNumberFormat="1" applyFont="1" applyFill="1" applyBorder="1" applyAlignment="1">
      <alignment horizontal="center" vertical="center" wrapText="1"/>
    </xf>
    <xf numFmtId="0" fontId="6" fillId="15" borderId="1" xfId="0" applyFont="1" applyFill="1" applyBorder="1" applyAlignment="1">
      <alignment horizontal="center" vertical="center"/>
    </xf>
    <xf numFmtId="0" fontId="2" fillId="15" borderId="1" xfId="0" applyFont="1" applyFill="1" applyBorder="1" applyAlignment="1">
      <alignment horizontal="center" vertical="center"/>
    </xf>
    <xf numFmtId="0" fontId="2" fillId="0" borderId="1" xfId="0" applyFont="1" applyFill="1" applyBorder="1" applyAlignment="1">
      <alignment horizontal="center" vertical="center"/>
    </xf>
    <xf numFmtId="9" fontId="0" fillId="0" borderId="0" xfId="4" applyFont="1"/>
    <xf numFmtId="3" fontId="0" fillId="0" borderId="1" xfId="0" applyNumberFormat="1" applyBorder="1" applyAlignment="1">
      <alignment horizontal="center" vertical="center"/>
    </xf>
    <xf numFmtId="0" fontId="0" fillId="0" borderId="0" xfId="0" applyAlignment="1">
      <alignment horizontal="center" vertical="center"/>
    </xf>
    <xf numFmtId="9" fontId="2" fillId="0" borderId="0" xfId="4" applyFont="1"/>
    <xf numFmtId="0" fontId="17" fillId="0" borderId="1" xfId="0" applyFont="1" applyBorder="1" applyAlignment="1">
      <alignment horizontal="center" vertical="center"/>
    </xf>
    <xf numFmtId="0" fontId="17" fillId="0" borderId="0" xfId="0" applyFont="1" applyAlignment="1">
      <alignment horizontal="left"/>
    </xf>
    <xf numFmtId="0" fontId="17" fillId="0" borderId="0" xfId="0" applyFont="1" applyAlignment="1">
      <alignment horizontal="center"/>
    </xf>
    <xf numFmtId="0" fontId="17" fillId="0" borderId="0" xfId="0" applyFont="1"/>
    <xf numFmtId="0" fontId="17" fillId="0" borderId="0" xfId="0" applyFont="1" applyAlignment="1">
      <alignment wrapText="1"/>
    </xf>
    <xf numFmtId="0" fontId="18" fillId="0" borderId="0" xfId="0" applyFont="1"/>
    <xf numFmtId="0" fontId="21" fillId="2" borderId="1" xfId="0" applyFont="1" applyFill="1" applyBorder="1" applyAlignment="1">
      <alignment horizontal="center" vertical="center" wrapText="1"/>
    </xf>
    <xf numFmtId="3" fontId="21" fillId="2" borderId="1" xfId="0" applyNumberFormat="1" applyFont="1" applyFill="1" applyBorder="1" applyAlignment="1">
      <alignment horizontal="center" vertical="center" wrapText="1"/>
    </xf>
    <xf numFmtId="0" fontId="18" fillId="0" borderId="0" xfId="0" applyFont="1" applyAlignment="1">
      <alignment horizontal="center"/>
    </xf>
    <xf numFmtId="0" fontId="17" fillId="0" borderId="1" xfId="0" applyFont="1" applyBorder="1" applyAlignment="1">
      <alignment horizontal="center" vertical="center" wrapText="1"/>
    </xf>
    <xf numFmtId="3" fontId="17" fillId="0" borderId="1" xfId="0" applyNumberFormat="1" applyFont="1" applyBorder="1" applyAlignment="1">
      <alignment horizontal="center" vertical="center" wrapText="1"/>
    </xf>
    <xf numFmtId="168" fontId="17" fillId="0" borderId="1" xfId="3" applyFont="1" applyFill="1" applyBorder="1" applyAlignment="1">
      <alignment horizontal="center" vertical="center"/>
    </xf>
    <xf numFmtId="3" fontId="17" fillId="0" borderId="1" xfId="0" applyNumberFormat="1" applyFont="1" applyBorder="1" applyAlignment="1">
      <alignment horizontal="center" vertical="center"/>
    </xf>
    <xf numFmtId="9" fontId="17" fillId="0" borderId="1" xfId="0" applyNumberFormat="1" applyFont="1" applyBorder="1" applyAlignment="1">
      <alignment horizontal="center" vertical="center"/>
    </xf>
    <xf numFmtId="1" fontId="17" fillId="0" borderId="1" xfId="0" applyNumberFormat="1" applyFont="1" applyBorder="1" applyAlignment="1">
      <alignment horizontal="center" vertical="center"/>
    </xf>
    <xf numFmtId="0" fontId="17" fillId="0" borderId="1" xfId="5" applyFont="1" applyFill="1" applyBorder="1">
      <alignment horizontal="center" vertical="center" wrapText="1"/>
    </xf>
    <xf numFmtId="0" fontId="22" fillId="0" borderId="1" xfId="0" applyFont="1" applyBorder="1" applyAlignment="1">
      <alignment horizontal="center" vertical="center"/>
    </xf>
    <xf numFmtId="171" fontId="17" fillId="0" borderId="1" xfId="0" applyNumberFormat="1" applyFont="1" applyBorder="1" applyAlignment="1">
      <alignment horizontal="center" vertical="center" wrapText="1"/>
    </xf>
    <xf numFmtId="0" fontId="17" fillId="0" borderId="1" xfId="0" applyFont="1" applyBorder="1" applyAlignment="1">
      <alignment horizontal="center" vertical="center" wrapText="1" readingOrder="1"/>
    </xf>
    <xf numFmtId="171" fontId="17" fillId="0" borderId="1" xfId="0" applyNumberFormat="1" applyFont="1" applyBorder="1" applyAlignment="1">
      <alignment horizontal="center" vertical="center"/>
    </xf>
    <xf numFmtId="173" fontId="17" fillId="0" borderId="1" xfId="0" applyNumberFormat="1" applyFont="1" applyBorder="1" applyAlignment="1">
      <alignment horizontal="center" vertical="center"/>
    </xf>
    <xf numFmtId="0" fontId="22" fillId="0" borderId="0" xfId="0" applyFont="1"/>
    <xf numFmtId="9" fontId="17" fillId="0" borderId="0" xfId="4" applyFont="1" applyFill="1"/>
    <xf numFmtId="0" fontId="2" fillId="0" borderId="1" xfId="4" applyNumberFormat="1" applyFont="1" applyFill="1" applyBorder="1" applyAlignment="1">
      <alignment horizontal="center" vertical="center"/>
    </xf>
    <xf numFmtId="170" fontId="2" fillId="0" borderId="1" xfId="0" applyNumberFormat="1" applyFont="1" applyBorder="1" applyAlignment="1">
      <alignment horizontal="center" vertical="center"/>
    </xf>
    <xf numFmtId="0" fontId="0" fillId="0" borderId="1" xfId="0" applyBorder="1" applyAlignment="1">
      <alignment horizontal="left" vertical="center"/>
    </xf>
    <xf numFmtId="1" fontId="6" fillId="0" borderId="1" xfId="0" applyNumberFormat="1" applyFont="1" applyBorder="1" applyAlignment="1">
      <alignment horizontal="center" vertical="center"/>
    </xf>
    <xf numFmtId="0" fontId="2" fillId="18" borderId="1" xfId="0" applyFont="1" applyFill="1" applyBorder="1" applyAlignment="1">
      <alignment horizontal="center" vertical="center"/>
    </xf>
    <xf numFmtId="0" fontId="0" fillId="0" borderId="0" xfId="0" applyAlignment="1">
      <alignment vertical="center" wrapText="1"/>
    </xf>
    <xf numFmtId="0" fontId="0" fillId="0" borderId="0" xfId="0" applyAlignment="1">
      <alignment vertical="center"/>
    </xf>
    <xf numFmtId="0" fontId="0" fillId="0" borderId="1" xfId="0" applyFill="1" applyBorder="1" applyAlignment="1">
      <alignment vertical="center" wrapText="1"/>
    </xf>
    <xf numFmtId="0" fontId="0" fillId="0" borderId="0" xfId="0" applyAlignment="1">
      <alignment horizontal="left" indent="4"/>
    </xf>
    <xf numFmtId="0" fontId="6" fillId="0" borderId="0" xfId="0" applyFont="1" applyAlignment="1">
      <alignment horizontal="center" vertical="center" wrapText="1"/>
    </xf>
    <xf numFmtId="0" fontId="16" fillId="13" borderId="0" xfId="0" applyFont="1" applyFill="1" applyAlignment="1">
      <alignment horizontal="center" vertical="center"/>
    </xf>
    <xf numFmtId="0" fontId="15" fillId="0" borderId="0" xfId="0" applyFont="1" applyAlignment="1">
      <alignment vertical="center"/>
    </xf>
    <xf numFmtId="0" fontId="0" fillId="0" borderId="0" xfId="0" applyAlignment="1">
      <alignment horizontal="right"/>
    </xf>
    <xf numFmtId="0" fontId="9" fillId="13" borderId="0" xfId="0" applyFont="1" applyFill="1"/>
    <xf numFmtId="0" fontId="0" fillId="0" borderId="0" xfId="0" applyNumberFormat="1" applyAlignment="1">
      <alignment horizontal="center" vertical="center"/>
    </xf>
    <xf numFmtId="0" fontId="9" fillId="13" borderId="0" xfId="0" applyFont="1" applyFill="1" applyAlignment="1">
      <alignment vertical="center" wrapText="1"/>
    </xf>
    <xf numFmtId="0" fontId="9" fillId="0" borderId="0" xfId="0" applyFont="1"/>
    <xf numFmtId="0" fontId="9" fillId="20" borderId="17" xfId="0" applyFont="1" applyFill="1" applyBorder="1" applyAlignment="1">
      <alignment horizontal="center" vertical="center"/>
    </xf>
    <xf numFmtId="0" fontId="9" fillId="20" borderId="17" xfId="0" applyFont="1" applyFill="1" applyBorder="1" applyAlignment="1">
      <alignment horizontal="center" vertical="center" wrapText="1"/>
    </xf>
    <xf numFmtId="0" fontId="9" fillId="20" borderId="0" xfId="0" applyFont="1" applyFill="1" applyAlignment="1">
      <alignment vertical="center"/>
    </xf>
    <xf numFmtId="0" fontId="9" fillId="20" borderId="0" xfId="0" applyNumberFormat="1" applyFont="1" applyFill="1" applyAlignment="1">
      <alignment horizontal="center" vertical="center"/>
    </xf>
    <xf numFmtId="0" fontId="9" fillId="21" borderId="0" xfId="0" applyFont="1" applyFill="1" applyAlignment="1">
      <alignment vertical="center"/>
    </xf>
    <xf numFmtId="0" fontId="9" fillId="21" borderId="0" xfId="0" applyNumberFormat="1" applyFont="1" applyFill="1" applyAlignment="1">
      <alignment horizontal="center" vertical="center"/>
    </xf>
    <xf numFmtId="0" fontId="0" fillId="0" borderId="0" xfId="0" applyFill="1" applyAlignment="1">
      <alignment vertical="center" wrapText="1"/>
    </xf>
    <xf numFmtId="9" fontId="0" fillId="0" borderId="0" xfId="0" applyNumberFormat="1" applyAlignment="1">
      <alignment horizontal="center" vertical="center"/>
    </xf>
    <xf numFmtId="9" fontId="9" fillId="21" borderId="0" xfId="0" applyNumberFormat="1" applyFont="1" applyFill="1" applyAlignment="1">
      <alignment horizontal="center" vertical="center"/>
    </xf>
    <xf numFmtId="9" fontId="9" fillId="20" borderId="0" xfId="0" applyNumberFormat="1" applyFont="1" applyFill="1" applyAlignment="1">
      <alignment horizontal="center" vertical="center"/>
    </xf>
    <xf numFmtId="0" fontId="9" fillId="20" borderId="0" xfId="0" applyFont="1" applyFill="1" applyAlignment="1">
      <alignment horizontal="center" vertical="center" wrapText="1"/>
    </xf>
    <xf numFmtId="0" fontId="0" fillId="14" borderId="0" xfId="0" applyFill="1" applyAlignment="1">
      <alignment vertical="center"/>
    </xf>
    <xf numFmtId="0" fontId="2" fillId="18" borderId="1" xfId="0" applyFont="1" applyFill="1" applyBorder="1" applyAlignment="1">
      <alignment horizontal="center" vertical="center" wrapText="1"/>
    </xf>
    <xf numFmtId="3" fontId="2" fillId="0" borderId="1" xfId="4" applyNumberFormat="1" applyFont="1" applyFill="1" applyBorder="1" applyAlignment="1">
      <alignment horizontal="center" vertical="center"/>
    </xf>
    <xf numFmtId="174" fontId="2" fillId="0" borderId="1" xfId="4" applyNumberFormat="1" applyFont="1" applyFill="1" applyBorder="1" applyAlignment="1">
      <alignment horizontal="center" vertical="center"/>
    </xf>
    <xf numFmtId="174" fontId="2" fillId="0" borderId="1" xfId="0" applyNumberFormat="1" applyFont="1" applyBorder="1" applyAlignment="1">
      <alignment horizontal="center" vertical="center"/>
    </xf>
    <xf numFmtId="2" fontId="2" fillId="0" borderId="1" xfId="4" applyNumberFormat="1" applyFont="1" applyFill="1" applyBorder="1" applyAlignment="1">
      <alignment horizontal="center" vertical="center"/>
    </xf>
    <xf numFmtId="0" fontId="2" fillId="0" borderId="1" xfId="4" applyNumberFormat="1" applyFont="1" applyFill="1" applyBorder="1" applyAlignment="1">
      <alignment horizontal="center" vertical="center" wrapText="1"/>
    </xf>
    <xf numFmtId="9" fontId="6" fillId="0" borderId="1" xfId="4" applyFont="1" applyFill="1" applyBorder="1" applyAlignment="1">
      <alignment horizontal="center" vertical="center" wrapText="1"/>
    </xf>
    <xf numFmtId="2" fontId="6" fillId="0" borderId="1" xfId="4" applyNumberFormat="1" applyFont="1" applyFill="1" applyBorder="1" applyAlignment="1">
      <alignment horizontal="center" vertical="center" wrapText="1"/>
    </xf>
    <xf numFmtId="9" fontId="6" fillId="0" borderId="1" xfId="4" applyFont="1" applyFill="1" applyBorder="1" applyAlignment="1">
      <alignment horizontal="center" vertical="center"/>
    </xf>
    <xf numFmtId="2" fontId="6" fillId="0" borderId="1" xfId="4" applyNumberFormat="1" applyFont="1" applyFill="1" applyBorder="1" applyAlignment="1">
      <alignment horizontal="center" vertical="center"/>
    </xf>
    <xf numFmtId="9" fontId="2" fillId="9" borderId="1" xfId="4" applyFont="1" applyFill="1" applyBorder="1" applyAlignment="1">
      <alignment horizontal="center" vertical="center" wrapText="1"/>
    </xf>
    <xf numFmtId="9" fontId="2" fillId="7" borderId="1" xfId="4" applyFont="1" applyFill="1" applyBorder="1" applyAlignment="1">
      <alignment horizontal="center" vertical="center" wrapText="1"/>
    </xf>
    <xf numFmtId="0" fontId="0" fillId="14" borderId="0" xfId="0" applyFill="1"/>
    <xf numFmtId="0" fontId="0" fillId="14" borderId="0" xfId="0" applyFill="1" applyAlignment="1">
      <alignment wrapText="1"/>
    </xf>
    <xf numFmtId="0" fontId="0" fillId="22" borderId="0" xfId="0" applyFill="1" applyAlignment="1">
      <alignment vertical="center" wrapText="1"/>
    </xf>
    <xf numFmtId="0" fontId="12" fillId="0" borderId="0" xfId="0" applyFont="1" applyAlignment="1">
      <alignment horizontal="left"/>
    </xf>
    <xf numFmtId="0" fontId="12" fillId="13" borderId="0" xfId="0" applyFont="1" applyFill="1" applyAlignment="1">
      <alignment horizontal="left"/>
    </xf>
    <xf numFmtId="9" fontId="0" fillId="0" borderId="0" xfId="0" applyNumberFormat="1" applyFill="1"/>
    <xf numFmtId="0" fontId="2" fillId="0" borderId="0" xfId="0" applyFont="1" applyFill="1"/>
    <xf numFmtId="0" fontId="2" fillId="0" borderId="0" xfId="0" applyFont="1" applyFill="1" applyAlignment="1">
      <alignment horizontal="center" vertical="center"/>
    </xf>
    <xf numFmtId="0" fontId="27" fillId="0" borderId="0" xfId="0" applyFont="1"/>
    <xf numFmtId="0" fontId="21" fillId="4" borderId="12" xfId="0" applyFont="1" applyFill="1" applyBorder="1" applyAlignment="1">
      <alignment horizontal="center" vertical="center"/>
    </xf>
    <xf numFmtId="9" fontId="30" fillId="4" borderId="15" xfId="4" applyFont="1" applyFill="1" applyBorder="1" applyAlignment="1">
      <alignment horizontal="center" vertical="center"/>
    </xf>
    <xf numFmtId="0" fontId="2" fillId="14" borderId="1" xfId="0" applyFont="1" applyFill="1" applyBorder="1" applyAlignment="1">
      <alignment horizontal="center" vertical="center"/>
    </xf>
    <xf numFmtId="0" fontId="2" fillId="14" borderId="1" xfId="0" applyFont="1" applyFill="1" applyBorder="1" applyAlignment="1">
      <alignment horizontal="center" vertical="center" wrapText="1"/>
    </xf>
    <xf numFmtId="3" fontId="2" fillId="14" borderId="1" xfId="0" applyNumberFormat="1" applyFont="1" applyFill="1" applyBorder="1" applyAlignment="1">
      <alignment horizontal="center" vertical="center"/>
    </xf>
    <xf numFmtId="169" fontId="2" fillId="14" borderId="1" xfId="1" applyNumberFormat="1" applyFont="1" applyFill="1" applyBorder="1" applyAlignment="1">
      <alignment horizontal="center" vertical="center"/>
    </xf>
    <xf numFmtId="9" fontId="2" fillId="14" borderId="1" xfId="0" applyNumberFormat="1" applyFont="1" applyFill="1" applyBorder="1" applyAlignment="1">
      <alignment horizontal="center" vertical="center"/>
    </xf>
    <xf numFmtId="1" fontId="2" fillId="14" borderId="1" xfId="0" applyNumberFormat="1" applyFont="1" applyFill="1" applyBorder="1" applyAlignment="1">
      <alignment horizontal="center" vertical="center"/>
    </xf>
    <xf numFmtId="0" fontId="6" fillId="14" borderId="1" xfId="0" applyFont="1" applyFill="1" applyBorder="1" applyAlignment="1">
      <alignment horizontal="center" vertical="center"/>
    </xf>
    <xf numFmtId="3" fontId="2" fillId="14" borderId="1" xfId="0" applyNumberFormat="1" applyFont="1" applyFill="1" applyBorder="1" applyAlignment="1">
      <alignment horizontal="center" vertical="center" wrapText="1"/>
    </xf>
    <xf numFmtId="9" fontId="2" fillId="14" borderId="1" xfId="4" applyFont="1" applyFill="1" applyBorder="1" applyAlignment="1">
      <alignment horizontal="center" vertical="center"/>
    </xf>
    <xf numFmtId="10" fontId="2" fillId="14" borderId="1" xfId="0" applyNumberFormat="1" applyFont="1" applyFill="1" applyBorder="1" applyAlignment="1">
      <alignment horizontal="center" vertical="center"/>
    </xf>
    <xf numFmtId="0" fontId="6" fillId="14" borderId="1" xfId="0" applyFont="1" applyFill="1" applyBorder="1" applyAlignment="1">
      <alignment horizontal="center" vertical="center" wrapText="1"/>
    </xf>
    <xf numFmtId="9" fontId="2" fillId="14" borderId="1" xfId="0" applyNumberFormat="1" applyFont="1" applyFill="1" applyBorder="1" applyAlignment="1">
      <alignment horizontal="center" vertical="center" wrapText="1"/>
    </xf>
    <xf numFmtId="10" fontId="2" fillId="14" borderId="1" xfId="0" applyNumberFormat="1" applyFont="1" applyFill="1" applyBorder="1" applyAlignment="1">
      <alignment horizontal="center" vertical="center" wrapText="1"/>
    </xf>
    <xf numFmtId="9" fontId="2" fillId="18" borderId="1" xfId="0" applyNumberFormat="1" applyFont="1" applyFill="1" applyBorder="1" applyAlignment="1">
      <alignment horizontal="center" vertical="center" wrapText="1"/>
    </xf>
    <xf numFmtId="9" fontId="2" fillId="18" borderId="1" xfId="0" applyNumberFormat="1" applyFont="1" applyFill="1" applyBorder="1" applyAlignment="1">
      <alignment horizontal="center" vertical="center"/>
    </xf>
    <xf numFmtId="0" fontId="26" fillId="8" borderId="19" xfId="0" applyFont="1" applyFill="1" applyBorder="1" applyAlignment="1">
      <alignment horizontal="center" vertical="center" wrapText="1"/>
    </xf>
    <xf numFmtId="9" fontId="34" fillId="22" borderId="19" xfId="4" applyFont="1" applyFill="1" applyBorder="1" applyAlignment="1">
      <alignment horizontal="center" vertical="center" wrapText="1"/>
    </xf>
    <xf numFmtId="0" fontId="0" fillId="0" borderId="0" xfId="0" applyFill="1" applyAlignment="1">
      <alignment wrapText="1"/>
    </xf>
    <xf numFmtId="0" fontId="28" fillId="8" borderId="12" xfId="0" applyFont="1" applyFill="1" applyBorder="1" applyAlignment="1">
      <alignment horizontal="center" vertical="center" wrapText="1"/>
    </xf>
    <xf numFmtId="0" fontId="27" fillId="8" borderId="0" xfId="0" applyFont="1" applyFill="1"/>
    <xf numFmtId="9" fontId="33" fillId="8" borderId="16" xfId="4" applyFont="1" applyFill="1" applyBorder="1" applyAlignment="1">
      <alignment horizontal="center" vertical="center"/>
    </xf>
    <xf numFmtId="0" fontId="19" fillId="6" borderId="1" xfId="0" applyFont="1" applyFill="1" applyBorder="1" applyAlignment="1">
      <alignment horizontal="center" vertical="center" wrapText="1"/>
    </xf>
    <xf numFmtId="0" fontId="19" fillId="11" borderId="1" xfId="0" applyFont="1" applyFill="1" applyBorder="1" applyAlignment="1">
      <alignment horizontal="center" vertical="center" wrapText="1"/>
    </xf>
    <xf numFmtId="9" fontId="19" fillId="7" borderId="1" xfId="4" applyFont="1" applyFill="1" applyBorder="1" applyAlignment="1">
      <alignment horizontal="center" vertical="center" wrapText="1"/>
    </xf>
    <xf numFmtId="0" fontId="6" fillId="18" borderId="1" xfId="0" applyFont="1" applyFill="1" applyBorder="1" applyAlignment="1">
      <alignment horizontal="center" vertical="center"/>
    </xf>
    <xf numFmtId="1" fontId="2" fillId="18" borderId="1" xfId="0" applyNumberFormat="1" applyFont="1" applyFill="1" applyBorder="1" applyAlignment="1">
      <alignment horizontal="center" vertical="center"/>
    </xf>
    <xf numFmtId="2" fontId="6" fillId="18" borderId="1" xfId="4" applyNumberFormat="1" applyFont="1" applyFill="1" applyBorder="1" applyAlignment="1">
      <alignment horizontal="center" vertical="center"/>
    </xf>
    <xf numFmtId="3" fontId="6" fillId="18" borderId="1" xfId="0" applyNumberFormat="1" applyFont="1" applyFill="1" applyBorder="1" applyAlignment="1">
      <alignment horizontal="center" vertical="center"/>
    </xf>
    <xf numFmtId="10" fontId="2" fillId="18" borderId="1" xfId="0" applyNumberFormat="1" applyFont="1" applyFill="1" applyBorder="1" applyAlignment="1">
      <alignment horizontal="center" vertical="center"/>
    </xf>
    <xf numFmtId="0" fontId="26" fillId="0" borderId="0" xfId="0" applyFont="1" applyFill="1" applyBorder="1" applyAlignment="1">
      <alignment horizontal="center" vertical="center" wrapText="1"/>
    </xf>
    <xf numFmtId="9" fontId="34" fillId="0" borderId="0" xfId="4" applyFont="1" applyFill="1" applyBorder="1" applyAlignment="1">
      <alignment horizontal="center" vertical="center" wrapText="1"/>
    </xf>
    <xf numFmtId="0" fontId="36" fillId="0" borderId="1" xfId="0" applyNumberFormat="1" applyFont="1" applyFill="1" applyBorder="1" applyAlignment="1">
      <alignment horizontal="center" vertical="center"/>
    </xf>
    <xf numFmtId="9" fontId="36" fillId="0" borderId="1" xfId="0" applyNumberFormat="1" applyFont="1" applyFill="1" applyBorder="1" applyAlignment="1">
      <alignment horizontal="center" vertical="center"/>
    </xf>
    <xf numFmtId="41" fontId="2" fillId="0" borderId="1" xfId="2" applyFont="1" applyFill="1" applyBorder="1" applyAlignment="1">
      <alignment horizontal="center" vertical="center"/>
    </xf>
    <xf numFmtId="9" fontId="6" fillId="18" borderId="1" xfId="0" applyNumberFormat="1" applyFont="1" applyFill="1" applyBorder="1" applyAlignment="1">
      <alignment horizontal="center" vertical="center"/>
    </xf>
    <xf numFmtId="9" fontId="2" fillId="18" borderId="1" xfId="4" applyFont="1" applyFill="1" applyBorder="1" applyAlignment="1">
      <alignment horizontal="center" vertical="center"/>
    </xf>
    <xf numFmtId="0" fontId="15" fillId="6" borderId="1" xfId="0" applyFont="1" applyFill="1" applyBorder="1" applyAlignment="1">
      <alignment horizontal="center"/>
    </xf>
    <xf numFmtId="0" fontId="15" fillId="6" borderId="1" xfId="0" applyFont="1" applyFill="1" applyBorder="1" applyAlignment="1"/>
    <xf numFmtId="0" fontId="24" fillId="20" borderId="1" xfId="0" applyFont="1" applyFill="1" applyBorder="1" applyAlignment="1">
      <alignment vertical="center"/>
    </xf>
    <xf numFmtId="0" fontId="24" fillId="20" borderId="1" xfId="0" applyFont="1" applyFill="1" applyBorder="1" applyAlignment="1">
      <alignment horizontal="left" vertical="center"/>
    </xf>
    <xf numFmtId="0" fontId="24" fillId="20" borderId="1" xfId="0" applyNumberFormat="1" applyFont="1" applyFill="1" applyBorder="1" applyAlignment="1">
      <alignment horizontal="center" vertical="center"/>
    </xf>
    <xf numFmtId="9" fontId="24" fillId="20" borderId="1" xfId="0" applyNumberFormat="1" applyFont="1" applyFill="1" applyBorder="1" applyAlignment="1">
      <alignment horizontal="center" vertical="center"/>
    </xf>
    <xf numFmtId="0" fontId="41" fillId="0" borderId="1" xfId="0" applyFont="1" applyFill="1" applyBorder="1" applyAlignment="1">
      <alignment vertical="center"/>
    </xf>
    <xf numFmtId="0" fontId="0" fillId="0" borderId="1" xfId="0" applyNumberFormat="1" applyBorder="1" applyAlignment="1">
      <alignment horizontal="center" vertical="center"/>
    </xf>
    <xf numFmtId="0" fontId="0" fillId="0" borderId="1" xfId="0" applyNumberFormat="1" applyFill="1" applyBorder="1" applyAlignment="1">
      <alignment horizontal="center" vertical="center"/>
    </xf>
    <xf numFmtId="0" fontId="38" fillId="4" borderId="1" xfId="0" applyFont="1" applyFill="1" applyBorder="1" applyAlignment="1">
      <alignment horizontal="center" vertical="center" wrapText="1"/>
    </xf>
    <xf numFmtId="0" fontId="40" fillId="23" borderId="1" xfId="0" applyFont="1" applyFill="1" applyBorder="1" applyAlignment="1">
      <alignment vertical="center"/>
    </xf>
    <xf numFmtId="0" fontId="40" fillId="23" borderId="1" xfId="0" applyFont="1" applyFill="1" applyBorder="1" applyAlignment="1">
      <alignment horizontal="left" vertical="center"/>
    </xf>
    <xf numFmtId="0" fontId="24" fillId="20" borderId="2" xfId="0" applyFont="1" applyFill="1" applyBorder="1" applyAlignment="1">
      <alignment vertical="center"/>
    </xf>
    <xf numFmtId="0" fontId="24" fillId="20" borderId="2" xfId="0" applyFont="1" applyFill="1" applyBorder="1" applyAlignment="1">
      <alignment horizontal="left" vertical="center"/>
    </xf>
    <xf numFmtId="0" fontId="24" fillId="20" borderId="2" xfId="0" applyNumberFormat="1" applyFont="1" applyFill="1" applyBorder="1" applyAlignment="1">
      <alignment horizontal="center" vertical="center"/>
    </xf>
    <xf numFmtId="9" fontId="24" fillId="20" borderId="2" xfId="0" applyNumberFormat="1" applyFont="1" applyFill="1" applyBorder="1" applyAlignment="1">
      <alignment horizontal="center" vertical="center"/>
    </xf>
    <xf numFmtId="0" fontId="41" fillId="0" borderId="7" xfId="0" applyFont="1" applyFill="1" applyBorder="1" applyAlignment="1">
      <alignment vertical="center"/>
    </xf>
    <xf numFmtId="0" fontId="0" fillId="0" borderId="7" xfId="0" applyBorder="1" applyAlignment="1">
      <alignment horizontal="left" vertical="center"/>
    </xf>
    <xf numFmtId="0" fontId="0" fillId="0" borderId="7" xfId="0" applyFill="1" applyBorder="1" applyAlignment="1">
      <alignment vertical="center" wrapText="1"/>
    </xf>
    <xf numFmtId="0" fontId="0" fillId="0" borderId="7" xfId="0" applyNumberFormat="1" applyBorder="1" applyAlignment="1">
      <alignment horizontal="center" vertical="center"/>
    </xf>
    <xf numFmtId="9" fontId="0" fillId="0" borderId="7" xfId="0" applyNumberFormat="1" applyBorder="1" applyAlignment="1">
      <alignment horizontal="center" vertical="center"/>
    </xf>
    <xf numFmtId="0" fontId="42" fillId="23" borderId="1" xfId="0" applyFont="1" applyFill="1" applyBorder="1" applyAlignment="1">
      <alignment vertical="center" wrapText="1"/>
    </xf>
    <xf numFmtId="0" fontId="10" fillId="0" borderId="0" xfId="0" applyFont="1" applyAlignment="1">
      <alignment horizontal="left" vertical="center"/>
    </xf>
    <xf numFmtId="0" fontId="15" fillId="6" borderId="1" xfId="0" applyFont="1" applyFill="1" applyBorder="1" applyAlignment="1">
      <alignment horizontal="left" vertical="center"/>
    </xf>
    <xf numFmtId="0" fontId="38" fillId="4" borderId="1" xfId="0" applyFont="1" applyFill="1" applyBorder="1" applyAlignment="1">
      <alignment horizontal="center" vertical="center"/>
    </xf>
    <xf numFmtId="9" fontId="38" fillId="4" borderId="1" xfId="4" applyFont="1" applyFill="1" applyBorder="1" applyAlignment="1">
      <alignment horizontal="center" vertical="center"/>
    </xf>
    <xf numFmtId="9" fontId="38" fillId="4" borderId="1" xfId="0" applyNumberFormat="1" applyFont="1" applyFill="1" applyBorder="1" applyAlignment="1">
      <alignment horizontal="center" vertical="center"/>
    </xf>
    <xf numFmtId="0" fontId="15" fillId="6" borderId="1" xfId="0" applyNumberFormat="1" applyFont="1" applyFill="1" applyBorder="1" applyAlignment="1">
      <alignment horizontal="center" vertical="center"/>
    </xf>
    <xf numFmtId="9" fontId="15" fillId="6" borderId="1" xfId="0" applyNumberFormat="1" applyFont="1" applyFill="1" applyBorder="1" applyAlignment="1">
      <alignment horizontal="center" vertical="center"/>
    </xf>
    <xf numFmtId="0" fontId="40" fillId="23" borderId="1" xfId="0" applyFont="1" applyFill="1" applyBorder="1" applyAlignment="1">
      <alignment vertical="center" wrapText="1"/>
    </xf>
    <xf numFmtId="0" fontId="36" fillId="0" borderId="2" xfId="0" applyFont="1" applyFill="1" applyBorder="1" applyAlignment="1">
      <alignment vertical="center"/>
    </xf>
    <xf numFmtId="0" fontId="36" fillId="0" borderId="2" xfId="0" applyFont="1" applyFill="1" applyBorder="1" applyAlignment="1">
      <alignment horizontal="left" vertical="center"/>
    </xf>
    <xf numFmtId="0" fontId="36" fillId="0" borderId="2" xfId="0" applyNumberFormat="1" applyFont="1" applyFill="1" applyBorder="1" applyAlignment="1">
      <alignment horizontal="center" vertical="center"/>
    </xf>
    <xf numFmtId="9" fontId="36" fillId="0" borderId="2" xfId="0" applyNumberFormat="1" applyFont="1" applyFill="1" applyBorder="1" applyAlignment="1">
      <alignment horizontal="center" vertical="center"/>
    </xf>
    <xf numFmtId="0" fontId="36" fillId="0" borderId="1" xfId="0" applyFont="1" applyFill="1" applyBorder="1" applyAlignment="1">
      <alignment horizontal="left" vertical="center"/>
    </xf>
    <xf numFmtId="0" fontId="36" fillId="0" borderId="1" xfId="0" applyFont="1" applyFill="1" applyBorder="1" applyAlignment="1">
      <alignment vertical="center"/>
    </xf>
    <xf numFmtId="0" fontId="36" fillId="9" borderId="2" xfId="0" applyFont="1" applyFill="1" applyBorder="1" applyAlignment="1">
      <alignment vertical="center"/>
    </xf>
    <xf numFmtId="0" fontId="36" fillId="9" borderId="1" xfId="0" applyFont="1" applyFill="1" applyBorder="1" applyAlignment="1">
      <alignment horizontal="left" vertical="center"/>
    </xf>
    <xf numFmtId="0" fontId="36" fillId="9" borderId="1" xfId="0" applyFont="1" applyFill="1" applyBorder="1" applyAlignment="1">
      <alignment vertical="center"/>
    </xf>
    <xf numFmtId="0" fontId="36" fillId="9" borderId="1" xfId="0" applyNumberFormat="1" applyFont="1" applyFill="1" applyBorder="1" applyAlignment="1">
      <alignment horizontal="center" vertical="center"/>
    </xf>
    <xf numFmtId="9" fontId="36" fillId="9" borderId="1" xfId="0" applyNumberFormat="1" applyFont="1" applyFill="1" applyBorder="1" applyAlignment="1">
      <alignment horizontal="center" vertical="center"/>
    </xf>
    <xf numFmtId="0" fontId="38" fillId="24" borderId="1" xfId="0" applyFont="1" applyFill="1" applyBorder="1" applyAlignment="1">
      <alignment horizontal="center" vertical="center" wrapText="1"/>
    </xf>
    <xf numFmtId="0" fontId="24" fillId="20" borderId="1" xfId="0" applyFont="1" applyFill="1" applyBorder="1" applyAlignment="1">
      <alignment vertical="center" wrapText="1"/>
    </xf>
    <xf numFmtId="0" fontId="38" fillId="17" borderId="1" xfId="0" applyFont="1" applyFill="1" applyBorder="1" applyAlignment="1">
      <alignment horizontal="center" vertical="center" wrapText="1"/>
    </xf>
    <xf numFmtId="0" fontId="43" fillId="23" borderId="1" xfId="0" applyFont="1" applyFill="1" applyBorder="1" applyAlignment="1">
      <alignment horizontal="left" vertical="center"/>
    </xf>
    <xf numFmtId="0" fontId="43" fillId="23" borderId="1" xfId="0" applyFont="1" applyFill="1" applyBorder="1" applyAlignment="1">
      <alignment vertical="center"/>
    </xf>
    <xf numFmtId="0" fontId="39" fillId="4" borderId="1" xfId="0" applyFont="1" applyFill="1" applyBorder="1" applyAlignment="1">
      <alignment horizontal="center" vertical="center"/>
    </xf>
    <xf numFmtId="9" fontId="39" fillId="4" borderId="1" xfId="4" applyFont="1" applyFill="1" applyBorder="1" applyAlignment="1">
      <alignment horizontal="center" vertical="center"/>
    </xf>
    <xf numFmtId="9" fontId="39" fillId="4" borderId="1" xfId="0" applyNumberFormat="1" applyFont="1" applyFill="1" applyBorder="1" applyAlignment="1">
      <alignment horizontal="center" vertical="center"/>
    </xf>
    <xf numFmtId="0" fontId="37" fillId="0" borderId="7" xfId="0" applyFont="1" applyBorder="1" applyAlignment="1">
      <alignment horizontal="left" vertical="center"/>
    </xf>
    <xf numFmtId="0" fontId="37" fillId="0" borderId="7" xfId="0" applyFont="1" applyFill="1" applyBorder="1" applyAlignment="1">
      <alignment vertical="center" wrapText="1"/>
    </xf>
    <xf numFmtId="0" fontId="37" fillId="0" borderId="7" xfId="0" applyNumberFormat="1" applyFont="1" applyBorder="1" applyAlignment="1">
      <alignment horizontal="center" vertical="center"/>
    </xf>
    <xf numFmtId="9" fontId="37" fillId="0" borderId="7" xfId="0" applyNumberFormat="1" applyFont="1" applyBorder="1" applyAlignment="1">
      <alignment horizontal="center" vertical="center"/>
    </xf>
    <xf numFmtId="0" fontId="37" fillId="0" borderId="1" xfId="0" applyFont="1" applyBorder="1" applyAlignment="1">
      <alignment horizontal="left" vertical="center"/>
    </xf>
    <xf numFmtId="0" fontId="37" fillId="0" borderId="1" xfId="0" applyFont="1" applyFill="1" applyBorder="1" applyAlignment="1">
      <alignment vertical="center" wrapText="1"/>
    </xf>
    <xf numFmtId="0" fontId="37" fillId="0" borderId="1" xfId="0" applyNumberFormat="1" applyFont="1" applyBorder="1" applyAlignment="1">
      <alignment horizontal="center" vertical="center"/>
    </xf>
    <xf numFmtId="9" fontId="37" fillId="0" borderId="1" xfId="0" applyNumberFormat="1" applyFont="1" applyBorder="1" applyAlignment="1">
      <alignment horizontal="center" vertical="center"/>
    </xf>
    <xf numFmtId="0" fontId="37" fillId="0" borderId="1" xfId="0" applyNumberFormat="1" applyFont="1" applyFill="1" applyBorder="1" applyAlignment="1">
      <alignment horizontal="center" vertical="center"/>
    </xf>
    <xf numFmtId="0" fontId="43" fillId="23" borderId="1" xfId="0" applyFont="1" applyFill="1" applyBorder="1" applyAlignment="1">
      <alignment vertical="center" wrapText="1"/>
    </xf>
    <xf numFmtId="0" fontId="40" fillId="25" borderId="1" xfId="0" applyFont="1" applyFill="1" applyBorder="1" applyAlignment="1">
      <alignment vertical="center"/>
    </xf>
    <xf numFmtId="0" fontId="40" fillId="25" borderId="1" xfId="0" applyFont="1" applyFill="1" applyBorder="1" applyAlignment="1">
      <alignment horizontal="left" vertical="center"/>
    </xf>
    <xf numFmtId="0" fontId="38" fillId="16" borderId="1" xfId="0" applyFont="1" applyFill="1" applyBorder="1" applyAlignment="1">
      <alignment horizontal="center" vertical="center"/>
    </xf>
    <xf numFmtId="9" fontId="38" fillId="16" borderId="1" xfId="4" applyFont="1" applyFill="1" applyBorder="1" applyAlignment="1">
      <alignment horizontal="center" vertical="center"/>
    </xf>
    <xf numFmtId="9" fontId="38" fillId="16" borderId="1" xfId="0" applyNumberFormat="1" applyFont="1" applyFill="1" applyBorder="1" applyAlignment="1">
      <alignment horizontal="center" vertical="center"/>
    </xf>
    <xf numFmtId="0" fontId="36" fillId="16" borderId="2" xfId="0" applyFont="1" applyFill="1" applyBorder="1" applyAlignment="1">
      <alignment vertical="center"/>
    </xf>
    <xf numFmtId="0" fontId="36" fillId="16" borderId="1" xfId="0" applyFont="1" applyFill="1" applyBorder="1" applyAlignment="1">
      <alignment horizontal="left" vertical="center"/>
    </xf>
    <xf numFmtId="0" fontId="36" fillId="16" borderId="1" xfId="0" applyFont="1" applyFill="1" applyBorder="1" applyAlignment="1">
      <alignment vertical="center"/>
    </xf>
    <xf numFmtId="0" fontId="36" fillId="16" borderId="1" xfId="0" applyNumberFormat="1" applyFont="1" applyFill="1" applyBorder="1" applyAlignment="1">
      <alignment horizontal="center" vertical="center"/>
    </xf>
    <xf numFmtId="9" fontId="36" fillId="16" borderId="1" xfId="0" applyNumberFormat="1" applyFont="1" applyFill="1" applyBorder="1" applyAlignment="1">
      <alignment horizontal="center" vertical="center"/>
    </xf>
    <xf numFmtId="0" fontId="22" fillId="16" borderId="0" xfId="0" applyFont="1" applyFill="1"/>
    <xf numFmtId="0" fontId="31" fillId="16" borderId="4" xfId="0" applyFont="1" applyFill="1" applyBorder="1" applyAlignment="1">
      <alignment vertical="center"/>
    </xf>
    <xf numFmtId="0" fontId="31" fillId="16" borderId="5" xfId="0" applyFont="1" applyFill="1" applyBorder="1" applyAlignment="1">
      <alignment vertical="center"/>
    </xf>
    <xf numFmtId="0" fontId="19" fillId="19" borderId="1" xfId="0" applyFont="1" applyFill="1" applyBorder="1" applyAlignment="1">
      <alignment horizontal="center" vertical="center" wrapText="1"/>
    </xf>
    <xf numFmtId="0" fontId="19" fillId="14" borderId="1" xfId="0" applyFont="1" applyFill="1" applyBorder="1" applyAlignment="1">
      <alignment horizontal="center" vertical="center" wrapText="1"/>
    </xf>
    <xf numFmtId="9" fontId="19" fillId="14" borderId="1" xfId="4" applyFont="1" applyFill="1" applyBorder="1" applyAlignment="1">
      <alignment horizontal="center" vertical="center" wrapText="1"/>
    </xf>
    <xf numFmtId="0" fontId="31" fillId="16" borderId="9" xfId="0" applyFont="1" applyFill="1" applyBorder="1" applyAlignment="1">
      <alignment vertical="center"/>
    </xf>
    <xf numFmtId="0" fontId="40" fillId="26" borderId="1" xfId="0" applyFont="1" applyFill="1" applyBorder="1" applyAlignment="1">
      <alignment vertical="center"/>
    </xf>
    <xf numFmtId="0" fontId="40" fillId="26" borderId="1" xfId="0" applyFont="1" applyFill="1" applyBorder="1" applyAlignment="1">
      <alignment horizontal="left" vertical="center"/>
    </xf>
    <xf numFmtId="0" fontId="38" fillId="15" borderId="1" xfId="0" applyFont="1" applyFill="1" applyBorder="1" applyAlignment="1">
      <alignment horizontal="center" vertical="center"/>
    </xf>
    <xf numFmtId="9" fontId="38" fillId="15" borderId="1" xfId="4" applyFont="1" applyFill="1" applyBorder="1" applyAlignment="1">
      <alignment horizontal="center" vertical="center"/>
    </xf>
    <xf numFmtId="9" fontId="38" fillId="15" borderId="1" xfId="0" applyNumberFormat="1" applyFont="1" applyFill="1" applyBorder="1" applyAlignment="1">
      <alignment horizontal="center" vertical="center"/>
    </xf>
    <xf numFmtId="0" fontId="36" fillId="15" borderId="1" xfId="0" applyFont="1" applyFill="1" applyBorder="1" applyAlignment="1">
      <alignment vertical="center"/>
    </xf>
    <xf numFmtId="0" fontId="36" fillId="15" borderId="1" xfId="0" applyFont="1" applyFill="1" applyBorder="1" applyAlignment="1">
      <alignment horizontal="left" vertical="center"/>
    </xf>
    <xf numFmtId="0" fontId="36" fillId="15" borderId="1" xfId="0" applyNumberFormat="1" applyFont="1" applyFill="1" applyBorder="1" applyAlignment="1">
      <alignment horizontal="center" vertical="center"/>
    </xf>
    <xf numFmtId="9" fontId="36" fillId="15" borderId="1" xfId="0" applyNumberFormat="1" applyFont="1" applyFill="1" applyBorder="1" applyAlignment="1">
      <alignment horizontal="center" vertical="center"/>
    </xf>
    <xf numFmtId="0" fontId="36" fillId="15" borderId="1" xfId="0" applyFont="1" applyFill="1" applyBorder="1" applyAlignment="1">
      <alignment vertical="center" wrapText="1"/>
    </xf>
    <xf numFmtId="0" fontId="40" fillId="25" borderId="1" xfId="0" applyFont="1" applyFill="1" applyBorder="1" applyAlignment="1">
      <alignment vertical="center" wrapText="1"/>
    </xf>
    <xf numFmtId="0" fontId="40" fillId="26" borderId="1" xfId="0" applyFont="1" applyFill="1" applyBorder="1" applyAlignment="1">
      <alignment vertical="center" wrapText="1"/>
    </xf>
    <xf numFmtId="0" fontId="15" fillId="4" borderId="1" xfId="0" applyFont="1" applyFill="1" applyBorder="1" applyAlignment="1">
      <alignment horizontal="center" vertical="center"/>
    </xf>
    <xf numFmtId="9" fontId="15" fillId="4" borderId="1" xfId="4" applyFont="1" applyFill="1" applyBorder="1" applyAlignment="1">
      <alignment horizontal="center" vertical="center"/>
    </xf>
    <xf numFmtId="9" fontId="15" fillId="4" borderId="1" xfId="0" applyNumberFormat="1" applyFont="1" applyFill="1" applyBorder="1" applyAlignment="1">
      <alignment horizontal="center" vertical="center"/>
    </xf>
    <xf numFmtId="0" fontId="15" fillId="15" borderId="1" xfId="0" applyFont="1" applyFill="1" applyBorder="1" applyAlignment="1">
      <alignment horizontal="center" vertical="center"/>
    </xf>
    <xf numFmtId="9" fontId="15" fillId="15" borderId="1" xfId="4" applyFont="1" applyFill="1" applyBorder="1" applyAlignment="1">
      <alignment horizontal="center" vertical="center"/>
    </xf>
    <xf numFmtId="9" fontId="15" fillId="15" borderId="1" xfId="0" applyNumberFormat="1" applyFont="1" applyFill="1" applyBorder="1" applyAlignment="1">
      <alignment horizontal="center" vertical="center"/>
    </xf>
    <xf numFmtId="0" fontId="41" fillId="4" borderId="1" xfId="0" applyFont="1" applyFill="1" applyBorder="1" applyAlignment="1">
      <alignment vertical="center"/>
    </xf>
    <xf numFmtId="0" fontId="0" fillId="4" borderId="1" xfId="0" applyFill="1" applyBorder="1" applyAlignment="1">
      <alignment horizontal="left" vertical="center"/>
    </xf>
    <xf numFmtId="0" fontId="0" fillId="4" borderId="1" xfId="0" applyFill="1" applyBorder="1" applyAlignment="1">
      <alignment vertical="center" wrapText="1"/>
    </xf>
    <xf numFmtId="0" fontId="0" fillId="4" borderId="1" xfId="0" applyNumberFormat="1" applyFill="1" applyBorder="1" applyAlignment="1">
      <alignment horizontal="center" vertical="center"/>
    </xf>
    <xf numFmtId="9" fontId="0" fillId="4" borderId="1" xfId="0" applyNumberFormat="1" applyFill="1" applyBorder="1" applyAlignment="1">
      <alignment horizontal="center" vertical="center"/>
    </xf>
    <xf numFmtId="0" fontId="2" fillId="27" borderId="1" xfId="0" applyFont="1" applyFill="1" applyBorder="1" applyAlignment="1">
      <alignment horizontal="left" vertical="center" wrapText="1"/>
    </xf>
    <xf numFmtId="0" fontId="2" fillId="27" borderId="1" xfId="0" applyFont="1" applyFill="1" applyBorder="1" applyAlignment="1">
      <alignment horizontal="center" vertical="center"/>
    </xf>
    <xf numFmtId="0" fontId="2" fillId="8" borderId="1" xfId="0" applyFont="1" applyFill="1" applyBorder="1" applyAlignment="1">
      <alignment horizontal="center" vertical="center" wrapText="1"/>
    </xf>
    <xf numFmtId="0" fontId="2" fillId="8" borderId="1" xfId="0" applyFont="1" applyFill="1" applyBorder="1" applyAlignment="1">
      <alignment horizontal="center" vertical="center"/>
    </xf>
    <xf numFmtId="9" fontId="2" fillId="8" borderId="1" xfId="4" applyFont="1" applyFill="1" applyBorder="1" applyAlignment="1">
      <alignment horizontal="center" vertical="center"/>
    </xf>
    <xf numFmtId="176" fontId="2"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170" fontId="2" fillId="18" borderId="1" xfId="0" applyNumberFormat="1" applyFont="1" applyFill="1" applyBorder="1" applyAlignment="1">
      <alignment horizontal="center" vertical="center" wrapText="1"/>
    </xf>
    <xf numFmtId="0" fontId="9" fillId="21" borderId="0" xfId="0" applyFont="1" applyFill="1"/>
    <xf numFmtId="9" fontId="2" fillId="28" borderId="1" xfId="4" applyFont="1" applyFill="1" applyBorder="1" applyAlignment="1">
      <alignment horizontal="center" vertical="center"/>
    </xf>
    <xf numFmtId="0" fontId="15" fillId="15" borderId="1" xfId="0" applyFont="1" applyFill="1" applyBorder="1" applyAlignment="1">
      <alignment horizontal="left" vertical="center"/>
    </xf>
    <xf numFmtId="0" fontId="15" fillId="15" borderId="1" xfId="0" applyNumberFormat="1" applyFont="1" applyFill="1" applyBorder="1" applyAlignment="1">
      <alignment horizontal="center" vertical="center"/>
    </xf>
    <xf numFmtId="0" fontId="36" fillId="14" borderId="1" xfId="0" applyFont="1" applyFill="1" applyBorder="1" applyAlignment="1">
      <alignment horizontal="left" vertical="center"/>
    </xf>
    <xf numFmtId="0" fontId="36" fillId="14" borderId="1" xfId="0" applyFont="1" applyFill="1" applyBorder="1" applyAlignment="1">
      <alignment vertical="center"/>
    </xf>
    <xf numFmtId="0" fontId="36" fillId="14" borderId="1" xfId="0" applyNumberFormat="1" applyFont="1" applyFill="1" applyBorder="1" applyAlignment="1">
      <alignment horizontal="center" vertical="center"/>
    </xf>
    <xf numFmtId="9" fontId="36" fillId="14" borderId="1" xfId="0" applyNumberFormat="1" applyFont="1" applyFill="1" applyBorder="1" applyAlignment="1">
      <alignment horizontal="center" vertical="center"/>
    </xf>
    <xf numFmtId="0" fontId="15" fillId="15" borderId="1" xfId="0" applyFont="1" applyFill="1" applyBorder="1" applyAlignment="1">
      <alignment vertical="center"/>
    </xf>
    <xf numFmtId="3" fontId="2" fillId="0" borderId="1" xfId="0" applyNumberFormat="1" applyFont="1" applyFill="1" applyBorder="1" applyAlignment="1">
      <alignment horizontal="center" vertical="center" wrapText="1"/>
    </xf>
    <xf numFmtId="0" fontId="2" fillId="4" borderId="1" xfId="0" applyFont="1" applyFill="1" applyBorder="1" applyAlignment="1">
      <alignment horizontal="left" vertical="center" wrapText="1"/>
    </xf>
    <xf numFmtId="1" fontId="2" fillId="0" borderId="1" xfId="0" applyNumberFormat="1" applyFont="1" applyFill="1" applyBorder="1" applyAlignment="1">
      <alignment horizontal="center" vertical="center"/>
    </xf>
    <xf numFmtId="1" fontId="2" fillId="0" borderId="1" xfId="2" applyNumberFormat="1" applyFont="1" applyFill="1" applyBorder="1" applyAlignment="1">
      <alignment horizontal="center" vertical="center" wrapText="1"/>
    </xf>
    <xf numFmtId="0" fontId="2" fillId="18" borderId="1" xfId="0" applyFont="1" applyFill="1" applyBorder="1" applyAlignment="1">
      <alignment horizontal="left" vertical="center" wrapText="1"/>
    </xf>
    <xf numFmtId="2" fontId="2" fillId="0" borderId="1" xfId="2" applyNumberFormat="1" applyFont="1" applyFill="1" applyBorder="1" applyAlignment="1">
      <alignment horizontal="center" vertical="center" wrapText="1"/>
    </xf>
    <xf numFmtId="1" fontId="2" fillId="0" borderId="1" xfId="2" applyNumberFormat="1" applyFont="1" applyBorder="1" applyAlignment="1">
      <alignment horizontal="center" vertical="center"/>
    </xf>
    <xf numFmtId="177" fontId="2" fillId="0" borderId="1" xfId="0" applyNumberFormat="1" applyFont="1" applyBorder="1" applyAlignment="1">
      <alignment horizontal="center" vertical="center" wrapText="1"/>
    </xf>
    <xf numFmtId="3" fontId="2" fillId="18" borderId="1" xfId="0" applyNumberFormat="1" applyFont="1" applyFill="1" applyBorder="1" applyAlignment="1">
      <alignment horizontal="center" vertical="center" wrapText="1"/>
    </xf>
    <xf numFmtId="1" fontId="6" fillId="18" borderId="1"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2" fontId="2" fillId="14" borderId="1" xfId="0" applyNumberFormat="1" applyFont="1" applyFill="1" applyBorder="1" applyAlignment="1">
      <alignment horizontal="center" vertical="center"/>
    </xf>
    <xf numFmtId="10" fontId="2" fillId="0" borderId="1" xfId="4" applyNumberFormat="1" applyFont="1" applyBorder="1" applyAlignment="1">
      <alignment horizontal="center" vertical="center" wrapText="1"/>
    </xf>
    <xf numFmtId="4" fontId="2" fillId="18" borderId="1" xfId="0" applyNumberFormat="1" applyFont="1" applyFill="1" applyBorder="1" applyAlignment="1">
      <alignment horizontal="center" vertical="center" wrapText="1"/>
    </xf>
    <xf numFmtId="1" fontId="6" fillId="0" borderId="1" xfId="0" applyNumberFormat="1" applyFont="1" applyFill="1" applyBorder="1" applyAlignment="1">
      <alignment horizontal="center" vertical="center"/>
    </xf>
    <xf numFmtId="2" fontId="6" fillId="0" borderId="1" xfId="0" applyNumberFormat="1" applyFont="1" applyFill="1" applyBorder="1" applyAlignment="1">
      <alignment horizontal="center" vertical="center"/>
    </xf>
    <xf numFmtId="1" fontId="6" fillId="18" borderId="1" xfId="4" applyNumberFormat="1" applyFont="1" applyFill="1" applyBorder="1" applyAlignment="1">
      <alignment horizontal="center" vertical="center" wrapText="1"/>
    </xf>
    <xf numFmtId="1" fontId="6" fillId="18" borderId="1" xfId="0" applyNumberFormat="1" applyFont="1" applyFill="1" applyBorder="1" applyAlignment="1">
      <alignment horizontal="center" vertical="center"/>
    </xf>
    <xf numFmtId="177" fontId="2" fillId="0" borderId="1" xfId="0" applyNumberFormat="1" applyFont="1" applyBorder="1" applyAlignment="1">
      <alignment horizontal="center" vertical="center"/>
    </xf>
    <xf numFmtId="9" fontId="37" fillId="0" borderId="1" xfId="0" applyNumberFormat="1" applyFont="1" applyFill="1" applyBorder="1" applyAlignment="1">
      <alignment horizontal="center" vertical="center"/>
    </xf>
    <xf numFmtId="9" fontId="2" fillId="9" borderId="1" xfId="4" applyNumberFormat="1" applyFont="1" applyFill="1" applyBorder="1" applyAlignment="1">
      <alignment horizontal="center" vertical="center"/>
    </xf>
    <xf numFmtId="0" fontId="2"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12" borderId="1" xfId="0" applyFont="1" applyFill="1" applyBorder="1" applyAlignment="1">
      <alignment horizontal="center" vertical="center"/>
    </xf>
    <xf numFmtId="0" fontId="2" fillId="12" borderId="1" xfId="0" applyFont="1" applyFill="1" applyBorder="1" applyAlignment="1">
      <alignment horizontal="center" vertical="center"/>
    </xf>
    <xf numFmtId="0" fontId="2" fillId="11" borderId="1" xfId="0" applyFont="1" applyFill="1" applyBorder="1" applyAlignment="1">
      <alignment horizontal="center" vertical="center"/>
    </xf>
    <xf numFmtId="0" fontId="2" fillId="15" borderId="1" xfId="0" applyNumberFormat="1" applyFont="1" applyFill="1" applyBorder="1" applyAlignment="1">
      <alignment horizontal="center" vertical="center"/>
    </xf>
    <xf numFmtId="9" fontId="2" fillId="15" borderId="1" xfId="0" applyNumberFormat="1" applyFont="1" applyFill="1" applyBorder="1" applyAlignment="1">
      <alignment horizontal="center" vertical="center"/>
    </xf>
    <xf numFmtId="9" fontId="2" fillId="15" borderId="1" xfId="4" applyFont="1" applyFill="1" applyBorder="1" applyAlignment="1">
      <alignment horizontal="center" vertical="center"/>
    </xf>
    <xf numFmtId="4" fontId="2" fillId="12" borderId="1" xfId="0" applyNumberFormat="1" applyFont="1" applyFill="1" applyBorder="1" applyAlignment="1">
      <alignment horizontal="center" vertical="center" wrapText="1"/>
    </xf>
    <xf numFmtId="10" fontId="2" fillId="12" borderId="1" xfId="0" applyNumberFormat="1" applyFont="1" applyFill="1" applyBorder="1" applyAlignment="1">
      <alignment horizontal="center" vertical="center"/>
    </xf>
    <xf numFmtId="3" fontId="2" fillId="12" borderId="1" xfId="0" applyNumberFormat="1" applyFont="1" applyFill="1" applyBorder="1" applyAlignment="1">
      <alignment horizontal="center" vertical="center" wrapText="1"/>
    </xf>
    <xf numFmtId="0" fontId="6" fillId="12" borderId="1" xfId="0" applyFont="1" applyFill="1" applyBorder="1" applyAlignment="1">
      <alignment horizontal="center" vertical="center"/>
    </xf>
    <xf numFmtId="0" fontId="2" fillId="12" borderId="1" xfId="0" applyFont="1" applyFill="1" applyBorder="1" applyAlignment="1">
      <alignment horizontal="center" vertical="center" wrapText="1"/>
    </xf>
    <xf numFmtId="170" fontId="2" fillId="0" borderId="1" xfId="4" applyNumberFormat="1" applyFont="1" applyBorder="1" applyAlignment="1">
      <alignment horizontal="center" vertical="center" wrapText="1"/>
    </xf>
    <xf numFmtId="172" fontId="2" fillId="12" borderId="1" xfId="0" applyNumberFormat="1" applyFont="1" applyFill="1" applyBorder="1" applyAlignment="1">
      <alignment horizontal="center" vertical="center" wrapText="1"/>
    </xf>
    <xf numFmtId="2" fontId="6" fillId="12" borderId="1" xfId="4" applyNumberFormat="1" applyFont="1" applyFill="1" applyBorder="1" applyAlignment="1">
      <alignment horizontal="center" vertical="center" wrapText="1"/>
    </xf>
    <xf numFmtId="9" fontId="2" fillId="12" borderId="1" xfId="4" applyFont="1" applyFill="1" applyBorder="1" applyAlignment="1">
      <alignment horizontal="center" vertical="center"/>
    </xf>
    <xf numFmtId="2" fontId="6" fillId="12" borderId="1" xfId="0" applyNumberFormat="1" applyFont="1" applyFill="1" applyBorder="1" applyAlignment="1">
      <alignment horizontal="center" vertical="center"/>
    </xf>
    <xf numFmtId="0" fontId="3" fillId="5" borderId="3" xfId="0" applyFont="1" applyFill="1" applyBorder="1" applyAlignment="1">
      <alignment vertical="center"/>
    </xf>
    <xf numFmtId="0" fontId="3" fillId="5" borderId="4" xfId="0" applyFont="1" applyFill="1" applyBorder="1" applyAlignment="1">
      <alignment vertical="center"/>
    </xf>
    <xf numFmtId="0" fontId="3" fillId="5" borderId="5" xfId="0" applyFont="1" applyFill="1" applyBorder="1" applyAlignment="1">
      <alignment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xf>
    <xf numFmtId="0" fontId="6" fillId="0" borderId="0" xfId="0" applyFont="1" applyFill="1"/>
    <xf numFmtId="2" fontId="6" fillId="14" borderId="1" xfId="0" applyNumberFormat="1" applyFont="1" applyFill="1" applyBorder="1" applyAlignment="1">
      <alignment horizontal="center" vertical="center"/>
    </xf>
    <xf numFmtId="9" fontId="2" fillId="0" borderId="1" xfId="4" applyFont="1" applyFill="1" applyBorder="1" applyAlignment="1">
      <alignment horizontal="center" vertical="center" wrapText="1"/>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9" fontId="2" fillId="4" borderId="1" xfId="0" applyNumberFormat="1" applyFont="1" applyFill="1" applyBorder="1" applyAlignment="1">
      <alignment horizontal="left" vertical="center"/>
    </xf>
    <xf numFmtId="9" fontId="2" fillId="4" borderId="1" xfId="4" applyFont="1" applyFill="1" applyBorder="1" applyAlignment="1">
      <alignment horizontal="center" vertical="center"/>
    </xf>
    <xf numFmtId="0" fontId="6" fillId="4" borderId="0" xfId="0" applyFont="1" applyFill="1"/>
    <xf numFmtId="0" fontId="26" fillId="0" borderId="19" xfId="0" applyFont="1" applyFill="1" applyBorder="1" applyAlignment="1">
      <alignment horizontal="center" vertical="center" wrapText="1"/>
    </xf>
    <xf numFmtId="1" fontId="6"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9" fontId="6" fillId="0" borderId="1" xfId="0" applyNumberFormat="1" applyFont="1" applyBorder="1" applyAlignment="1">
      <alignment horizontal="center" vertical="center"/>
    </xf>
    <xf numFmtId="3" fontId="6" fillId="0" borderId="1" xfId="0" applyNumberFormat="1" applyFont="1" applyBorder="1" applyAlignment="1">
      <alignment horizontal="center" vertical="center"/>
    </xf>
    <xf numFmtId="9" fontId="6" fillId="0" borderId="1" xfId="0" applyNumberFormat="1" applyFont="1" applyBorder="1" applyAlignment="1">
      <alignment horizontal="center" vertical="center" wrapText="1"/>
    </xf>
    <xf numFmtId="10" fontId="2" fillId="0" borderId="1" xfId="0" applyNumberFormat="1" applyFont="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6" fillId="2" borderId="1" xfId="0" applyFont="1" applyFill="1" applyBorder="1" applyAlignment="1">
      <alignment horizontal="center" vertical="center"/>
    </xf>
    <xf numFmtId="3" fontId="2" fillId="2" borderId="1" xfId="0" applyNumberFormat="1" applyFont="1" applyFill="1" applyBorder="1" applyAlignment="1">
      <alignment horizontal="center" vertical="center" wrapText="1"/>
    </xf>
    <xf numFmtId="2" fontId="2" fillId="2" borderId="1" xfId="2" applyNumberFormat="1" applyFont="1" applyFill="1" applyBorder="1" applyAlignment="1">
      <alignment horizontal="center" vertical="center"/>
    </xf>
    <xf numFmtId="0" fontId="47" fillId="5" borderId="4" xfId="0" applyFont="1" applyFill="1" applyBorder="1" applyAlignment="1">
      <alignment horizontal="center" vertical="center"/>
    </xf>
    <xf numFmtId="0" fontId="4" fillId="27" borderId="1" xfId="0" applyFont="1" applyFill="1" applyBorder="1" applyAlignment="1">
      <alignment horizontal="center" vertical="center" wrapText="1"/>
    </xf>
    <xf numFmtId="0" fontId="4" fillId="14" borderId="1" xfId="0" applyFont="1" applyFill="1" applyBorder="1" applyAlignment="1">
      <alignment horizontal="center" vertical="center"/>
    </xf>
    <xf numFmtId="2" fontId="2" fillId="18"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0" fontId="6" fillId="0" borderId="1" xfId="0" applyFont="1" applyBorder="1"/>
    <xf numFmtId="0" fontId="2" fillId="0" borderId="1" xfId="0" applyFont="1" applyBorder="1" applyAlignment="1">
      <alignment horizontal="left"/>
    </xf>
    <xf numFmtId="0" fontId="2" fillId="0" borderId="1" xfId="0" applyFont="1" applyBorder="1"/>
    <xf numFmtId="0" fontId="2" fillId="0" borderId="1" xfId="0" applyFont="1" applyBorder="1" applyAlignment="1">
      <alignment horizontal="center"/>
    </xf>
    <xf numFmtId="0" fontId="2" fillId="0" borderId="1" xfId="0" applyFont="1" applyBorder="1" applyAlignment="1">
      <alignment wrapText="1"/>
    </xf>
    <xf numFmtId="9" fontId="2" fillId="0" borderId="1" xfId="4" applyFont="1" applyBorder="1"/>
    <xf numFmtId="9" fontId="2" fillId="0" borderId="1" xfId="4" applyFont="1" applyFill="1" applyBorder="1"/>
    <xf numFmtId="0" fontId="38" fillId="8" borderId="1" xfId="0" applyFont="1" applyFill="1"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horizontal="left" indent="1"/>
    </xf>
    <xf numFmtId="0" fontId="0" fillId="0" borderId="0" xfId="0" applyAlignment="1">
      <alignment wrapText="1"/>
    </xf>
    <xf numFmtId="0" fontId="0" fillId="0" borderId="0" xfId="0" applyAlignment="1">
      <alignment horizontal="left" indent="2"/>
    </xf>
    <xf numFmtId="0" fontId="0" fillId="0" borderId="1" xfId="0" applyBorder="1" applyAlignment="1">
      <alignment horizontal="center" vertical="center" wrapText="1"/>
    </xf>
    <xf numFmtId="0" fontId="0" fillId="0" borderId="1" xfId="0" applyBorder="1" applyAlignment="1">
      <alignment vertical="center" wrapText="1"/>
    </xf>
    <xf numFmtId="0" fontId="4" fillId="11" borderId="1" xfId="0" applyFont="1" applyFill="1" applyBorder="1" applyAlignment="1">
      <alignment horizontal="center" vertical="center"/>
    </xf>
    <xf numFmtId="0" fontId="0" fillId="0" borderId="0" xfId="0" pivotButton="1" applyAlignment="1">
      <alignment vertical="center"/>
    </xf>
    <xf numFmtId="0" fontId="0" fillId="2" borderId="0" xfId="0" applyFill="1" applyAlignment="1">
      <alignment horizontal="center" vertical="center"/>
    </xf>
    <xf numFmtId="9" fontId="0" fillId="0" borderId="0" xfId="4" applyFont="1" applyAlignment="1">
      <alignment horizontal="center" vertical="center"/>
    </xf>
    <xf numFmtId="9" fontId="0" fillId="0" borderId="0" xfId="0" applyNumberFormat="1"/>
    <xf numFmtId="9" fontId="0" fillId="0" borderId="0" xfId="4" applyFont="1" applyAlignment="1">
      <alignment horizontal="center"/>
    </xf>
    <xf numFmtId="178" fontId="2" fillId="14" borderId="1" xfId="0" applyNumberFormat="1" applyFont="1" applyFill="1" applyBorder="1" applyAlignment="1">
      <alignment horizontal="center" vertical="center"/>
    </xf>
    <xf numFmtId="1" fontId="6" fillId="14" borderId="1" xfId="4" applyNumberFormat="1" applyFont="1" applyFill="1" applyBorder="1" applyAlignment="1">
      <alignment horizontal="center" vertical="center"/>
    </xf>
    <xf numFmtId="2" fontId="2" fillId="14" borderId="1" xfId="4" applyNumberFormat="1" applyFont="1" applyFill="1" applyBorder="1" applyAlignment="1">
      <alignment horizontal="center" vertical="center"/>
    </xf>
    <xf numFmtId="0" fontId="0" fillId="0" borderId="0" xfId="0" applyNumberFormat="1" applyFill="1"/>
    <xf numFmtId="4" fontId="2" fillId="0" borderId="1" xfId="4" applyNumberFormat="1" applyFont="1" applyFill="1" applyBorder="1" applyAlignment="1">
      <alignment horizontal="center" vertical="center"/>
    </xf>
    <xf numFmtId="4" fontId="2" fillId="0" borderId="1" xfId="0" applyNumberFormat="1" applyFont="1" applyBorder="1" applyAlignment="1">
      <alignment horizontal="center" vertical="center"/>
    </xf>
    <xf numFmtId="4" fontId="2" fillId="0" borderId="1" xfId="0" applyNumberFormat="1" applyFont="1" applyFill="1" applyBorder="1" applyAlignment="1">
      <alignment horizontal="center" vertical="center"/>
    </xf>
    <xf numFmtId="4" fontId="6" fillId="0" borderId="1" xfId="0" applyNumberFormat="1" applyFont="1" applyFill="1" applyBorder="1" applyAlignment="1">
      <alignment horizontal="center" vertical="center"/>
    </xf>
    <xf numFmtId="2" fontId="2" fillId="0" borderId="1" xfId="4" applyNumberFormat="1" applyFont="1" applyFill="1" applyBorder="1" applyAlignment="1">
      <alignment horizontal="center" vertical="center" wrapText="1"/>
    </xf>
    <xf numFmtId="0" fontId="38" fillId="2" borderId="1" xfId="0" applyFont="1" applyFill="1" applyBorder="1" applyAlignment="1">
      <alignment horizontal="center" vertical="center" wrapText="1"/>
    </xf>
    <xf numFmtId="179" fontId="2" fillId="18" borderId="1" xfId="0" applyNumberFormat="1" applyFont="1" applyFill="1" applyBorder="1" applyAlignment="1">
      <alignment horizontal="center" vertical="center" wrapText="1"/>
    </xf>
    <xf numFmtId="0" fontId="48" fillId="15" borderId="1" xfId="0" applyFont="1" applyFill="1" applyBorder="1" applyAlignment="1">
      <alignment vertical="center"/>
    </xf>
    <xf numFmtId="0" fontId="48" fillId="15" borderId="1" xfId="0" applyNumberFormat="1" applyFont="1" applyFill="1" applyBorder="1" applyAlignment="1">
      <alignment horizontal="center" vertical="center"/>
    </xf>
    <xf numFmtId="9" fontId="48" fillId="15" borderId="1" xfId="0" applyNumberFormat="1" applyFont="1" applyFill="1" applyBorder="1" applyAlignment="1">
      <alignment horizontal="center" vertical="center"/>
    </xf>
    <xf numFmtId="0" fontId="49" fillId="0" borderId="1" xfId="0" applyFont="1" applyFill="1" applyBorder="1" applyAlignment="1">
      <alignment horizontal="center" vertical="center" wrapText="1"/>
    </xf>
    <xf numFmtId="0" fontId="49" fillId="11" borderId="1" xfId="0" applyFont="1" applyFill="1" applyBorder="1" applyAlignment="1">
      <alignment horizontal="center" vertical="center" wrapText="1"/>
    </xf>
    <xf numFmtId="9" fontId="34" fillId="28" borderId="0" xfId="4" applyFont="1" applyFill="1" applyBorder="1" applyAlignment="1">
      <alignment horizontal="center" vertical="center" wrapText="1"/>
    </xf>
    <xf numFmtId="0" fontId="3" fillId="5" borderId="4" xfId="0" applyFont="1" applyFill="1" applyBorder="1" applyAlignment="1">
      <alignment horizontal="center" vertical="center"/>
    </xf>
    <xf numFmtId="0" fontId="50" fillId="18" borderId="1" xfId="0" applyFont="1" applyFill="1" applyBorder="1" applyAlignment="1">
      <alignment horizontal="center" vertical="center" wrapText="1"/>
    </xf>
    <xf numFmtId="0" fontId="50" fillId="18" borderId="1" xfId="0" applyFont="1" applyFill="1" applyBorder="1" applyAlignment="1">
      <alignment vertical="center" wrapText="1"/>
    </xf>
    <xf numFmtId="9" fontId="2" fillId="0" borderId="1" xfId="4" applyFont="1" applyFill="1" applyBorder="1" applyAlignment="1">
      <alignment horizontal="center" vertical="center" wrapText="1"/>
    </xf>
    <xf numFmtId="0" fontId="2" fillId="18" borderId="1" xfId="0" applyFont="1" applyFill="1" applyBorder="1" applyAlignment="1">
      <alignment horizontal="justify" vertical="center" wrapText="1"/>
    </xf>
    <xf numFmtId="10" fontId="2" fillId="18" borderId="1" xfId="0" applyNumberFormat="1" applyFont="1" applyFill="1" applyBorder="1" applyAlignment="1">
      <alignment horizontal="center" vertical="center" wrapText="1"/>
    </xf>
    <xf numFmtId="0" fontId="6" fillId="18" borderId="0" xfId="0" applyFont="1" applyFill="1"/>
    <xf numFmtId="9" fontId="2" fillId="2" borderId="1" xfId="4" applyFont="1" applyFill="1" applyBorder="1" applyAlignment="1">
      <alignment horizontal="center" vertical="center"/>
    </xf>
    <xf numFmtId="1" fontId="2" fillId="18" borderId="1" xfId="0" applyNumberFormat="1" applyFont="1" applyFill="1" applyBorder="1" applyAlignment="1">
      <alignment horizontal="center" vertical="center" wrapText="1"/>
    </xf>
    <xf numFmtId="0" fontId="2" fillId="33" borderId="1" xfId="0" applyFont="1" applyFill="1" applyBorder="1" applyAlignment="1">
      <alignment horizontal="center" vertical="center"/>
    </xf>
    <xf numFmtId="1" fontId="6" fillId="33" borderId="1" xfId="0" applyNumberFormat="1" applyFont="1" applyFill="1" applyBorder="1" applyAlignment="1">
      <alignment horizontal="center" vertical="center"/>
    </xf>
    <xf numFmtId="9" fontId="2" fillId="33" borderId="1" xfId="4" applyFont="1" applyFill="1" applyBorder="1" applyAlignment="1">
      <alignment horizontal="center" vertical="center"/>
    </xf>
    <xf numFmtId="0" fontId="0" fillId="0" borderId="0" xfId="0" applyFont="1" applyFill="1"/>
    <xf numFmtId="3" fontId="2" fillId="18" borderId="1" xfId="0" applyNumberFormat="1" applyFont="1" applyFill="1" applyBorder="1" applyAlignment="1">
      <alignment horizontal="center" vertical="center"/>
    </xf>
    <xf numFmtId="0" fontId="6" fillId="18" borderId="1" xfId="0" applyFont="1" applyFill="1" applyBorder="1" applyAlignment="1">
      <alignment horizontal="center" vertical="center" wrapText="1"/>
    </xf>
    <xf numFmtId="9" fontId="2" fillId="0" borderId="1" xfId="4"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2" fillId="34" borderId="1" xfId="0" applyFont="1" applyFill="1" applyBorder="1" applyAlignment="1">
      <alignment vertical="center" wrapText="1"/>
    </xf>
    <xf numFmtId="0" fontId="2" fillId="34" borderId="1" xfId="0" applyFont="1" applyFill="1" applyBorder="1" applyAlignment="1">
      <alignment horizontal="left" vertical="center" wrapText="1"/>
    </xf>
    <xf numFmtId="0" fontId="2" fillId="34" borderId="1" xfId="0" applyFont="1" applyFill="1" applyBorder="1" applyAlignment="1">
      <alignment horizontal="center" vertical="center"/>
    </xf>
    <xf numFmtId="0" fontId="51" fillId="34" borderId="1" xfId="0" applyFont="1" applyFill="1" applyBorder="1" applyAlignment="1">
      <alignment horizontal="center" vertical="center" wrapText="1"/>
    </xf>
    <xf numFmtId="0" fontId="2" fillId="34" borderId="1" xfId="0" applyFont="1" applyFill="1" applyBorder="1" applyAlignment="1">
      <alignment horizontal="center" vertical="center" wrapText="1"/>
    </xf>
    <xf numFmtId="0" fontId="2" fillId="34" borderId="1" xfId="0" applyFont="1" applyFill="1" applyBorder="1" applyAlignment="1">
      <alignment horizontal="left" vertical="center"/>
    </xf>
    <xf numFmtId="1" fontId="2" fillId="2" borderId="1" xfId="2" applyNumberFormat="1" applyFont="1" applyFill="1" applyBorder="1" applyAlignment="1">
      <alignment horizontal="center" vertical="center"/>
    </xf>
    <xf numFmtId="0" fontId="2" fillId="35" borderId="1" xfId="0" applyFont="1" applyFill="1" applyBorder="1" applyAlignment="1">
      <alignment horizontal="left" vertical="center" wrapText="1"/>
    </xf>
    <xf numFmtId="0" fontId="2" fillId="35" borderId="1" xfId="0" applyFont="1" applyFill="1" applyBorder="1" applyAlignment="1">
      <alignment horizontal="center" vertical="center" wrapText="1"/>
    </xf>
    <xf numFmtId="0" fontId="2" fillId="35" borderId="1" xfId="0" applyFont="1" applyFill="1" applyBorder="1" applyAlignment="1">
      <alignment horizontal="center" vertical="center"/>
    </xf>
    <xf numFmtId="9" fontId="2" fillId="35" borderId="1" xfId="4" applyFont="1" applyFill="1" applyBorder="1" applyAlignment="1">
      <alignment horizontal="center" vertical="center"/>
    </xf>
    <xf numFmtId="0" fontId="6" fillId="35" borderId="0" xfId="0" applyFont="1" applyFill="1"/>
    <xf numFmtId="0" fontId="2" fillId="0" borderId="1" xfId="0" applyFont="1" applyBorder="1" applyAlignment="1">
      <alignment horizontal="left" vertical="top" wrapText="1"/>
    </xf>
    <xf numFmtId="170" fontId="2" fillId="0" borderId="1" xfId="0" applyNumberFormat="1" applyFont="1" applyBorder="1" applyAlignment="1">
      <alignment horizontal="center" vertical="center" wrapText="1"/>
    </xf>
    <xf numFmtId="9" fontId="2" fillId="4" borderId="1" xfId="0" applyNumberFormat="1" applyFont="1" applyFill="1" applyBorder="1" applyAlignment="1">
      <alignment horizontal="center" vertical="center"/>
    </xf>
    <xf numFmtId="0" fontId="2" fillId="2" borderId="1" xfId="0" applyFont="1" applyFill="1" applyBorder="1" applyAlignment="1">
      <alignment horizontal="left" vertical="center"/>
    </xf>
    <xf numFmtId="0" fontId="6" fillId="2" borderId="0" xfId="0" applyFont="1" applyFill="1"/>
    <xf numFmtId="1" fontId="2" fillId="14" borderId="1" xfId="2" applyNumberFormat="1" applyFont="1" applyFill="1" applyBorder="1" applyAlignment="1">
      <alignment horizontal="center" vertical="center"/>
    </xf>
    <xf numFmtId="0" fontId="2" fillId="32" borderId="1" xfId="0" applyFont="1" applyFill="1" applyBorder="1" applyAlignment="1">
      <alignment horizontal="left" vertical="center" wrapText="1"/>
    </xf>
    <xf numFmtId="9" fontId="2" fillId="7" borderId="1" xfId="4" applyFont="1" applyFill="1" applyBorder="1" applyAlignment="1">
      <alignment horizontal="center" vertical="center"/>
    </xf>
    <xf numFmtId="9" fontId="2" fillId="27" borderId="1" xfId="4" applyFont="1" applyFill="1" applyBorder="1" applyAlignment="1">
      <alignment horizontal="center" vertical="center"/>
    </xf>
    <xf numFmtId="9" fontId="2" fillId="29" borderId="1" xfId="4" applyFont="1" applyFill="1" applyBorder="1" applyAlignment="1">
      <alignment horizontal="center" vertical="center"/>
    </xf>
    <xf numFmtId="9" fontId="2" fillId="9" borderId="7" xfId="4" applyFont="1" applyFill="1" applyBorder="1" applyAlignment="1">
      <alignment horizontal="center" vertical="center" wrapText="1"/>
    </xf>
    <xf numFmtId="9" fontId="2" fillId="7" borderId="7" xfId="4" applyFont="1" applyFill="1" applyBorder="1" applyAlignment="1">
      <alignment horizontal="center" vertical="center" wrapText="1"/>
    </xf>
    <xf numFmtId="9" fontId="2" fillId="0" borderId="1" xfId="4" applyFont="1" applyFill="1" applyBorder="1" applyAlignment="1">
      <alignment horizontal="center" vertical="center" wrapText="1"/>
    </xf>
    <xf numFmtId="180" fontId="2" fillId="14" borderId="1" xfId="2" applyNumberFormat="1" applyFont="1" applyFill="1" applyBorder="1" applyAlignment="1">
      <alignment horizontal="center" vertical="center"/>
    </xf>
    <xf numFmtId="17" fontId="10" fillId="0" borderId="0" xfId="0" applyNumberFormat="1" applyFont="1" applyAlignment="1">
      <alignment horizontal="left" vertical="center"/>
    </xf>
    <xf numFmtId="9" fontId="2" fillId="0" borderId="1" xfId="0" applyNumberFormat="1" applyFont="1" applyFill="1" applyBorder="1" applyAlignment="1">
      <alignment vertical="center" wrapText="1"/>
    </xf>
    <xf numFmtId="0" fontId="36" fillId="14" borderId="1" xfId="0" applyFont="1" applyFill="1" applyBorder="1" applyAlignment="1">
      <alignment vertical="center" wrapText="1"/>
    </xf>
    <xf numFmtId="18" fontId="2" fillId="0" borderId="1" xfId="0" applyNumberFormat="1" applyFont="1" applyFill="1" applyBorder="1" applyAlignment="1">
      <alignment horizontal="left" vertical="center" wrapText="1"/>
    </xf>
    <xf numFmtId="0" fontId="2" fillId="0" borderId="1" xfId="0" applyFont="1" applyFill="1" applyBorder="1" applyAlignment="1">
      <alignment horizontal="justify" vertical="center" wrapText="1"/>
    </xf>
    <xf numFmtId="9" fontId="44" fillId="0" borderId="1" xfId="4" applyFont="1" applyFill="1" applyBorder="1" applyAlignment="1">
      <alignment horizontal="center" vertical="center"/>
    </xf>
    <xf numFmtId="0" fontId="38" fillId="4" borderId="1" xfId="0" applyFont="1" applyFill="1" applyBorder="1" applyAlignment="1">
      <alignment horizontal="center" vertical="center" wrapText="1"/>
    </xf>
    <xf numFmtId="0" fontId="36" fillId="14" borderId="1" xfId="0" applyFont="1" applyFill="1" applyBorder="1" applyAlignment="1">
      <alignment vertical="center"/>
    </xf>
    <xf numFmtId="9" fontId="36" fillId="14" borderId="1" xfId="0" applyNumberFormat="1" applyFont="1" applyFill="1" applyBorder="1" applyAlignment="1">
      <alignment horizontal="center" vertical="center"/>
    </xf>
    <xf numFmtId="0" fontId="36" fillId="0" borderId="1" xfId="0" applyFont="1" applyBorder="1" applyAlignment="1">
      <alignment vertical="center"/>
    </xf>
    <xf numFmtId="9" fontId="36" fillId="0" borderId="1" xfId="0" applyNumberFormat="1" applyFont="1" applyBorder="1" applyAlignment="1">
      <alignment horizontal="center" vertical="center"/>
    </xf>
    <xf numFmtId="0" fontId="52" fillId="15" borderId="1" xfId="0" applyFont="1" applyFill="1" applyBorder="1" applyAlignment="1">
      <alignment vertical="center"/>
    </xf>
    <xf numFmtId="0" fontId="36" fillId="14" borderId="2" xfId="0" applyFont="1" applyFill="1" applyBorder="1" applyAlignment="1">
      <alignment vertical="center"/>
    </xf>
    <xf numFmtId="9" fontId="36" fillId="14" borderId="2" xfId="0" applyNumberFormat="1" applyFont="1" applyFill="1" applyBorder="1" applyAlignment="1">
      <alignment horizontal="center" vertical="center"/>
    </xf>
    <xf numFmtId="0" fontId="36" fillId="0" borderId="1" xfId="0" applyFont="1" applyBorder="1" applyAlignment="1">
      <alignment vertical="center" wrapText="1"/>
    </xf>
    <xf numFmtId="0" fontId="17" fillId="0" borderId="1" xfId="0" applyFont="1" applyFill="1" applyBorder="1" applyAlignment="1">
      <alignment horizontal="center" vertical="center"/>
    </xf>
    <xf numFmtId="0" fontId="2" fillId="0" borderId="1" xfId="0" applyFont="1" applyFill="1" applyBorder="1" applyAlignment="1">
      <alignment vertical="center"/>
    </xf>
    <xf numFmtId="9" fontId="2" fillId="0" borderId="1" xfId="0" applyNumberFormat="1" applyFont="1" applyFill="1" applyBorder="1" applyAlignment="1">
      <alignment horizontal="left" vertical="center" wrapText="1"/>
    </xf>
    <xf numFmtId="0" fontId="17" fillId="0" borderId="1" xfId="0" applyFont="1" applyFill="1" applyBorder="1" applyAlignment="1">
      <alignment horizontal="center" vertical="center" wrapText="1"/>
    </xf>
    <xf numFmtId="0" fontId="2" fillId="0" borderId="1" xfId="0" applyFont="1" applyFill="1" applyBorder="1" applyAlignment="1">
      <alignment horizontal="justify" vertical="center"/>
    </xf>
    <xf numFmtId="0" fontId="17" fillId="0" borderId="1" xfId="0" applyFont="1" applyFill="1" applyBorder="1" applyAlignment="1">
      <alignment horizontal="left" vertical="center"/>
    </xf>
    <xf numFmtId="170" fontId="2" fillId="0" borderId="1" xfId="0"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xf>
    <xf numFmtId="0" fontId="14" fillId="0" borderId="1" xfId="0" applyFont="1" applyFill="1" applyBorder="1" applyAlignment="1">
      <alignment horizontal="center" vertical="center"/>
    </xf>
    <xf numFmtId="9" fontId="2" fillId="0" borderId="1" xfId="0" applyNumberFormat="1" applyFont="1" applyFill="1" applyBorder="1" applyAlignment="1">
      <alignment horizontal="left" vertical="center"/>
    </xf>
    <xf numFmtId="3" fontId="17" fillId="0" borderId="1" xfId="0" applyNumberFormat="1" applyFont="1" applyFill="1" applyBorder="1" applyAlignment="1">
      <alignment horizontal="center" vertical="center" wrapText="1"/>
    </xf>
    <xf numFmtId="1" fontId="2" fillId="0" borderId="1" xfId="0" applyNumberFormat="1" applyFont="1" applyFill="1" applyBorder="1" applyAlignment="1">
      <alignment horizontal="left" vertical="center" wrapText="1"/>
    </xf>
    <xf numFmtId="3" fontId="17" fillId="0" borderId="1" xfId="0" applyNumberFormat="1" applyFont="1" applyFill="1" applyBorder="1" applyAlignment="1">
      <alignment horizontal="left" vertical="center"/>
    </xf>
    <xf numFmtId="1" fontId="2" fillId="0" borderId="1" xfId="0"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0" fontId="51" fillId="0" borderId="1" xfId="0" applyFont="1" applyFill="1" applyBorder="1" applyAlignment="1">
      <alignment horizontal="center" vertical="center" wrapText="1"/>
    </xf>
    <xf numFmtId="3" fontId="2" fillId="0" borderId="1" xfId="0" applyNumberFormat="1" applyFont="1" applyFill="1" applyBorder="1" applyAlignment="1">
      <alignment horizontal="center" vertical="center"/>
    </xf>
    <xf numFmtId="0" fontId="17" fillId="0" borderId="1" xfId="0" applyFont="1" applyFill="1" applyBorder="1" applyAlignment="1">
      <alignment horizontal="left" vertical="center" wrapText="1"/>
    </xf>
    <xf numFmtId="10" fontId="2" fillId="0" borderId="1" xfId="0" applyNumberFormat="1" applyFont="1" applyFill="1" applyBorder="1" applyAlignment="1">
      <alignment horizontal="center" vertical="center" wrapText="1"/>
    </xf>
    <xf numFmtId="0" fontId="38" fillId="17" borderId="1" xfId="0" applyFont="1" applyFill="1" applyBorder="1" applyAlignment="1">
      <alignment horizontal="center" vertical="center" wrapText="1"/>
    </xf>
    <xf numFmtId="0" fontId="38" fillId="24" borderId="1" xfId="0" applyFont="1" applyFill="1" applyBorder="1" applyAlignment="1">
      <alignment horizontal="center" vertical="center" wrapText="1"/>
    </xf>
    <xf numFmtId="10" fontId="2" fillId="0" borderId="1" xfId="0" applyNumberFormat="1" applyFont="1" applyFill="1" applyBorder="1" applyAlignment="1">
      <alignment horizontal="center" vertical="center"/>
    </xf>
    <xf numFmtId="10" fontId="2" fillId="0" borderId="1" xfId="0" applyNumberFormat="1" applyFont="1" applyFill="1" applyBorder="1" applyAlignment="1">
      <alignment horizontal="left" vertical="center"/>
    </xf>
    <xf numFmtId="179" fontId="2" fillId="0" borderId="1" xfId="0" applyNumberFormat="1" applyFont="1" applyFill="1" applyBorder="1" applyAlignment="1">
      <alignment horizontal="center" vertical="center" wrapText="1"/>
    </xf>
    <xf numFmtId="0" fontId="50" fillId="0" borderId="1" xfId="0" applyFont="1" applyFill="1" applyBorder="1" applyAlignment="1">
      <alignment vertical="center" wrapText="1"/>
    </xf>
    <xf numFmtId="0" fontId="50"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xf>
    <xf numFmtId="0" fontId="22" fillId="0" borderId="1" xfId="0" applyFont="1" applyFill="1" applyBorder="1" applyAlignment="1">
      <alignment horizontal="center" vertical="center"/>
    </xf>
    <xf numFmtId="0" fontId="22" fillId="0" borderId="1" xfId="0" applyFont="1" applyFill="1" applyBorder="1" applyAlignment="1">
      <alignment horizontal="center" vertical="center" wrapText="1"/>
    </xf>
    <xf numFmtId="0" fontId="22" fillId="0" borderId="1" xfId="0" applyFont="1" applyFill="1" applyBorder="1" applyAlignment="1">
      <alignment horizontal="left" vertical="center" wrapText="1"/>
    </xf>
    <xf numFmtId="172"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left" vertical="center"/>
    </xf>
    <xf numFmtId="3" fontId="2" fillId="0" borderId="1" xfId="0" applyNumberFormat="1" applyFont="1" applyFill="1" applyBorder="1" applyAlignment="1">
      <alignment vertical="center" wrapText="1"/>
    </xf>
    <xf numFmtId="0" fontId="2" fillId="0" borderId="1" xfId="0" applyFont="1" applyFill="1" applyBorder="1" applyAlignment="1">
      <alignment horizontal="left" vertical="top" wrapText="1"/>
    </xf>
    <xf numFmtId="0" fontId="0" fillId="18" borderId="0" xfId="0" applyFill="1"/>
    <xf numFmtId="0" fontId="0" fillId="2" borderId="0" xfId="0" applyFill="1"/>
    <xf numFmtId="0" fontId="0" fillId="28" borderId="0" xfId="0" applyFill="1"/>
    <xf numFmtId="0" fontId="0" fillId="0" borderId="0" xfId="0" applyAlignment="1">
      <alignment horizontal="center"/>
    </xf>
    <xf numFmtId="0" fontId="0" fillId="0" borderId="0" xfId="0" applyAlignment="1"/>
    <xf numFmtId="0" fontId="0" fillId="0" borderId="1" xfId="0" applyBorder="1" applyAlignment="1">
      <alignment horizontal="center"/>
    </xf>
    <xf numFmtId="0" fontId="0" fillId="0" borderId="1" xfId="0" applyBorder="1"/>
    <xf numFmtId="0" fontId="0" fillId="18" borderId="1" xfId="0" applyFill="1" applyBorder="1"/>
    <xf numFmtId="0" fontId="0" fillId="2" borderId="1" xfId="0" applyFill="1" applyBorder="1"/>
    <xf numFmtId="0" fontId="0" fillId="28" borderId="1" xfId="0" applyFill="1" applyBorder="1"/>
    <xf numFmtId="0" fontId="39" fillId="0" borderId="1" xfId="0" applyFont="1" applyBorder="1" applyAlignment="1">
      <alignment horizontal="center"/>
    </xf>
    <xf numFmtId="0" fontId="0" fillId="0" borderId="1" xfId="0" applyBorder="1" applyAlignment="1">
      <alignment horizontal="center" vertical="center"/>
    </xf>
    <xf numFmtId="0" fontId="0" fillId="0" borderId="1" xfId="0" applyBorder="1" applyAlignment="1">
      <alignment horizontal="center" wrapText="1"/>
    </xf>
    <xf numFmtId="0" fontId="2" fillId="36" borderId="1" xfId="0" applyFont="1" applyFill="1" applyBorder="1" applyAlignment="1">
      <alignment horizontal="center" vertical="center"/>
    </xf>
    <xf numFmtId="0" fontId="2" fillId="36"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37" fillId="0" borderId="1" xfId="0" applyFont="1" applyFill="1" applyBorder="1" applyAlignment="1">
      <alignment horizontal="left" vertical="center"/>
    </xf>
    <xf numFmtId="9" fontId="37" fillId="0" borderId="7" xfId="0" applyNumberFormat="1" applyFont="1" applyFill="1" applyBorder="1" applyAlignment="1">
      <alignment horizontal="center" vertical="center"/>
    </xf>
    <xf numFmtId="0" fontId="0" fillId="0" borderId="0" xfId="0" applyFill="1" applyAlignment="1">
      <alignment vertical="center"/>
    </xf>
    <xf numFmtId="0" fontId="45" fillId="32" borderId="3" xfId="0" applyFont="1" applyFill="1" applyBorder="1" applyAlignment="1">
      <alignment horizontal="center" vertical="center"/>
    </xf>
    <xf numFmtId="0" fontId="45" fillId="32" borderId="4" xfId="0" applyFont="1" applyFill="1" applyBorder="1" applyAlignment="1">
      <alignment horizontal="center" vertical="center"/>
    </xf>
    <xf numFmtId="0" fontId="45" fillId="32" borderId="5" xfId="0" applyFont="1" applyFill="1" applyBorder="1" applyAlignment="1">
      <alignment horizontal="center" vertical="center"/>
    </xf>
    <xf numFmtId="0" fontId="45" fillId="19" borderId="3" xfId="0" applyFont="1" applyFill="1" applyBorder="1" applyAlignment="1">
      <alignment horizontal="center" vertical="center"/>
    </xf>
    <xf numFmtId="0" fontId="45" fillId="19" borderId="4" xfId="0" applyFont="1" applyFill="1" applyBorder="1" applyAlignment="1">
      <alignment horizontal="center" vertical="center"/>
    </xf>
    <xf numFmtId="0" fontId="45" fillId="19" borderId="5" xfId="0" applyFont="1" applyFill="1" applyBorder="1" applyAlignment="1">
      <alignment horizontal="center" vertical="center"/>
    </xf>
    <xf numFmtId="0" fontId="45" fillId="11" borderId="3" xfId="0" applyFont="1" applyFill="1" applyBorder="1" applyAlignment="1">
      <alignment horizontal="center" vertical="center"/>
    </xf>
    <xf numFmtId="0" fontId="45" fillId="11" borderId="4" xfId="0" applyFont="1" applyFill="1" applyBorder="1" applyAlignment="1">
      <alignment horizontal="center" vertical="center"/>
    </xf>
    <xf numFmtId="0" fontId="45" fillId="11" borderId="5" xfId="0" applyFont="1" applyFill="1" applyBorder="1" applyAlignment="1">
      <alignment horizontal="center" vertical="center"/>
    </xf>
    <xf numFmtId="0" fontId="45" fillId="4" borderId="3" xfId="0" applyFont="1" applyFill="1" applyBorder="1" applyAlignment="1">
      <alignment horizontal="center" vertical="center"/>
    </xf>
    <xf numFmtId="0" fontId="45" fillId="4" borderId="4" xfId="0" applyFont="1" applyFill="1" applyBorder="1" applyAlignment="1">
      <alignment horizontal="center" vertical="center"/>
    </xf>
    <xf numFmtId="0" fontId="45" fillId="4" borderId="5" xfId="0" applyFont="1" applyFill="1" applyBorder="1" applyAlignment="1">
      <alignment horizontal="center" vertical="center"/>
    </xf>
    <xf numFmtId="0" fontId="45" fillId="31" borderId="3" xfId="0" applyFont="1" applyFill="1" applyBorder="1" applyAlignment="1">
      <alignment horizontal="center" vertical="center"/>
    </xf>
    <xf numFmtId="0" fontId="45" fillId="31" borderId="4" xfId="0" applyFont="1" applyFill="1" applyBorder="1" applyAlignment="1">
      <alignment horizontal="center" vertical="center"/>
    </xf>
    <xf numFmtId="0" fontId="45" fillId="31" borderId="5" xfId="0" applyFont="1" applyFill="1" applyBorder="1" applyAlignment="1">
      <alignment horizontal="center" vertical="center"/>
    </xf>
    <xf numFmtId="0" fontId="45" fillId="22" borderId="3" xfId="0" applyFont="1" applyFill="1" applyBorder="1" applyAlignment="1">
      <alignment horizontal="center" vertical="center"/>
    </xf>
    <xf numFmtId="0" fontId="45" fillId="22" borderId="4" xfId="0" applyFont="1" applyFill="1" applyBorder="1" applyAlignment="1">
      <alignment horizontal="center" vertical="center"/>
    </xf>
    <xf numFmtId="0" fontId="45" fillId="22" borderId="5" xfId="0" applyFont="1" applyFill="1" applyBorder="1" applyAlignment="1">
      <alignment horizontal="center" vertical="center"/>
    </xf>
    <xf numFmtId="0" fontId="47" fillId="5" borderId="3" xfId="0" applyFont="1" applyFill="1" applyBorder="1" applyAlignment="1">
      <alignment horizontal="center" vertical="center"/>
    </xf>
    <xf numFmtId="0" fontId="47" fillId="5" borderId="4" xfId="0" applyFont="1" applyFill="1" applyBorder="1" applyAlignment="1">
      <alignment horizontal="center" vertical="center"/>
    </xf>
    <xf numFmtId="0" fontId="47" fillId="5" borderId="5" xfId="0" applyFont="1" applyFill="1" applyBorder="1" applyAlignment="1">
      <alignment horizontal="center" vertical="center"/>
    </xf>
    <xf numFmtId="0" fontId="45" fillId="12" borderId="3" xfId="0" applyFont="1" applyFill="1" applyBorder="1" applyAlignment="1">
      <alignment horizontal="center" vertical="center"/>
    </xf>
    <xf numFmtId="0" fontId="45" fillId="12" borderId="4" xfId="0" applyFont="1" applyFill="1" applyBorder="1" applyAlignment="1">
      <alignment horizontal="center" vertical="center"/>
    </xf>
    <xf numFmtId="0" fontId="45" fillId="12" borderId="5" xfId="0" applyFont="1" applyFill="1" applyBorder="1" applyAlignment="1">
      <alignment horizontal="center" vertical="center"/>
    </xf>
    <xf numFmtId="0" fontId="46" fillId="29" borderId="3" xfId="0" applyFont="1" applyFill="1" applyBorder="1" applyAlignment="1">
      <alignment horizontal="center" vertical="center"/>
    </xf>
    <xf numFmtId="0" fontId="46" fillId="29" borderId="4" xfId="0" applyFont="1" applyFill="1" applyBorder="1" applyAlignment="1">
      <alignment horizontal="center" vertical="center"/>
    </xf>
    <xf numFmtId="0" fontId="46" fillId="29" borderId="5" xfId="0" applyFont="1" applyFill="1" applyBorder="1" applyAlignment="1">
      <alignment horizontal="center" vertical="center"/>
    </xf>
    <xf numFmtId="0" fontId="45" fillId="3" borderId="3" xfId="0" applyFont="1" applyFill="1" applyBorder="1" applyAlignment="1">
      <alignment horizontal="center" vertical="center"/>
    </xf>
    <xf numFmtId="0" fontId="45" fillId="3" borderId="4" xfId="0" applyFont="1" applyFill="1" applyBorder="1" applyAlignment="1">
      <alignment horizontal="center" vertical="center"/>
    </xf>
    <xf numFmtId="0" fontId="45" fillId="3" borderId="5" xfId="0" applyFont="1" applyFill="1" applyBorder="1" applyAlignment="1">
      <alignment horizontal="center" vertical="center"/>
    </xf>
    <xf numFmtId="0" fontId="45" fillId="30" borderId="3" xfId="0" applyFont="1" applyFill="1" applyBorder="1" applyAlignment="1">
      <alignment horizontal="center" vertical="center"/>
    </xf>
    <xf numFmtId="0" fontId="45" fillId="30" borderId="4" xfId="0" applyFont="1" applyFill="1" applyBorder="1" applyAlignment="1">
      <alignment horizontal="center" vertical="center"/>
    </xf>
    <xf numFmtId="0" fontId="45" fillId="30" borderId="5" xfId="0" applyFont="1" applyFill="1" applyBorder="1" applyAlignment="1">
      <alignment horizontal="center" vertical="center"/>
    </xf>
    <xf numFmtId="0" fontId="45" fillId="5" borderId="3" xfId="0" applyFont="1" applyFill="1" applyBorder="1" applyAlignment="1">
      <alignment horizontal="center" vertical="center"/>
    </xf>
    <xf numFmtId="0" fontId="45" fillId="5" borderId="4" xfId="0" applyFont="1" applyFill="1" applyBorder="1" applyAlignment="1">
      <alignment horizontal="center" vertical="center"/>
    </xf>
    <xf numFmtId="0" fontId="45" fillId="5" borderId="5" xfId="0" applyFont="1" applyFill="1" applyBorder="1" applyAlignment="1">
      <alignment horizontal="center" vertical="center"/>
    </xf>
    <xf numFmtId="9" fontId="2" fillId="9" borderId="2" xfId="4" applyFont="1" applyFill="1" applyBorder="1" applyAlignment="1">
      <alignment horizontal="center" vertical="center" wrapText="1"/>
    </xf>
    <xf numFmtId="9" fontId="2" fillId="9" borderId="7" xfId="4" applyFont="1" applyFill="1" applyBorder="1" applyAlignment="1">
      <alignment horizontal="center" vertical="center" wrapText="1"/>
    </xf>
    <xf numFmtId="9" fontId="2" fillId="7" borderId="2" xfId="4" applyFont="1" applyFill="1" applyBorder="1" applyAlignment="1">
      <alignment horizontal="center" vertical="center" wrapText="1"/>
    </xf>
    <xf numFmtId="9" fontId="2" fillId="7" borderId="7" xfId="4" applyFont="1" applyFill="1" applyBorder="1" applyAlignment="1">
      <alignment horizontal="center" vertical="center" wrapText="1"/>
    </xf>
    <xf numFmtId="9" fontId="2" fillId="35" borderId="7" xfId="4" applyFont="1" applyFill="1" applyBorder="1" applyAlignment="1">
      <alignment horizontal="center" vertical="center" wrapText="1"/>
    </xf>
    <xf numFmtId="9" fontId="2" fillId="9" borderId="6" xfId="4" applyFont="1" applyFill="1" applyBorder="1" applyAlignment="1">
      <alignment horizontal="center" vertical="center" wrapText="1"/>
    </xf>
    <xf numFmtId="9" fontId="2" fillId="7" borderId="6" xfId="4" applyFont="1" applyFill="1" applyBorder="1" applyAlignment="1">
      <alignment horizontal="center" vertical="center" wrapText="1"/>
    </xf>
    <xf numFmtId="9" fontId="2" fillId="9" borderId="2" xfId="4" applyFont="1" applyFill="1" applyBorder="1" applyAlignment="1">
      <alignment horizontal="center" vertical="center"/>
    </xf>
    <xf numFmtId="9" fontId="2" fillId="9" borderId="6" xfId="4" applyFont="1" applyFill="1" applyBorder="1" applyAlignment="1">
      <alignment horizontal="center" vertical="center"/>
    </xf>
    <xf numFmtId="9" fontId="2" fillId="9" borderId="7" xfId="4" applyFont="1" applyFill="1" applyBorder="1" applyAlignment="1">
      <alignment horizontal="center" vertical="center"/>
    </xf>
    <xf numFmtId="9" fontId="2" fillId="7" borderId="2" xfId="4" applyFont="1" applyFill="1" applyBorder="1" applyAlignment="1">
      <alignment horizontal="center" vertical="center"/>
    </xf>
    <xf numFmtId="9" fontId="2" fillId="7" borderId="6" xfId="4" applyFont="1" applyFill="1" applyBorder="1" applyAlignment="1">
      <alignment horizontal="center" vertical="center"/>
    </xf>
    <xf numFmtId="9" fontId="2" fillId="7" borderId="7" xfId="4" applyFont="1" applyFill="1" applyBorder="1" applyAlignment="1">
      <alignment horizontal="center" vertical="center"/>
    </xf>
    <xf numFmtId="9" fontId="2" fillId="18" borderId="7" xfId="4" applyFont="1" applyFill="1" applyBorder="1" applyAlignment="1">
      <alignment horizontal="center" vertical="center" wrapText="1"/>
    </xf>
    <xf numFmtId="9" fontId="2" fillId="4" borderId="6" xfId="4" applyFont="1" applyFill="1" applyBorder="1" applyAlignment="1">
      <alignment horizontal="center" vertical="center" wrapText="1"/>
    </xf>
    <xf numFmtId="9" fontId="6" fillId="9" borderId="2" xfId="4" applyFont="1" applyFill="1" applyBorder="1" applyAlignment="1">
      <alignment horizontal="center" vertical="center" wrapText="1"/>
    </xf>
    <xf numFmtId="9" fontId="6" fillId="9" borderId="6" xfId="4" applyFont="1" applyFill="1" applyBorder="1" applyAlignment="1">
      <alignment horizontal="center" vertical="center" wrapText="1"/>
    </xf>
    <xf numFmtId="9" fontId="6" fillId="9" borderId="7" xfId="4" applyFont="1" applyFill="1" applyBorder="1" applyAlignment="1">
      <alignment horizontal="center" vertical="center" wrapText="1"/>
    </xf>
    <xf numFmtId="9" fontId="6" fillId="7" borderId="2" xfId="4" applyFont="1" applyFill="1" applyBorder="1" applyAlignment="1">
      <alignment horizontal="center" vertical="center" wrapText="1"/>
    </xf>
    <xf numFmtId="9" fontId="6" fillId="7" borderId="6" xfId="4" applyFont="1" applyFill="1" applyBorder="1" applyAlignment="1">
      <alignment horizontal="center" vertical="center" wrapText="1"/>
    </xf>
    <xf numFmtId="9" fontId="6" fillId="7" borderId="7" xfId="4" applyFont="1" applyFill="1" applyBorder="1" applyAlignment="1">
      <alignment horizontal="center" vertical="center" wrapText="1"/>
    </xf>
    <xf numFmtId="9" fontId="2" fillId="9" borderId="1" xfId="4" applyFont="1" applyFill="1" applyBorder="1" applyAlignment="1">
      <alignment horizontal="center" vertical="center" wrapText="1"/>
    </xf>
    <xf numFmtId="9" fontId="2" fillId="7" borderId="1" xfId="4" applyFont="1" applyFill="1" applyBorder="1" applyAlignment="1">
      <alignment horizontal="center" vertical="center" wrapText="1"/>
    </xf>
    <xf numFmtId="0" fontId="3" fillId="4" borderId="3" xfId="0" applyFont="1" applyFill="1" applyBorder="1" applyAlignment="1">
      <alignment horizontal="left" vertical="center"/>
    </xf>
    <xf numFmtId="0" fontId="3" fillId="4" borderId="4" xfId="0" applyFont="1" applyFill="1" applyBorder="1" applyAlignment="1">
      <alignment horizontal="left" vertical="center"/>
    </xf>
    <xf numFmtId="0" fontId="3" fillId="4" borderId="4" xfId="0" applyFont="1" applyFill="1" applyBorder="1" applyAlignment="1">
      <alignment horizontal="center" vertical="center"/>
    </xf>
    <xf numFmtId="0" fontId="3" fillId="4" borderId="5" xfId="0" applyFont="1" applyFill="1" applyBorder="1" applyAlignment="1">
      <alignment horizontal="left" vertical="center"/>
    </xf>
    <xf numFmtId="0" fontId="25" fillId="12" borderId="1" xfId="0" applyFont="1" applyFill="1" applyBorder="1" applyAlignment="1">
      <alignment horizontal="center" vertical="center"/>
    </xf>
    <xf numFmtId="9" fontId="2" fillId="0" borderId="1" xfId="4" applyFont="1" applyFill="1" applyBorder="1" applyAlignment="1">
      <alignment horizontal="center" vertical="center" wrapText="1"/>
    </xf>
    <xf numFmtId="9" fontId="2" fillId="18" borderId="6" xfId="4" applyFont="1" applyFill="1" applyBorder="1" applyAlignment="1">
      <alignment horizontal="center" vertical="center" wrapText="1"/>
    </xf>
    <xf numFmtId="9" fontId="2" fillId="18" borderId="1" xfId="4" applyFont="1" applyFill="1" applyBorder="1" applyAlignment="1">
      <alignment horizontal="center" vertical="center" wrapText="1"/>
    </xf>
    <xf numFmtId="0" fontId="31" fillId="15" borderId="21" xfId="0" applyFont="1" applyFill="1" applyBorder="1" applyAlignment="1">
      <alignment horizontal="center" vertical="center" wrapText="1"/>
    </xf>
    <xf numFmtId="0" fontId="31" fillId="15" borderId="22" xfId="0" applyFont="1" applyFill="1" applyBorder="1" applyAlignment="1">
      <alignment horizontal="center" vertical="center" wrapText="1"/>
    </xf>
    <xf numFmtId="0" fontId="31" fillId="15" borderId="23" xfId="0" applyFont="1" applyFill="1" applyBorder="1" applyAlignment="1">
      <alignment horizontal="center" vertical="center" wrapText="1"/>
    </xf>
    <xf numFmtId="0" fontId="31" fillId="15" borderId="24" xfId="0" applyFont="1" applyFill="1" applyBorder="1" applyAlignment="1">
      <alignment horizontal="center" vertical="center" wrapText="1"/>
    </xf>
    <xf numFmtId="0" fontId="31" fillId="15" borderId="25" xfId="0" applyFont="1" applyFill="1" applyBorder="1" applyAlignment="1">
      <alignment horizontal="center" vertical="center" wrapText="1"/>
    </xf>
    <xf numFmtId="0" fontId="31" fillId="15" borderId="18" xfId="0" applyFont="1" applyFill="1" applyBorder="1" applyAlignment="1">
      <alignment horizontal="center" vertical="center" wrapText="1"/>
    </xf>
    <xf numFmtId="0" fontId="35" fillId="5" borderId="3" xfId="0" applyFont="1" applyFill="1" applyBorder="1" applyAlignment="1">
      <alignment horizontal="left" vertical="center"/>
    </xf>
    <xf numFmtId="0" fontId="35" fillId="5" borderId="4" xfId="0" applyFont="1" applyFill="1" applyBorder="1" applyAlignment="1">
      <alignment horizontal="left" vertical="center"/>
    </xf>
    <xf numFmtId="0" fontId="35" fillId="5" borderId="5" xfId="0" applyFont="1" applyFill="1" applyBorder="1" applyAlignment="1">
      <alignment horizontal="left" vertical="center"/>
    </xf>
    <xf numFmtId="0" fontId="17" fillId="12" borderId="1" xfId="0" applyFont="1" applyFill="1" applyBorder="1" applyAlignment="1">
      <alignment horizontal="center" vertical="center"/>
    </xf>
    <xf numFmtId="0" fontId="32" fillId="8" borderId="12" xfId="0" applyFont="1" applyFill="1" applyBorder="1" applyAlignment="1">
      <alignment horizontal="center" vertical="center" wrapText="1"/>
    </xf>
    <xf numFmtId="0" fontId="32" fillId="8" borderId="14" xfId="0" applyFont="1" applyFill="1" applyBorder="1" applyAlignment="1">
      <alignment horizontal="center" vertical="center" wrapText="1"/>
    </xf>
    <xf numFmtId="0" fontId="14" fillId="8" borderId="12" xfId="0" applyFont="1" applyFill="1" applyBorder="1" applyAlignment="1">
      <alignment horizontal="center" vertical="center" wrapText="1"/>
    </xf>
    <xf numFmtId="0" fontId="14" fillId="8" borderId="13" xfId="0" applyFont="1" applyFill="1" applyBorder="1" applyAlignment="1">
      <alignment horizontal="center" vertical="center" wrapText="1"/>
    </xf>
    <xf numFmtId="0" fontId="14" fillId="8" borderId="14" xfId="0" applyFont="1" applyFill="1" applyBorder="1" applyAlignment="1">
      <alignment horizontal="center" vertical="center" wrapText="1"/>
    </xf>
    <xf numFmtId="0" fontId="20" fillId="8" borderId="20" xfId="0" applyFont="1" applyFill="1" applyBorder="1" applyAlignment="1">
      <alignment horizontal="center" vertical="center" wrapText="1"/>
    </xf>
    <xf numFmtId="0" fontId="20" fillId="8" borderId="10" xfId="0" applyFont="1" applyFill="1" applyBorder="1" applyAlignment="1">
      <alignment horizontal="center" vertical="center" wrapText="1"/>
    </xf>
    <xf numFmtId="0" fontId="20" fillId="8" borderId="11" xfId="0" applyFont="1" applyFill="1" applyBorder="1" applyAlignment="1">
      <alignment horizontal="center" vertical="center" wrapText="1"/>
    </xf>
    <xf numFmtId="0" fontId="29" fillId="4" borderId="13" xfId="0" applyFont="1" applyFill="1" applyBorder="1" applyAlignment="1">
      <alignment horizontal="center" vertical="center" wrapText="1"/>
    </xf>
    <xf numFmtId="0" fontId="29" fillId="4" borderId="14"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32" fillId="4" borderId="12" xfId="0" applyFont="1" applyFill="1" applyBorder="1" applyAlignment="1">
      <alignment horizontal="center" vertical="center" wrapText="1"/>
    </xf>
    <xf numFmtId="0" fontId="32" fillId="4" borderId="14" xfId="0" applyFont="1" applyFill="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13" fillId="16" borderId="0" xfId="0" applyFont="1" applyFill="1" applyAlignment="1">
      <alignment horizontal="center"/>
    </xf>
  </cellXfs>
  <cellStyles count="29">
    <cellStyle name="KPT04" xfId="5" xr:uid="{93C6F68E-AFC7-43CA-8C02-8470FF7286EA}"/>
    <cellStyle name="Millares" xfId="1" builtinId="3"/>
    <cellStyle name="Millares [0]" xfId="2" builtinId="6"/>
    <cellStyle name="Millares [0] 2" xfId="8" xr:uid="{BD02E1E2-C552-4699-B128-F92BE1F0DB59}"/>
    <cellStyle name="Millares [0] 2 2" xfId="16" xr:uid="{D9F1BD27-9394-47DB-A680-56D6B28F2F4A}"/>
    <cellStyle name="Millares 2" xfId="6" xr:uid="{B973378F-22B5-4D92-9D79-5833516192AC}"/>
    <cellStyle name="Millares 2 2" xfId="14" xr:uid="{CE33EDF6-0A5D-4536-BAE0-81A63B517EFD}"/>
    <cellStyle name="Moneda" xfId="3" builtinId="4"/>
    <cellStyle name="Moneda [0] 2" xfId="10" xr:uid="{254F8E1E-E7C7-4B19-A1C8-9ECB858DF479}"/>
    <cellStyle name="Moneda 10" xfId="21" xr:uid="{FE00B9D0-F9C3-45F8-BD1A-4BEBF6EC0D3F}"/>
    <cellStyle name="Moneda 11" xfId="23" xr:uid="{B3B71DC2-16A6-4E6D-97F3-DC106335B4D8}"/>
    <cellStyle name="Moneda 12" xfId="20" xr:uid="{6455004F-3FFE-4786-AD8B-B7800370CE9D}"/>
    <cellStyle name="Moneda 13" xfId="25" xr:uid="{04DCF739-FC9B-4A98-AF4F-B7D394B544D0}"/>
    <cellStyle name="Moneda 14" xfId="22" xr:uid="{31637454-A910-4CBF-9D60-2597CBC251A0}"/>
    <cellStyle name="Moneda 15" xfId="26" xr:uid="{0522574B-5629-4273-BBBE-8598B93E145F}"/>
    <cellStyle name="Moneda 16" xfId="27" xr:uid="{E91C9AD7-E1F3-47A8-9DEA-4A86719566A1}"/>
    <cellStyle name="Moneda 17" xfId="24" xr:uid="{26B2567B-1610-4EE0-9380-892F08169713}"/>
    <cellStyle name="Moneda 18" xfId="28" xr:uid="{991D58AD-7AEA-46A3-97E6-D03F55382FE6}"/>
    <cellStyle name="Moneda 2" xfId="7" xr:uid="{B839BFE9-FD21-447B-A246-A89D1EA77EDA}"/>
    <cellStyle name="Moneda 2 2" xfId="15" xr:uid="{EC5156A8-F413-4FD9-8DCA-FA2D728F2B98}"/>
    <cellStyle name="Moneda 3" xfId="9" xr:uid="{97B1628F-D7F8-4325-973D-0EE336A9623E}"/>
    <cellStyle name="Moneda 4" xfId="13" xr:uid="{19E5D6A6-5D40-4E38-8290-45929F9D5671}"/>
    <cellStyle name="Moneda 5" xfId="11" xr:uid="{DC704F11-7934-4DB6-B549-651462BDA293}"/>
    <cellStyle name="Moneda 6" xfId="18" xr:uid="{90FDD615-A33A-40B5-9C49-608DD943F5A0}"/>
    <cellStyle name="Moneda 7" xfId="12" xr:uid="{FE7ACC61-3B46-4BBC-84E8-B05C07106E76}"/>
    <cellStyle name="Moneda 8" xfId="19" xr:uid="{10392F85-95B4-441D-BEC8-33F76EA4C001}"/>
    <cellStyle name="Moneda 9" xfId="17" xr:uid="{CDC1CC78-706F-441C-8A9D-91278886A8CF}"/>
    <cellStyle name="Normal" xfId="0" builtinId="0"/>
    <cellStyle name="Porcentaje" xfId="4" builtinId="5"/>
  </cellStyles>
  <dxfs count="295">
    <dxf>
      <fill>
        <patternFill patternType="none">
          <bgColor auto="1"/>
        </patternFill>
      </fill>
    </dxf>
    <dxf>
      <fill>
        <patternFill patternType="solid">
          <bgColor rgb="FFFFC000"/>
        </patternFill>
      </fill>
    </dxf>
    <dxf>
      <alignment wrapText="1"/>
    </dxf>
    <dxf>
      <alignment vertical="cent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dxf>
    <dxf>
      <alignment wrapText="1"/>
    </dxf>
    <dxf>
      <alignment vertical="center"/>
    </dxf>
    <dxf>
      <alignment horizontal="center"/>
    </dxf>
    <dxf>
      <alignment wrapText="1"/>
    </dxf>
    <dxf>
      <font>
        <color auto="1"/>
      </font>
    </dxf>
    <dxf>
      <alignment horizontal="left"/>
    </dxf>
    <dxf>
      <fill>
        <patternFill>
          <bgColor theme="8" tint="-0.249977111117893"/>
        </patternFill>
      </fill>
    </dxf>
    <dxf>
      <alignment wrapText="1"/>
    </dxf>
    <dxf>
      <alignment vertical="center"/>
    </dxf>
    <dxf>
      <alignment vertical="center"/>
    </dxf>
    <dxf>
      <numFmt numFmtId="13" formatCode="0%"/>
    </dxf>
    <dxf>
      <alignment vertical="center"/>
    </dxf>
    <dxf>
      <alignment vertical="center"/>
    </dxf>
    <dxf>
      <alignment vertical="center"/>
    </dxf>
    <dxf>
      <alignment vertical="center"/>
    </dxf>
    <dxf>
      <font>
        <color theme="0"/>
      </font>
      <fill>
        <patternFill patternType="solid">
          <fgColor indexed="64"/>
          <bgColor theme="9" tint="-0.499984740745262"/>
        </patternFill>
      </fill>
      <alignment horizontal="center"/>
    </dxf>
    <dxf>
      <alignment wrapText="1"/>
    </dxf>
    <dxf>
      <numFmt numFmtId="13" formatCode="0%"/>
    </dxf>
    <dxf>
      <numFmt numFmtId="13" formatCode="0%"/>
    </dxf>
    <dxf>
      <numFmt numFmtId="13" formatCode="0%"/>
    </dxf>
    <dxf>
      <numFmt numFmtId="13" formatCode="0%"/>
    </dxf>
    <dxf>
      <numFmt numFmtId="13" formatCode="0%"/>
    </dxf>
    <dxf>
      <fill>
        <patternFill patternType="none">
          <bgColor auto="1"/>
        </patternFill>
      </fill>
    </dxf>
    <dxf>
      <font>
        <color theme="0"/>
      </font>
    </dxf>
    <dxf>
      <fill>
        <patternFill>
          <bgColor theme="3"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border>
        <bottom style="double">
          <color auto="1"/>
        </bottom>
      </border>
    </dxf>
    <dxf>
      <border>
        <bottom style="double">
          <color auto="1"/>
        </bottom>
      </border>
    </dxf>
    <dxf>
      <border>
        <bottom style="double">
          <color auto="1"/>
        </bottom>
      </border>
    </dxf>
    <dxf>
      <border>
        <bottom style="double">
          <color auto="1"/>
        </bottom>
      </border>
    </dxf>
    <dxf>
      <border>
        <bottom style="double">
          <color auto="1"/>
        </bottom>
      </border>
    </dxf>
    <dxf>
      <border>
        <bottom style="double">
          <color auto="1"/>
        </bottom>
      </border>
    </dxf>
    <dxf>
      <border>
        <bottom style="double">
          <color auto="1"/>
        </bottom>
      </border>
    </dxf>
    <dxf>
      <font>
        <color theme="0"/>
      </font>
    </dxf>
    <dxf>
      <font>
        <color theme="0"/>
      </font>
    </dxf>
    <dxf>
      <font>
        <color theme="0"/>
      </font>
    </dxf>
    <dxf>
      <font>
        <color theme="0"/>
      </font>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alignment horizontal="center"/>
    </dxf>
    <dxf>
      <alignment horizontal="center"/>
    </dxf>
    <dxf>
      <alignment horizontal="center"/>
    </dxf>
    <dxf>
      <alignment horizontal="center"/>
    </dxf>
    <dxf>
      <alignment horizontal="center"/>
    </dxf>
    <dxf>
      <alignment horizontal="center"/>
    </dxf>
    <dxf>
      <alignment horizontal="center"/>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ont>
        <color theme="0"/>
      </font>
      <fill>
        <patternFill patternType="solid">
          <fgColor indexed="64"/>
          <bgColor theme="4" tint="-0.499984740745262"/>
        </patternFill>
      </fill>
    </dxf>
    <dxf>
      <font>
        <color theme="0"/>
      </font>
      <fill>
        <patternFill patternType="solid">
          <fgColor indexed="64"/>
          <bgColor theme="4" tint="-0.499984740745262"/>
        </patternFill>
      </fill>
    </dxf>
    <dxf>
      <font>
        <color theme="0"/>
      </font>
      <fill>
        <patternFill patternType="solid">
          <fgColor indexed="64"/>
          <bgColor theme="4" tint="-0.499984740745262"/>
        </patternFill>
      </fill>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ont>
        <color auto="1"/>
      </font>
    </dxf>
    <dxf>
      <font>
        <color auto="1"/>
      </font>
    </dxf>
    <dxf>
      <fill>
        <patternFill patternType="none">
          <bgColor auto="1"/>
        </patternFill>
      </fill>
    </dxf>
    <dxf>
      <fill>
        <patternFill patternType="none">
          <bgColor auto="1"/>
        </patternFill>
      </fill>
    </dxf>
    <dxf>
      <fill>
        <patternFill>
          <bgColor rgb="FF00B050"/>
        </patternFill>
      </fill>
    </dxf>
    <dxf>
      <alignment wrapText="1"/>
    </dxf>
    <dxf>
      <font>
        <color theme="0"/>
      </font>
    </dxf>
    <dxf>
      <fill>
        <patternFill>
          <bgColor theme="4" tint="-0.499984740745262"/>
        </patternFill>
      </fill>
    </dxf>
    <dxf>
      <font>
        <color theme="0"/>
      </font>
    </dxf>
    <dxf>
      <fill>
        <patternFill patternType="solid">
          <bgColor theme="4" tint="-0.499984740745262"/>
        </patternFill>
      </fill>
    </dxf>
    <dxf>
      <alignment wrapText="1"/>
    </dxf>
    <dxf>
      <alignment wrapText="1"/>
    </dxf>
    <dxf>
      <alignment wrapText="1"/>
    </dxf>
    <dxf>
      <alignment horizontal="center"/>
    </dxf>
    <dxf>
      <alignment wrapText="1"/>
    </dxf>
    <dxf>
      <alignment wrapText="1"/>
    </dxf>
    <dxf>
      <fill>
        <patternFill>
          <bgColor theme="0"/>
        </patternFill>
      </fill>
    </dxf>
    <dxf>
      <alignment horizontal="center" indent="0"/>
    </dxf>
    <dxf>
      <alignment horizontal="center" indent="0"/>
    </dxf>
    <dxf>
      <alignment horizontal="right" indent="1"/>
    </dxf>
    <dxf>
      <font>
        <color theme="0"/>
      </font>
      <fill>
        <patternFill patternType="solid">
          <fgColor indexed="64"/>
          <bgColor theme="4" tint="-0.499984740745262"/>
        </patternFill>
      </fill>
      <alignment horizontal="left" indent="1"/>
    </dxf>
    <dxf>
      <fill>
        <patternFill patternType="solid">
          <bgColor theme="9" tint="0.79998168889431442"/>
        </patternFill>
      </fill>
    </dxf>
    <dxf>
      <fill>
        <patternFill patternType="solid">
          <bgColor theme="8" tint="0.79998168889431442"/>
        </patternFill>
      </fill>
    </dxf>
    <dxf>
      <font>
        <color theme="0"/>
      </font>
    </dxf>
    <dxf>
      <fill>
        <patternFill patternType="solid">
          <bgColor theme="4"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2.xml"/><Relationship Id="rId2" Type="http://schemas.openxmlformats.org/officeDocument/2006/relationships/worksheet" Target="worksheets/sheet2.xml"/><Relationship Id="rId16" Type="http://schemas.openxmlformats.org/officeDocument/2006/relationships/pivotCacheDefinition" Target="pivotCache/pivotCacheDefinition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CUMPLIMIENTO_TOTAL!$F$9</c:f>
              <c:strCache>
                <c:ptCount val="1"/>
                <c:pt idx="0">
                  <c:v>% CUMPLIMIENTO CUATRENIO</c:v>
                </c:pt>
              </c:strCache>
            </c:strRef>
          </c:tx>
          <c:spPr>
            <a:solidFill>
              <a:srgbClr val="00B050"/>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6-B844-4F06-AC2D-F6390CDC067A}"/>
              </c:ext>
            </c:extLst>
          </c:dPt>
          <c:dPt>
            <c:idx val="1"/>
            <c:invertIfNegative val="0"/>
            <c:bubble3D val="0"/>
            <c:spPr>
              <a:solidFill>
                <a:srgbClr val="00B050"/>
              </a:solidFill>
              <a:ln>
                <a:noFill/>
              </a:ln>
              <a:effectLst/>
            </c:spPr>
            <c:extLst>
              <c:ext xmlns:c16="http://schemas.microsoft.com/office/drawing/2014/chart" uri="{C3380CC4-5D6E-409C-BE32-E72D297353CC}">
                <c16:uniqueId val="{00000005-B844-4F06-AC2D-F6390CDC067A}"/>
              </c:ext>
            </c:extLst>
          </c:dPt>
          <c:dPt>
            <c:idx val="2"/>
            <c:invertIfNegative val="0"/>
            <c:bubble3D val="0"/>
            <c:spPr>
              <a:solidFill>
                <a:srgbClr val="FFFF00"/>
              </a:solidFill>
              <a:ln>
                <a:noFill/>
              </a:ln>
              <a:effectLst/>
            </c:spPr>
            <c:extLst>
              <c:ext xmlns:c16="http://schemas.microsoft.com/office/drawing/2014/chart" uri="{C3380CC4-5D6E-409C-BE32-E72D297353CC}">
                <c16:uniqueId val="{00000004-B844-4F06-AC2D-F6390CDC067A}"/>
              </c:ext>
            </c:extLst>
          </c:dPt>
          <c:dPt>
            <c:idx val="3"/>
            <c:invertIfNegative val="0"/>
            <c:bubble3D val="0"/>
            <c:spPr>
              <a:solidFill>
                <a:srgbClr val="00B050"/>
              </a:solidFill>
              <a:ln>
                <a:noFill/>
              </a:ln>
              <a:effectLst/>
            </c:spPr>
            <c:extLst>
              <c:ext xmlns:c16="http://schemas.microsoft.com/office/drawing/2014/chart" uri="{C3380CC4-5D6E-409C-BE32-E72D297353CC}">
                <c16:uniqueId val="{00000003-B844-4F06-AC2D-F6390CDC067A}"/>
              </c:ext>
            </c:extLst>
          </c:dPt>
          <c:dPt>
            <c:idx val="4"/>
            <c:invertIfNegative val="0"/>
            <c:bubble3D val="0"/>
            <c:spPr>
              <a:solidFill>
                <a:srgbClr val="FFFF00"/>
              </a:solidFill>
              <a:ln>
                <a:noFill/>
              </a:ln>
              <a:effectLst/>
            </c:spPr>
            <c:extLst>
              <c:ext xmlns:c16="http://schemas.microsoft.com/office/drawing/2014/chart" uri="{C3380CC4-5D6E-409C-BE32-E72D297353CC}">
                <c16:uniqueId val="{00000002-B844-4F06-AC2D-F6390CDC067A}"/>
              </c:ext>
            </c:extLst>
          </c:dPt>
          <c:dPt>
            <c:idx val="5"/>
            <c:invertIfNegative val="0"/>
            <c:bubble3D val="0"/>
            <c:spPr>
              <a:solidFill>
                <a:srgbClr val="FFFF00"/>
              </a:solidFill>
              <a:ln>
                <a:noFill/>
              </a:ln>
              <a:effectLst/>
            </c:spPr>
            <c:extLst>
              <c:ext xmlns:c16="http://schemas.microsoft.com/office/drawing/2014/chart" uri="{C3380CC4-5D6E-409C-BE32-E72D297353CC}">
                <c16:uniqueId val="{00000001-B844-4F06-AC2D-F6390CDC067A}"/>
              </c:ext>
            </c:extLst>
          </c:dPt>
          <c:dPt>
            <c:idx val="6"/>
            <c:invertIfNegative val="0"/>
            <c:bubble3D val="0"/>
            <c:spPr>
              <a:solidFill>
                <a:srgbClr val="00B050"/>
              </a:solidFill>
              <a:ln>
                <a:noFill/>
              </a:ln>
              <a:effectLst/>
            </c:spPr>
            <c:extLst>
              <c:ext xmlns:c16="http://schemas.microsoft.com/office/drawing/2014/chart" uri="{C3380CC4-5D6E-409C-BE32-E72D297353CC}">
                <c16:uniqueId val="{0000000D-DDB3-4C5B-B299-723493517628}"/>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CUMPLIMIENTO_TOTAL!$C$10:$C$122</c:f>
              <c:strCache>
                <c:ptCount val="7"/>
                <c:pt idx="0">
                  <c:v>BOLIVAR PRIMERO 2020 - 2023</c:v>
                </c:pt>
                <c:pt idx="1">
                  <c:v>BOLIVAR PROGRESA, SUPERACIÓN DE LA POBREZA</c:v>
                </c:pt>
                <c:pt idx="2">
                  <c:v>BOLÍVAR COMPETITIVO PARA LA INCLUSIÓN SOCIAL</c:v>
                </c:pt>
                <c:pt idx="3">
                  <c:v>GESTIÓN AMBIENTAL Y ORDENAMIENTO TERRITORIAL
</c:v>
                </c:pt>
                <c:pt idx="4">
                  <c:v>BOLÍVAR PRIMERO EN FORTALECIMIENTO INSTITUCIONAL Y SEGURIDAD EFECTIVA PARA TODOS</c:v>
                </c:pt>
                <c:pt idx="5">
                  <c:v>BOLÍVAR PRIMERO EN RURALIDAD</c:v>
                </c:pt>
                <c:pt idx="6">
                  <c:v>GRUPOS POBLACIONALES</c:v>
                </c:pt>
              </c:strCache>
            </c:strRef>
          </c:cat>
          <c:val>
            <c:numRef>
              <c:f>CUMPLIMIENTO_TOTAL!$F$10:$F$122</c:f>
              <c:numCache>
                <c:formatCode>0%</c:formatCode>
                <c:ptCount val="7"/>
                <c:pt idx="0">
                  <c:v>0.26338387305792299</c:v>
                </c:pt>
                <c:pt idx="1">
                  <c:v>0.28346507642507995</c:v>
                </c:pt>
                <c:pt idx="2">
                  <c:v>0.24329478481946754</c:v>
                </c:pt>
                <c:pt idx="3">
                  <c:v>0.22340166188027338</c:v>
                </c:pt>
                <c:pt idx="4">
                  <c:v>0.21518996587883446</c:v>
                </c:pt>
                <c:pt idx="5">
                  <c:v>0.31751547831253712</c:v>
                </c:pt>
                <c:pt idx="6">
                  <c:v>0.29743627103134557</c:v>
                </c:pt>
              </c:numCache>
            </c:numRef>
          </c:val>
          <c:extLst>
            <c:ext xmlns:c16="http://schemas.microsoft.com/office/drawing/2014/chart" uri="{C3380CC4-5D6E-409C-BE32-E72D297353CC}">
              <c16:uniqueId val="{00000000-2DF6-4531-9A61-AC0293335503}"/>
            </c:ext>
          </c:extLst>
        </c:ser>
        <c:dLbls>
          <c:showLegendKey val="0"/>
          <c:showVal val="0"/>
          <c:showCatName val="0"/>
          <c:showSerName val="0"/>
          <c:showPercent val="0"/>
          <c:showBubbleSize val="0"/>
        </c:dLbls>
        <c:gapWidth val="182"/>
        <c:axId val="8005520"/>
        <c:axId val="12274432"/>
      </c:barChart>
      <c:catAx>
        <c:axId val="80055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12274432"/>
        <c:crosses val="autoZero"/>
        <c:auto val="1"/>
        <c:lblAlgn val="ctr"/>
        <c:lblOffset val="100"/>
        <c:noMultiLvlLbl val="0"/>
      </c:catAx>
      <c:valAx>
        <c:axId val="12274432"/>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80055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CUMPLIMIENTO_EJE2!$F$9</c:f>
              <c:strCache>
                <c:ptCount val="1"/>
                <c:pt idx="0">
                  <c:v>% CUMPLIMIENTO CUATRENIO</c:v>
                </c:pt>
              </c:strCache>
            </c:strRef>
          </c:tx>
          <c:spPr>
            <a:solidFill>
              <a:schemeClr val="accent5">
                <a:lumMod val="75000"/>
              </a:schemeClr>
            </a:solidFill>
            <a:ln>
              <a:noFill/>
            </a:ln>
            <a:effectLst/>
          </c:spPr>
          <c:invertIfNegative val="0"/>
          <c:dLbls>
            <c:dLbl>
              <c:idx val="0"/>
              <c:layout>
                <c:manualLayout>
                  <c:x val="0"/>
                  <c:y val="8.393070628019668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97F-49B2-A400-73D06DC00946}"/>
                </c:ext>
              </c:extLst>
            </c:dLbl>
            <c:dLbl>
              <c:idx val="1"/>
              <c:layout>
                <c:manualLayout>
                  <c:x val="0"/>
                  <c:y val="8.39307062801977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97F-49B2-A400-73D06DC00946}"/>
                </c:ext>
              </c:extLst>
            </c:dLbl>
            <c:dLbl>
              <c:idx val="2"/>
              <c:layout>
                <c:manualLayout>
                  <c:x val="0"/>
                  <c:y val="8.39307062801977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97F-49B2-A400-73D06DC00946}"/>
                </c:ext>
              </c:extLst>
            </c:dLbl>
            <c:dLbl>
              <c:idx val="3"/>
              <c:layout>
                <c:manualLayout>
                  <c:x val="0"/>
                  <c:y val="8.39307062801977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7F-49B2-A400-73D06DC00946}"/>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CUMPLIMIENTO_EJE2!$C$43:$C$122</c:f>
              <c:strCache>
                <c:ptCount val="8"/>
                <c:pt idx="0">
                  <c:v>BOLÍVAR PRIMERO EN INFRAESTRUCTURA Y TRANSPORTE</c:v>
                </c:pt>
                <c:pt idx="1">
                  <c:v>BOLÍVAR PRIMERO EN MOVILIDAD</c:v>
                </c:pt>
                <c:pt idx="2">
                  <c:v>BOLÍVAR PRIMERO EN TECNOLOGÍAS DE LA INFORMACIÓN Y LAS COMUNICACIONES</c:v>
                </c:pt>
                <c:pt idx="3">
                  <c:v>BOLÍVAR PRIMERO EN DESARROLLO ECONÓMICO</c:v>
                </c:pt>
                <c:pt idx="4">
                  <c:v>BOLÍVAR PRIMERO EN AGRICULTURA, EXPLOTACIONES PECUARIAS, PESCA FORESTAL Y SEGURIDAD ALIMENTARIA</c:v>
                </c:pt>
                <c:pt idx="5">
                  <c:v>BOLIVAR PRIMERO EN PRODUCTIVIDAD Y COMPETITIVIDAD MINERO ENERGÉTICA</c:v>
                </c:pt>
                <c:pt idx="6">
                  <c:v>BOLIVAR PRIMERO EN TURISMO</c:v>
                </c:pt>
                <c:pt idx="7">
                  <c:v>BOLIVAR PRIMERO EN CIENCIA TECNOLOGÍA E INNOVACIÓN</c:v>
                </c:pt>
              </c:strCache>
            </c:strRef>
          </c:cat>
          <c:val>
            <c:numRef>
              <c:f>CUMPLIMIENTO_EJE2!$F$43:$F$122</c:f>
              <c:numCache>
                <c:formatCode>0%</c:formatCode>
                <c:ptCount val="8"/>
                <c:pt idx="0">
                  <c:v>0.52222222222222225</c:v>
                </c:pt>
                <c:pt idx="1">
                  <c:v>0.21714285714285717</c:v>
                </c:pt>
                <c:pt idx="2">
                  <c:v>0.33750000000000002</c:v>
                </c:pt>
                <c:pt idx="3">
                  <c:v>0.28287037037037033</c:v>
                </c:pt>
                <c:pt idx="4">
                  <c:v>0.26021690090122751</c:v>
                </c:pt>
                <c:pt idx="5">
                  <c:v>0.14849206349206351</c:v>
                </c:pt>
                <c:pt idx="6">
                  <c:v>0.40225641025641029</c:v>
                </c:pt>
                <c:pt idx="7">
                  <c:v>0.17891369047619049</c:v>
                </c:pt>
              </c:numCache>
            </c:numRef>
          </c:val>
          <c:extLst>
            <c:ext xmlns:c16="http://schemas.microsoft.com/office/drawing/2014/chart" uri="{C3380CC4-5D6E-409C-BE32-E72D297353CC}">
              <c16:uniqueId val="{00000004-B97F-49B2-A400-73D06DC00946}"/>
            </c:ext>
          </c:extLst>
        </c:ser>
        <c:ser>
          <c:idx val="1"/>
          <c:order val="1"/>
          <c:tx>
            <c:strRef>
              <c:f>CUMPLIMIENTO_EJE2!$G$9</c:f>
              <c:strCache>
                <c:ptCount val="1"/>
                <c:pt idx="0">
                  <c:v>% CUMPLIMIENTO  AÑO 2021</c:v>
                </c:pt>
              </c:strCache>
            </c:strRef>
          </c:tx>
          <c:spPr>
            <a:solidFill>
              <a:schemeClr val="accent4">
                <a:lumMod val="60000"/>
                <a:lumOff val="40000"/>
              </a:schemeClr>
            </a:solidFill>
            <a:ln>
              <a:noFill/>
            </a:ln>
            <a:effectLst/>
          </c:spPr>
          <c:invertIfNegative val="0"/>
          <c:cat>
            <c:strRef>
              <c:f>CUMPLIMIENTO_EJE2!$C$43:$C$122</c:f>
              <c:strCache>
                <c:ptCount val="8"/>
                <c:pt idx="0">
                  <c:v>BOLÍVAR PRIMERO EN INFRAESTRUCTURA Y TRANSPORTE</c:v>
                </c:pt>
                <c:pt idx="1">
                  <c:v>BOLÍVAR PRIMERO EN MOVILIDAD</c:v>
                </c:pt>
                <c:pt idx="2">
                  <c:v>BOLÍVAR PRIMERO EN TECNOLOGÍAS DE LA INFORMACIÓN Y LAS COMUNICACIONES</c:v>
                </c:pt>
                <c:pt idx="3">
                  <c:v>BOLÍVAR PRIMERO EN DESARROLLO ECONÓMICO</c:v>
                </c:pt>
                <c:pt idx="4">
                  <c:v>BOLÍVAR PRIMERO EN AGRICULTURA, EXPLOTACIONES PECUARIAS, PESCA FORESTAL Y SEGURIDAD ALIMENTARIA</c:v>
                </c:pt>
                <c:pt idx="5">
                  <c:v>BOLIVAR PRIMERO EN PRODUCTIVIDAD Y COMPETITIVIDAD MINERO ENERGÉTICA</c:v>
                </c:pt>
                <c:pt idx="6">
                  <c:v>BOLIVAR PRIMERO EN TURISMO</c:v>
                </c:pt>
                <c:pt idx="7">
                  <c:v>BOLIVAR PRIMERO EN CIENCIA TECNOLOGÍA E INNOVACIÓN</c:v>
                </c:pt>
              </c:strCache>
            </c:strRef>
          </c:cat>
          <c:val>
            <c:numRef>
              <c:f>CUMPLIMIENTO_EJE2!$G$43:$G$122</c:f>
              <c:numCache>
                <c:formatCode>0%</c:formatCode>
                <c:ptCount val="8"/>
                <c:pt idx="0">
                  <c:v>0.49444444444444446</c:v>
                </c:pt>
                <c:pt idx="1">
                  <c:v>0.125</c:v>
                </c:pt>
                <c:pt idx="2">
                  <c:v>0.10625000000000001</c:v>
                </c:pt>
                <c:pt idx="3">
                  <c:v>0.45833333333333331</c:v>
                </c:pt>
                <c:pt idx="4">
                  <c:v>0.37503049785364378</c:v>
                </c:pt>
                <c:pt idx="5">
                  <c:v>0.23641470737153236</c:v>
                </c:pt>
                <c:pt idx="6">
                  <c:v>0.47361111111111104</c:v>
                </c:pt>
                <c:pt idx="7">
                  <c:v>0.50321428571428573</c:v>
                </c:pt>
              </c:numCache>
            </c:numRef>
          </c:val>
          <c:extLst>
            <c:ext xmlns:c16="http://schemas.microsoft.com/office/drawing/2014/chart" uri="{C3380CC4-5D6E-409C-BE32-E72D297353CC}">
              <c16:uniqueId val="{00000007-B97F-49B2-A400-73D06DC00946}"/>
            </c:ext>
          </c:extLst>
        </c:ser>
        <c:dLbls>
          <c:showLegendKey val="0"/>
          <c:showVal val="0"/>
          <c:showCatName val="0"/>
          <c:showSerName val="0"/>
          <c:showPercent val="0"/>
          <c:showBubbleSize val="0"/>
        </c:dLbls>
        <c:gapWidth val="104"/>
        <c:axId val="8005520"/>
        <c:axId val="12274432"/>
      </c:barChart>
      <c:catAx>
        <c:axId val="80055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12274432"/>
        <c:crosses val="autoZero"/>
        <c:auto val="1"/>
        <c:lblAlgn val="ctr"/>
        <c:lblOffset val="100"/>
        <c:noMultiLvlLbl val="0"/>
      </c:catAx>
      <c:valAx>
        <c:axId val="12274432"/>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80055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CIMPLIMIENTO  AÑO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1"/>
          <c:order val="0"/>
          <c:tx>
            <c:strRef>
              <c:f>CUMPLIMIENTO_EJE2!$G$9</c:f>
              <c:strCache>
                <c:ptCount val="1"/>
                <c:pt idx="0">
                  <c:v>% CUMPLIMIENTO  AÑO 2021</c:v>
                </c:pt>
              </c:strCache>
            </c:strRef>
          </c:tx>
          <c:spPr>
            <a:solidFill>
              <a:srgbClr val="FFFF00"/>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10-B19C-414E-8A5F-826F0C12E445}"/>
              </c:ext>
            </c:extLst>
          </c:dPt>
          <c:dPt>
            <c:idx val="1"/>
            <c:invertIfNegative val="0"/>
            <c:bubble3D val="0"/>
            <c:spPr>
              <a:solidFill>
                <a:srgbClr val="FFFF00"/>
              </a:solidFill>
              <a:ln>
                <a:noFill/>
              </a:ln>
              <a:effectLst/>
            </c:spPr>
            <c:extLst>
              <c:ext xmlns:c16="http://schemas.microsoft.com/office/drawing/2014/chart" uri="{C3380CC4-5D6E-409C-BE32-E72D297353CC}">
                <c16:uniqueId val="{00000012-B19C-414E-8A5F-826F0C12E445}"/>
              </c:ext>
            </c:extLst>
          </c:dPt>
          <c:dPt>
            <c:idx val="2"/>
            <c:invertIfNegative val="0"/>
            <c:bubble3D val="0"/>
            <c:spPr>
              <a:solidFill>
                <a:srgbClr val="FF0000"/>
              </a:solidFill>
              <a:ln>
                <a:noFill/>
              </a:ln>
              <a:effectLst/>
            </c:spPr>
            <c:extLst>
              <c:ext xmlns:c16="http://schemas.microsoft.com/office/drawing/2014/chart" uri="{C3380CC4-5D6E-409C-BE32-E72D297353CC}">
                <c16:uniqueId val="{00000014-B19C-414E-8A5F-826F0C12E445}"/>
              </c:ext>
            </c:extLst>
          </c:dPt>
          <c:dPt>
            <c:idx val="3"/>
            <c:invertIfNegative val="0"/>
            <c:bubble3D val="0"/>
            <c:spPr>
              <a:solidFill>
                <a:srgbClr val="FF0000"/>
              </a:solidFill>
              <a:ln>
                <a:noFill/>
              </a:ln>
              <a:effectLst/>
            </c:spPr>
            <c:extLst>
              <c:ext xmlns:c16="http://schemas.microsoft.com/office/drawing/2014/chart" uri="{C3380CC4-5D6E-409C-BE32-E72D297353CC}">
                <c16:uniqueId val="{00000016-B19C-414E-8A5F-826F0C12E445}"/>
              </c:ext>
            </c:extLst>
          </c:dPt>
          <c:dPt>
            <c:idx val="4"/>
            <c:invertIfNegative val="0"/>
            <c:bubble3D val="0"/>
            <c:spPr>
              <a:solidFill>
                <a:srgbClr val="FFFF00"/>
              </a:solidFill>
              <a:ln>
                <a:noFill/>
              </a:ln>
              <a:effectLst/>
            </c:spPr>
            <c:extLst>
              <c:ext xmlns:c16="http://schemas.microsoft.com/office/drawing/2014/chart" uri="{C3380CC4-5D6E-409C-BE32-E72D297353CC}">
                <c16:uniqueId val="{00000018-B19C-414E-8A5F-826F0C12E445}"/>
              </c:ext>
            </c:extLst>
          </c:dPt>
          <c:dPt>
            <c:idx val="5"/>
            <c:invertIfNegative val="0"/>
            <c:bubble3D val="0"/>
            <c:spPr>
              <a:solidFill>
                <a:srgbClr val="FF0000"/>
              </a:solidFill>
              <a:ln>
                <a:noFill/>
              </a:ln>
              <a:effectLst/>
            </c:spPr>
            <c:extLst>
              <c:ext xmlns:c16="http://schemas.microsoft.com/office/drawing/2014/chart" uri="{C3380CC4-5D6E-409C-BE32-E72D297353CC}">
                <c16:uniqueId val="{0000001A-B19C-414E-8A5F-826F0C12E445}"/>
              </c:ext>
            </c:extLst>
          </c:dPt>
          <c:dPt>
            <c:idx val="6"/>
            <c:invertIfNegative val="0"/>
            <c:bubble3D val="0"/>
            <c:spPr>
              <a:solidFill>
                <a:srgbClr val="FF0000"/>
              </a:solidFill>
              <a:ln>
                <a:noFill/>
              </a:ln>
              <a:effectLst/>
            </c:spPr>
            <c:extLst>
              <c:ext xmlns:c16="http://schemas.microsoft.com/office/drawing/2014/chart" uri="{C3380CC4-5D6E-409C-BE32-E72D297353CC}">
                <c16:uniqueId val="{0000001C-B19C-414E-8A5F-826F0C12E445}"/>
              </c:ext>
            </c:extLst>
          </c:dPt>
          <c:dPt>
            <c:idx val="7"/>
            <c:invertIfNegative val="0"/>
            <c:bubble3D val="0"/>
            <c:spPr>
              <a:solidFill>
                <a:srgbClr val="FFFF00"/>
              </a:solidFill>
              <a:ln>
                <a:noFill/>
              </a:ln>
              <a:effectLst/>
            </c:spPr>
            <c:extLst>
              <c:ext xmlns:c16="http://schemas.microsoft.com/office/drawing/2014/chart" uri="{C3380CC4-5D6E-409C-BE32-E72D297353CC}">
                <c16:uniqueId val="{0000000F-E7BC-4F96-A285-477A87049FC9}"/>
              </c:ext>
            </c:extLst>
          </c:dPt>
          <c:dPt>
            <c:idx val="8"/>
            <c:invertIfNegative val="0"/>
            <c:bubble3D val="0"/>
            <c:spPr>
              <a:solidFill>
                <a:srgbClr val="FFFF00"/>
              </a:solidFill>
              <a:ln>
                <a:noFill/>
              </a:ln>
              <a:effectLst/>
            </c:spPr>
            <c:extLst>
              <c:ext xmlns:c16="http://schemas.microsoft.com/office/drawing/2014/chart" uri="{C3380CC4-5D6E-409C-BE32-E72D297353CC}">
                <c16:uniqueId val="{00000011-E7BC-4F96-A285-477A87049FC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CUMPLIMIENTO_EJE2!$C$42:$C$77</c:f>
              <c:strCache>
                <c:ptCount val="9"/>
                <c:pt idx="0">
                  <c:v>BOLÍVAR COMPETITIVO PARA LA INCLUSIÓN SOCIAL</c:v>
                </c:pt>
                <c:pt idx="1">
                  <c:v>BOLÍVAR PRIMERO EN INFRAESTRUCTURA Y TRANSPORTE</c:v>
                </c:pt>
                <c:pt idx="2">
                  <c:v>BOLÍVAR PRIMERO EN MOVILIDAD</c:v>
                </c:pt>
                <c:pt idx="3">
                  <c:v>BOLÍVAR PRIMERO EN TECNOLOGÍAS DE LA INFORMACIÓN Y LAS COMUNICACIONES</c:v>
                </c:pt>
                <c:pt idx="4">
                  <c:v>BOLÍVAR PRIMERO EN DESARROLLO ECONÓMICO</c:v>
                </c:pt>
                <c:pt idx="5">
                  <c:v>BOLÍVAR PRIMERO EN AGRICULTURA, EXPLOTACIONES PECUARIAS, PESCA FORESTAL Y SEGURIDAD ALIMENTARIA</c:v>
                </c:pt>
                <c:pt idx="6">
                  <c:v>BOLIVAR PRIMERO EN PRODUCTIVIDAD Y COMPETITIVIDAD MINERO ENERGÉTICA</c:v>
                </c:pt>
                <c:pt idx="7">
                  <c:v>BOLIVAR PRIMERO EN TURISMO</c:v>
                </c:pt>
                <c:pt idx="8">
                  <c:v>BOLIVAR PRIMERO EN CIENCIA TECNOLOGÍA E INNOVACIÓN</c:v>
                </c:pt>
              </c:strCache>
            </c:strRef>
          </c:cat>
          <c:val>
            <c:numRef>
              <c:f>CUMPLIMIENTO_EJE2!$G$42:$G$77</c:f>
              <c:numCache>
                <c:formatCode>0%</c:formatCode>
                <c:ptCount val="9"/>
                <c:pt idx="0">
                  <c:v>0.32985855013965804</c:v>
                </c:pt>
                <c:pt idx="1">
                  <c:v>0.49444444444444446</c:v>
                </c:pt>
                <c:pt idx="2">
                  <c:v>0.125</c:v>
                </c:pt>
                <c:pt idx="3">
                  <c:v>0.10625000000000001</c:v>
                </c:pt>
                <c:pt idx="4">
                  <c:v>0.45833333333333331</c:v>
                </c:pt>
                <c:pt idx="5">
                  <c:v>0.37503049785364378</c:v>
                </c:pt>
                <c:pt idx="6">
                  <c:v>0.23641470737153236</c:v>
                </c:pt>
                <c:pt idx="7">
                  <c:v>0.47361111111111104</c:v>
                </c:pt>
                <c:pt idx="8">
                  <c:v>0.50321428571428573</c:v>
                </c:pt>
              </c:numCache>
            </c:numRef>
          </c:val>
          <c:extLst>
            <c:ext xmlns:c16="http://schemas.microsoft.com/office/drawing/2014/chart" uri="{C3380CC4-5D6E-409C-BE32-E72D297353CC}">
              <c16:uniqueId val="{0000001D-B19C-414E-8A5F-826F0C12E445}"/>
            </c:ext>
          </c:extLst>
        </c:ser>
        <c:dLbls>
          <c:showLegendKey val="0"/>
          <c:showVal val="0"/>
          <c:showCatName val="0"/>
          <c:showSerName val="0"/>
          <c:showPercent val="0"/>
          <c:showBubbleSize val="0"/>
        </c:dLbls>
        <c:gapWidth val="182"/>
        <c:axId val="8005520"/>
        <c:axId val="12274432"/>
      </c:barChart>
      <c:catAx>
        <c:axId val="80055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274432"/>
        <c:crosses val="autoZero"/>
        <c:auto val="1"/>
        <c:lblAlgn val="ctr"/>
        <c:lblOffset val="100"/>
        <c:noMultiLvlLbl val="0"/>
      </c:catAx>
      <c:valAx>
        <c:axId val="12274432"/>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0055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CUMPLIMIENTO_EJE3!$F$9</c:f>
              <c:strCache>
                <c:ptCount val="1"/>
                <c:pt idx="0">
                  <c:v>% CUMPLIMIENTO CUATRENIO</c:v>
                </c:pt>
              </c:strCache>
            </c:strRef>
          </c:tx>
          <c:spPr>
            <a:solidFill>
              <a:schemeClr val="accent5">
                <a:lumMod val="75000"/>
              </a:schemeClr>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5-2903-4F62-9DEA-F9860AFF2117}"/>
              </c:ext>
            </c:extLst>
          </c:dPt>
          <c:dPt>
            <c:idx val="1"/>
            <c:invertIfNegative val="0"/>
            <c:bubble3D val="0"/>
            <c:spPr>
              <a:solidFill>
                <a:srgbClr val="00B050"/>
              </a:solidFill>
              <a:ln>
                <a:noFill/>
              </a:ln>
              <a:effectLst/>
            </c:spPr>
            <c:extLst>
              <c:ext xmlns:c16="http://schemas.microsoft.com/office/drawing/2014/chart" uri="{C3380CC4-5D6E-409C-BE32-E72D297353CC}">
                <c16:uniqueId val="{00000004-2903-4F62-9DEA-F9860AFF2117}"/>
              </c:ext>
            </c:extLst>
          </c:dPt>
          <c:dPt>
            <c:idx val="2"/>
            <c:invertIfNegative val="0"/>
            <c:bubble3D val="0"/>
            <c:spPr>
              <a:solidFill>
                <a:srgbClr val="00B050"/>
              </a:solidFill>
              <a:ln>
                <a:noFill/>
              </a:ln>
              <a:effectLst/>
            </c:spPr>
            <c:extLst>
              <c:ext xmlns:c16="http://schemas.microsoft.com/office/drawing/2014/chart" uri="{C3380CC4-5D6E-409C-BE32-E72D297353CC}">
                <c16:uniqueId val="{00000003-2903-4F62-9DEA-F9860AFF2117}"/>
              </c:ext>
            </c:extLst>
          </c:dPt>
          <c:dPt>
            <c:idx val="3"/>
            <c:invertIfNegative val="0"/>
            <c:bubble3D val="0"/>
            <c:spPr>
              <a:solidFill>
                <a:srgbClr val="00B050"/>
              </a:solidFill>
              <a:ln>
                <a:noFill/>
              </a:ln>
              <a:effectLst/>
            </c:spPr>
            <c:extLst>
              <c:ext xmlns:c16="http://schemas.microsoft.com/office/drawing/2014/chart" uri="{C3380CC4-5D6E-409C-BE32-E72D297353CC}">
                <c16:uniqueId val="{00000006-2903-4F62-9DEA-F9860AFF2117}"/>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CUMPLIMIENTO_EJE3!$C$43:$C$122</c:f>
              <c:strCache>
                <c:ptCount val="4"/>
                <c:pt idx="0">
                  <c:v>GESTIÓN AMBIENTAL Y ORDENAMIENTO TERRITORIAL
</c:v>
                </c:pt>
                <c:pt idx="1">
                  <c:v>BOLIVAR PRIMERO GESTIÓN AMBIENTAL Y DESARROLLO TERRITORIAL</c:v>
                </c:pt>
                <c:pt idx="2">
                  <c:v>BOLÍVAR PRIMERO EN CONSERVACIÓN AMBIENTAL</c:v>
                </c:pt>
                <c:pt idx="3">
                  <c:v>GESTIÓN DEL RIESGO</c:v>
                </c:pt>
              </c:strCache>
            </c:strRef>
          </c:cat>
          <c:val>
            <c:numRef>
              <c:f>CUMPLIMIENTO_EJE3!$F$43:$F$122</c:f>
              <c:numCache>
                <c:formatCode>0%</c:formatCode>
                <c:ptCount val="4"/>
                <c:pt idx="0">
                  <c:v>0.22340166188027338</c:v>
                </c:pt>
                <c:pt idx="1">
                  <c:v>0.2</c:v>
                </c:pt>
                <c:pt idx="2">
                  <c:v>0.23333333333333334</c:v>
                </c:pt>
                <c:pt idx="3">
                  <c:v>0.43527331418776022</c:v>
                </c:pt>
              </c:numCache>
            </c:numRef>
          </c:val>
          <c:extLst>
            <c:ext xmlns:c16="http://schemas.microsoft.com/office/drawing/2014/chart" uri="{C3380CC4-5D6E-409C-BE32-E72D297353CC}">
              <c16:uniqueId val="{00000004-A109-4DDE-B89B-44BDA2D16632}"/>
            </c:ext>
          </c:extLst>
        </c:ser>
        <c:dLbls>
          <c:showLegendKey val="0"/>
          <c:showVal val="0"/>
          <c:showCatName val="0"/>
          <c:showSerName val="0"/>
          <c:showPercent val="0"/>
          <c:showBubbleSize val="0"/>
        </c:dLbls>
        <c:gapWidth val="239"/>
        <c:axId val="8005520"/>
        <c:axId val="12274432"/>
      </c:barChart>
      <c:catAx>
        <c:axId val="80055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12274432"/>
        <c:crosses val="autoZero"/>
        <c:auto val="1"/>
        <c:lblAlgn val="ctr"/>
        <c:lblOffset val="100"/>
        <c:noMultiLvlLbl val="0"/>
      </c:catAx>
      <c:valAx>
        <c:axId val="12274432"/>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80055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CUMPLIMIENTO_EJE3!$F$9</c:f>
              <c:strCache>
                <c:ptCount val="1"/>
                <c:pt idx="0">
                  <c:v>% CUMPLIMIENTO CUATRENIO</c:v>
                </c:pt>
              </c:strCache>
            </c:strRef>
          </c:tx>
          <c:spPr>
            <a:solidFill>
              <a:schemeClr val="accent5">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CUMPLIMIENTO_EJE3!$C$43:$C$122</c:f>
              <c:strCache>
                <c:ptCount val="4"/>
                <c:pt idx="0">
                  <c:v>GESTIÓN AMBIENTAL Y ORDENAMIENTO TERRITORIAL
</c:v>
                </c:pt>
                <c:pt idx="1">
                  <c:v>BOLIVAR PRIMERO GESTIÓN AMBIENTAL Y DESARROLLO TERRITORIAL</c:v>
                </c:pt>
                <c:pt idx="2">
                  <c:v>BOLÍVAR PRIMERO EN CONSERVACIÓN AMBIENTAL</c:v>
                </c:pt>
                <c:pt idx="3">
                  <c:v>GESTIÓN DEL RIESGO</c:v>
                </c:pt>
              </c:strCache>
            </c:strRef>
          </c:cat>
          <c:val>
            <c:numRef>
              <c:f>CUMPLIMIENTO_EJE3!$F$43:$F$122</c:f>
              <c:numCache>
                <c:formatCode>0%</c:formatCode>
                <c:ptCount val="4"/>
                <c:pt idx="0">
                  <c:v>0.22340166188027338</c:v>
                </c:pt>
                <c:pt idx="1">
                  <c:v>0.2</c:v>
                </c:pt>
                <c:pt idx="2">
                  <c:v>0.23333333333333334</c:v>
                </c:pt>
                <c:pt idx="3">
                  <c:v>0.43527331418776022</c:v>
                </c:pt>
              </c:numCache>
            </c:numRef>
          </c:val>
          <c:extLst>
            <c:ext xmlns:c16="http://schemas.microsoft.com/office/drawing/2014/chart" uri="{C3380CC4-5D6E-409C-BE32-E72D297353CC}">
              <c16:uniqueId val="{00000000-4D53-44FD-A7CC-83C74620F9F5}"/>
            </c:ext>
          </c:extLst>
        </c:ser>
        <c:ser>
          <c:idx val="1"/>
          <c:order val="1"/>
          <c:tx>
            <c:strRef>
              <c:f>CUMPLIMIENTO_EJE3!$G$9</c:f>
              <c:strCache>
                <c:ptCount val="1"/>
                <c:pt idx="0">
                  <c:v>% CUMPLIMIENTO  AÑO 2021</c:v>
                </c:pt>
              </c:strCache>
            </c:strRef>
          </c:tx>
          <c:spPr>
            <a:solidFill>
              <a:srgbClr val="FFC000"/>
            </a:solidFill>
            <a:ln>
              <a:noFill/>
            </a:ln>
            <a:effectLst/>
          </c:spPr>
          <c:invertIfNegative val="0"/>
          <c:dLbls>
            <c:dLbl>
              <c:idx val="1"/>
              <c:layout>
                <c:manualLayout>
                  <c:x val="1.3605336068397552E-2"/>
                  <c:y val="2.6738951243806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D53-44FD-A7CC-83C74620F9F5}"/>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CUMPLIMIENTO_EJE3!$C$43:$C$122</c:f>
              <c:strCache>
                <c:ptCount val="4"/>
                <c:pt idx="0">
                  <c:v>GESTIÓN AMBIENTAL Y ORDENAMIENTO TERRITORIAL
</c:v>
                </c:pt>
                <c:pt idx="1">
                  <c:v>BOLIVAR PRIMERO GESTIÓN AMBIENTAL Y DESARROLLO TERRITORIAL</c:v>
                </c:pt>
                <c:pt idx="2">
                  <c:v>BOLÍVAR PRIMERO EN CONSERVACIÓN AMBIENTAL</c:v>
                </c:pt>
                <c:pt idx="3">
                  <c:v>GESTIÓN DEL RIESGO</c:v>
                </c:pt>
              </c:strCache>
            </c:strRef>
          </c:cat>
          <c:val>
            <c:numRef>
              <c:f>CUMPLIMIENTO_EJE3!$G$43:$G$122</c:f>
              <c:numCache>
                <c:formatCode>0%</c:formatCode>
                <c:ptCount val="4"/>
                <c:pt idx="0">
                  <c:v>0.28496980676328504</c:v>
                </c:pt>
                <c:pt idx="1">
                  <c:v>0.5</c:v>
                </c:pt>
                <c:pt idx="2">
                  <c:v>0.25</c:v>
                </c:pt>
                <c:pt idx="3">
                  <c:v>0.33987922705314011</c:v>
                </c:pt>
              </c:numCache>
            </c:numRef>
          </c:val>
          <c:extLst>
            <c:ext xmlns:c16="http://schemas.microsoft.com/office/drawing/2014/chart" uri="{C3380CC4-5D6E-409C-BE32-E72D297353CC}">
              <c16:uniqueId val="{00000002-4D53-44FD-A7CC-83C74620F9F5}"/>
            </c:ext>
          </c:extLst>
        </c:ser>
        <c:dLbls>
          <c:showLegendKey val="0"/>
          <c:showVal val="0"/>
          <c:showCatName val="0"/>
          <c:showSerName val="0"/>
          <c:showPercent val="0"/>
          <c:showBubbleSize val="0"/>
        </c:dLbls>
        <c:gapWidth val="239"/>
        <c:axId val="8005520"/>
        <c:axId val="12274432"/>
      </c:barChart>
      <c:catAx>
        <c:axId val="8005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12274432"/>
        <c:crosses val="autoZero"/>
        <c:auto val="1"/>
        <c:lblAlgn val="ctr"/>
        <c:lblOffset val="100"/>
        <c:noMultiLvlLbl val="0"/>
      </c:catAx>
      <c:valAx>
        <c:axId val="12274432"/>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80055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AÑO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1"/>
          <c:order val="0"/>
          <c:tx>
            <c:strRef>
              <c:f>CUMPLIMIENTO_EJE3!$G$9</c:f>
              <c:strCache>
                <c:ptCount val="1"/>
                <c:pt idx="0">
                  <c:v>% CUMPLIMIENTO  AÑO 2021</c:v>
                </c:pt>
              </c:strCache>
            </c:strRef>
          </c:tx>
          <c:spPr>
            <a:solidFill>
              <a:srgbClr val="FF0000"/>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8-D164-48F3-90D6-995515AE2B57}"/>
              </c:ext>
            </c:extLst>
          </c:dPt>
          <c:dPt>
            <c:idx val="1"/>
            <c:invertIfNegative val="0"/>
            <c:bubble3D val="0"/>
            <c:spPr>
              <a:solidFill>
                <a:srgbClr val="FFFF00"/>
              </a:solidFill>
              <a:ln>
                <a:noFill/>
              </a:ln>
              <a:effectLst/>
            </c:spPr>
            <c:extLst>
              <c:ext xmlns:c16="http://schemas.microsoft.com/office/drawing/2014/chart" uri="{C3380CC4-5D6E-409C-BE32-E72D297353CC}">
                <c16:uniqueId val="{0000000A-D164-48F3-90D6-995515AE2B57}"/>
              </c:ext>
            </c:extLst>
          </c:dPt>
          <c:dPt>
            <c:idx val="2"/>
            <c:invertIfNegative val="0"/>
            <c:bubble3D val="0"/>
            <c:spPr>
              <a:solidFill>
                <a:srgbClr val="FF0000"/>
              </a:solidFill>
              <a:ln>
                <a:noFill/>
              </a:ln>
              <a:effectLst/>
            </c:spPr>
            <c:extLst>
              <c:ext xmlns:c16="http://schemas.microsoft.com/office/drawing/2014/chart" uri="{C3380CC4-5D6E-409C-BE32-E72D297353CC}">
                <c16:uniqueId val="{0000000C-D164-48F3-90D6-995515AE2B57}"/>
              </c:ext>
            </c:extLst>
          </c:dPt>
          <c:dPt>
            <c:idx val="3"/>
            <c:invertIfNegative val="0"/>
            <c:bubble3D val="0"/>
            <c:spPr>
              <a:solidFill>
                <a:srgbClr val="FF0000"/>
              </a:solidFill>
              <a:ln>
                <a:noFill/>
              </a:ln>
              <a:effectLst/>
            </c:spPr>
            <c:extLst>
              <c:ext xmlns:c16="http://schemas.microsoft.com/office/drawing/2014/chart" uri="{C3380CC4-5D6E-409C-BE32-E72D297353CC}">
                <c16:uniqueId val="{0000000F-D164-48F3-90D6-995515AE2B57}"/>
              </c:ext>
            </c:extLst>
          </c:dPt>
          <c:dLbls>
            <c:dLbl>
              <c:idx val="1"/>
              <c:layout>
                <c:manualLayout>
                  <c:x val="2.5125702655207936E-2"/>
                  <c:y val="4.8153603811937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164-48F3-90D6-995515AE2B57}"/>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CUMPLIMIENTO_EJE3!$C$43:$C$122</c:f>
              <c:strCache>
                <c:ptCount val="4"/>
                <c:pt idx="0">
                  <c:v>GESTIÓN AMBIENTAL Y ORDENAMIENTO TERRITORIAL
</c:v>
                </c:pt>
                <c:pt idx="1">
                  <c:v>BOLIVAR PRIMERO GESTIÓN AMBIENTAL Y DESARROLLO TERRITORIAL</c:v>
                </c:pt>
                <c:pt idx="2">
                  <c:v>BOLÍVAR PRIMERO EN CONSERVACIÓN AMBIENTAL</c:v>
                </c:pt>
                <c:pt idx="3">
                  <c:v>GESTIÓN DEL RIESGO</c:v>
                </c:pt>
              </c:strCache>
            </c:strRef>
          </c:cat>
          <c:val>
            <c:numRef>
              <c:f>CUMPLIMIENTO_EJE3!$G$43:$G$122</c:f>
              <c:numCache>
                <c:formatCode>0%</c:formatCode>
                <c:ptCount val="4"/>
                <c:pt idx="0">
                  <c:v>0.28496980676328504</c:v>
                </c:pt>
                <c:pt idx="1">
                  <c:v>0.5</c:v>
                </c:pt>
                <c:pt idx="2">
                  <c:v>0.25</c:v>
                </c:pt>
                <c:pt idx="3">
                  <c:v>0.33987922705314011</c:v>
                </c:pt>
              </c:numCache>
            </c:numRef>
          </c:val>
          <c:extLst>
            <c:ext xmlns:c16="http://schemas.microsoft.com/office/drawing/2014/chart" uri="{C3380CC4-5D6E-409C-BE32-E72D297353CC}">
              <c16:uniqueId val="{0000000D-D164-48F3-90D6-995515AE2B57}"/>
            </c:ext>
          </c:extLst>
        </c:ser>
        <c:dLbls>
          <c:showLegendKey val="0"/>
          <c:showVal val="0"/>
          <c:showCatName val="0"/>
          <c:showSerName val="0"/>
          <c:showPercent val="0"/>
          <c:showBubbleSize val="0"/>
        </c:dLbls>
        <c:gapWidth val="182"/>
        <c:axId val="8005520"/>
        <c:axId val="12274432"/>
      </c:barChart>
      <c:catAx>
        <c:axId val="80055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crossAx val="12274432"/>
        <c:crosses val="autoZero"/>
        <c:auto val="1"/>
        <c:lblAlgn val="ctr"/>
        <c:lblOffset val="100"/>
        <c:noMultiLvlLbl val="0"/>
      </c:catAx>
      <c:valAx>
        <c:axId val="12274432"/>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0055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CUMPLIMIENTO_EJE4!$F$9</c:f>
              <c:strCache>
                <c:ptCount val="1"/>
                <c:pt idx="0">
                  <c:v>% CUMPLIMIENTO CUATRENIO</c:v>
                </c:pt>
              </c:strCache>
            </c:strRef>
          </c:tx>
          <c:spPr>
            <a:solidFill>
              <a:srgbClr val="00B050"/>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B-7C18-4B64-B0D6-D6F4179A139D}"/>
              </c:ext>
            </c:extLst>
          </c:dPt>
          <c:dPt>
            <c:idx val="1"/>
            <c:invertIfNegative val="0"/>
            <c:bubble3D val="0"/>
            <c:spPr>
              <a:solidFill>
                <a:srgbClr val="FF0000"/>
              </a:solidFill>
              <a:ln>
                <a:noFill/>
              </a:ln>
              <a:effectLst/>
            </c:spPr>
            <c:extLst>
              <c:ext xmlns:c16="http://schemas.microsoft.com/office/drawing/2014/chart" uri="{C3380CC4-5D6E-409C-BE32-E72D297353CC}">
                <c16:uniqueId val="{0000000A-7C18-4B64-B0D6-D6F4179A139D}"/>
              </c:ext>
            </c:extLst>
          </c:dPt>
          <c:dPt>
            <c:idx val="2"/>
            <c:invertIfNegative val="0"/>
            <c:bubble3D val="0"/>
            <c:spPr>
              <a:solidFill>
                <a:srgbClr val="00B050"/>
              </a:solidFill>
              <a:ln>
                <a:noFill/>
              </a:ln>
              <a:effectLst/>
            </c:spPr>
            <c:extLst>
              <c:ext xmlns:c16="http://schemas.microsoft.com/office/drawing/2014/chart" uri="{C3380CC4-5D6E-409C-BE32-E72D297353CC}">
                <c16:uniqueId val="{00000009-521E-4D85-AA46-45EC3162D2F6}"/>
              </c:ext>
            </c:extLst>
          </c:dPt>
          <c:dPt>
            <c:idx val="4"/>
            <c:invertIfNegative val="0"/>
            <c:bubble3D val="0"/>
            <c:spPr>
              <a:solidFill>
                <a:srgbClr val="00B050"/>
              </a:solidFill>
              <a:ln>
                <a:noFill/>
              </a:ln>
              <a:effectLst/>
            </c:spPr>
            <c:extLst>
              <c:ext xmlns:c16="http://schemas.microsoft.com/office/drawing/2014/chart" uri="{C3380CC4-5D6E-409C-BE32-E72D297353CC}">
                <c16:uniqueId val="{00000009-7C18-4B64-B0D6-D6F4179A139D}"/>
              </c:ext>
            </c:extLst>
          </c:dPt>
          <c:dPt>
            <c:idx val="5"/>
            <c:invertIfNegative val="0"/>
            <c:bubble3D val="0"/>
            <c:spPr>
              <a:solidFill>
                <a:srgbClr val="FF0000"/>
              </a:solidFill>
              <a:ln>
                <a:noFill/>
              </a:ln>
              <a:effectLst/>
            </c:spPr>
            <c:extLst>
              <c:ext xmlns:c16="http://schemas.microsoft.com/office/drawing/2014/chart" uri="{C3380CC4-5D6E-409C-BE32-E72D297353CC}">
                <c16:uniqueId val="{00000008-7C18-4B64-B0D6-D6F4179A139D}"/>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CUMPLIMIENTO_EJE4!$C$43:$C$122</c:f>
              <c:strCache>
                <c:ptCount val="7"/>
                <c:pt idx="0">
                  <c:v>BOLÍVAR PRIMERO EN FORTALECIMIENTO INSTITUCIONAL Y SEGURIDAD EFECTIVA PARA TODOS</c:v>
                </c:pt>
                <c:pt idx="1">
                  <c:v>BOLÍVAR SEGURO</c:v>
                </c:pt>
                <c:pt idx="2">
                  <c:v>BOLÍVAR PRIMERO EN DERECHOS HUMANOS</c:v>
                </c:pt>
                <c:pt idx="3">
                  <c:v>BOLÍVAR CON SISTEMA INTEGRAL DE PLANIFICACION DEPARTAMENTAL</c:v>
                </c:pt>
                <c:pt idx="4">
                  <c:v>BOLÍVAR CON INSTITUCIONALIDAD AL SERVICIO DE LA CIUDADANÍA. </c:v>
                </c:pt>
                <c:pt idx="5">
                  <c:v>BOLÍVAR CONTROLA LAS FINANZAS PÚBLICAS. </c:v>
                </c:pt>
                <c:pt idx="6">
                  <c:v>BOLÍVAR PRIMERO PROPICIA LA PARTICIPACIÓN CIUDADANA.</c:v>
                </c:pt>
              </c:strCache>
            </c:strRef>
          </c:cat>
          <c:val>
            <c:numRef>
              <c:f>CUMPLIMIENTO_EJE4!$F$43:$F$122</c:f>
              <c:numCache>
                <c:formatCode>0%</c:formatCode>
                <c:ptCount val="7"/>
                <c:pt idx="0">
                  <c:v>0.21518996587883446</c:v>
                </c:pt>
                <c:pt idx="1">
                  <c:v>5.9583333333333335E-2</c:v>
                </c:pt>
                <c:pt idx="2">
                  <c:v>0.3392857142857143</c:v>
                </c:pt>
                <c:pt idx="3">
                  <c:v>0.3098710317460317</c:v>
                </c:pt>
                <c:pt idx="4">
                  <c:v>0.34112987463808625</c:v>
                </c:pt>
                <c:pt idx="5">
                  <c:v>3.5714285714285712E-2</c:v>
                </c:pt>
                <c:pt idx="6">
                  <c:v>0.20555555555555557</c:v>
                </c:pt>
              </c:numCache>
            </c:numRef>
          </c:val>
          <c:extLst>
            <c:ext xmlns:c16="http://schemas.microsoft.com/office/drawing/2014/chart" uri="{C3380CC4-5D6E-409C-BE32-E72D297353CC}">
              <c16:uniqueId val="{00000000-5492-4F30-9D5C-FCDF6E370734}"/>
            </c:ext>
          </c:extLst>
        </c:ser>
        <c:dLbls>
          <c:showLegendKey val="0"/>
          <c:showVal val="0"/>
          <c:showCatName val="0"/>
          <c:showSerName val="0"/>
          <c:showPercent val="0"/>
          <c:showBubbleSize val="0"/>
        </c:dLbls>
        <c:gapWidth val="239"/>
        <c:axId val="8005520"/>
        <c:axId val="12274432"/>
      </c:barChart>
      <c:catAx>
        <c:axId val="80055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12274432"/>
        <c:crosses val="autoZero"/>
        <c:auto val="1"/>
        <c:lblAlgn val="ctr"/>
        <c:lblOffset val="100"/>
        <c:noMultiLvlLbl val="0"/>
      </c:catAx>
      <c:valAx>
        <c:axId val="12274432"/>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80055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CUMPLIMIENTO_EJE4!$F$9</c:f>
              <c:strCache>
                <c:ptCount val="1"/>
                <c:pt idx="0">
                  <c:v>% CUMPLIMIENTO CUATRENIO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CUMPLIMIENTO_EJE4!$C$43:$C$122</c:f>
              <c:strCache>
                <c:ptCount val="7"/>
                <c:pt idx="0">
                  <c:v>BOLÍVAR PRIMERO EN FORTALECIMIENTO INSTITUCIONAL Y SEGURIDAD EFECTIVA PARA TODOS</c:v>
                </c:pt>
                <c:pt idx="1">
                  <c:v>BOLÍVAR SEGURO</c:v>
                </c:pt>
                <c:pt idx="2">
                  <c:v>BOLÍVAR PRIMERO EN DERECHOS HUMANOS</c:v>
                </c:pt>
                <c:pt idx="3">
                  <c:v>BOLÍVAR CON SISTEMA INTEGRAL DE PLANIFICACION DEPARTAMENTAL</c:v>
                </c:pt>
                <c:pt idx="4">
                  <c:v>BOLÍVAR CON INSTITUCIONALIDAD AL SERVICIO DE LA CIUDADANÍA. </c:v>
                </c:pt>
                <c:pt idx="5">
                  <c:v>BOLÍVAR CONTROLA LAS FINANZAS PÚBLICAS. </c:v>
                </c:pt>
                <c:pt idx="6">
                  <c:v>BOLÍVAR PRIMERO PROPICIA LA PARTICIPACIÓN CIUDADANA.</c:v>
                </c:pt>
              </c:strCache>
            </c:strRef>
          </c:cat>
          <c:val>
            <c:numRef>
              <c:f>CUMPLIMIENTO_EJE4!$F$43:$F$122</c:f>
              <c:numCache>
                <c:formatCode>0%</c:formatCode>
                <c:ptCount val="7"/>
                <c:pt idx="0">
                  <c:v>0.21518996587883446</c:v>
                </c:pt>
                <c:pt idx="1">
                  <c:v>5.9583333333333335E-2</c:v>
                </c:pt>
                <c:pt idx="2">
                  <c:v>0.3392857142857143</c:v>
                </c:pt>
                <c:pt idx="3">
                  <c:v>0.3098710317460317</c:v>
                </c:pt>
                <c:pt idx="4">
                  <c:v>0.34112987463808625</c:v>
                </c:pt>
                <c:pt idx="5">
                  <c:v>3.5714285714285712E-2</c:v>
                </c:pt>
                <c:pt idx="6">
                  <c:v>0.20555555555555557</c:v>
                </c:pt>
              </c:numCache>
            </c:numRef>
          </c:val>
          <c:extLst>
            <c:ext xmlns:c16="http://schemas.microsoft.com/office/drawing/2014/chart" uri="{C3380CC4-5D6E-409C-BE32-E72D297353CC}">
              <c16:uniqueId val="{00000000-65AB-458D-BB5A-2C33E24A4C05}"/>
            </c:ext>
          </c:extLst>
        </c:ser>
        <c:ser>
          <c:idx val="1"/>
          <c:order val="1"/>
          <c:tx>
            <c:strRef>
              <c:f>CUMPLIMIENTO_EJE4!$G$9</c:f>
              <c:strCache>
                <c:ptCount val="1"/>
                <c:pt idx="0">
                  <c:v>% CUMPLIMIENTO  AÑO 2021</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CUMPLIMIENTO_EJE4!$C$43:$C$122</c:f>
              <c:strCache>
                <c:ptCount val="7"/>
                <c:pt idx="0">
                  <c:v>BOLÍVAR PRIMERO EN FORTALECIMIENTO INSTITUCIONAL Y SEGURIDAD EFECTIVA PARA TODOS</c:v>
                </c:pt>
                <c:pt idx="1">
                  <c:v>BOLÍVAR SEGURO</c:v>
                </c:pt>
                <c:pt idx="2">
                  <c:v>BOLÍVAR PRIMERO EN DERECHOS HUMANOS</c:v>
                </c:pt>
                <c:pt idx="3">
                  <c:v>BOLÍVAR CON SISTEMA INTEGRAL DE PLANIFICACION DEPARTAMENTAL</c:v>
                </c:pt>
                <c:pt idx="4">
                  <c:v>BOLÍVAR CON INSTITUCIONALIDAD AL SERVICIO DE LA CIUDADANÍA. </c:v>
                </c:pt>
                <c:pt idx="5">
                  <c:v>BOLÍVAR CONTROLA LAS FINANZAS PÚBLICAS. </c:v>
                </c:pt>
                <c:pt idx="6">
                  <c:v>BOLÍVAR PRIMERO PROPICIA LA PARTICIPACIÓN CIUDADANA.</c:v>
                </c:pt>
              </c:strCache>
            </c:strRef>
          </c:cat>
          <c:val>
            <c:numRef>
              <c:f>CUMPLIMIENTO_EJE4!$G$43:$G$122</c:f>
              <c:numCache>
                <c:formatCode>0%</c:formatCode>
                <c:ptCount val="7"/>
                <c:pt idx="0">
                  <c:v>0.20474983465608465</c:v>
                </c:pt>
                <c:pt idx="1">
                  <c:v>0.25</c:v>
                </c:pt>
                <c:pt idx="2">
                  <c:v>0.51904761904761909</c:v>
                </c:pt>
                <c:pt idx="3">
                  <c:v>0.30888888888888888</c:v>
                </c:pt>
                <c:pt idx="4">
                  <c:v>0.12556249999999999</c:v>
                </c:pt>
                <c:pt idx="5">
                  <c:v>0</c:v>
                </c:pt>
                <c:pt idx="6">
                  <c:v>2.5000000000000001E-2</c:v>
                </c:pt>
              </c:numCache>
            </c:numRef>
          </c:val>
          <c:extLst>
            <c:ext xmlns:c16="http://schemas.microsoft.com/office/drawing/2014/chart" uri="{C3380CC4-5D6E-409C-BE32-E72D297353CC}">
              <c16:uniqueId val="{00000001-65AB-458D-BB5A-2C33E24A4C05}"/>
            </c:ext>
          </c:extLst>
        </c:ser>
        <c:dLbls>
          <c:showLegendKey val="0"/>
          <c:showVal val="0"/>
          <c:showCatName val="0"/>
          <c:showSerName val="0"/>
          <c:showPercent val="0"/>
          <c:showBubbleSize val="0"/>
        </c:dLbls>
        <c:gapWidth val="239"/>
        <c:axId val="8005520"/>
        <c:axId val="12274432"/>
      </c:barChart>
      <c:catAx>
        <c:axId val="8005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12274432"/>
        <c:crosses val="autoZero"/>
        <c:auto val="1"/>
        <c:lblAlgn val="ctr"/>
        <c:lblOffset val="100"/>
        <c:noMultiLvlLbl val="0"/>
      </c:catAx>
      <c:valAx>
        <c:axId val="12274432"/>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80055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AÑO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1"/>
          <c:order val="0"/>
          <c:tx>
            <c:strRef>
              <c:f>CUMPLIMIENTO_EJE4!$G$9</c:f>
              <c:strCache>
                <c:ptCount val="1"/>
                <c:pt idx="0">
                  <c:v>% CUMPLIMIENTO  AÑO 2021</c:v>
                </c:pt>
              </c:strCache>
            </c:strRef>
          </c:tx>
          <c:spPr>
            <a:solidFill>
              <a:srgbClr val="FF0000"/>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A-9CBB-4CFE-80B5-2E6E0B55590B}"/>
              </c:ext>
            </c:extLst>
          </c:dPt>
          <c:dPt>
            <c:idx val="1"/>
            <c:invertIfNegative val="0"/>
            <c:bubble3D val="0"/>
            <c:spPr>
              <a:solidFill>
                <a:srgbClr val="FF0000"/>
              </a:solidFill>
              <a:ln>
                <a:noFill/>
              </a:ln>
              <a:effectLst/>
            </c:spPr>
            <c:extLst>
              <c:ext xmlns:c16="http://schemas.microsoft.com/office/drawing/2014/chart" uri="{C3380CC4-5D6E-409C-BE32-E72D297353CC}">
                <c16:uniqueId val="{0000000C-9CBB-4CFE-80B5-2E6E0B55590B}"/>
              </c:ext>
            </c:extLst>
          </c:dPt>
          <c:dPt>
            <c:idx val="2"/>
            <c:invertIfNegative val="0"/>
            <c:bubble3D val="0"/>
            <c:spPr>
              <a:solidFill>
                <a:srgbClr val="FFFF00"/>
              </a:solidFill>
              <a:ln>
                <a:noFill/>
              </a:ln>
              <a:effectLst/>
            </c:spPr>
            <c:extLst>
              <c:ext xmlns:c16="http://schemas.microsoft.com/office/drawing/2014/chart" uri="{C3380CC4-5D6E-409C-BE32-E72D297353CC}">
                <c16:uniqueId val="{0000000E-9CBB-4CFE-80B5-2E6E0B55590B}"/>
              </c:ext>
            </c:extLst>
          </c:dPt>
          <c:dPt>
            <c:idx val="3"/>
            <c:invertIfNegative val="0"/>
            <c:bubble3D val="0"/>
            <c:spPr>
              <a:solidFill>
                <a:srgbClr val="FFFF00"/>
              </a:solidFill>
              <a:ln>
                <a:noFill/>
              </a:ln>
              <a:effectLst/>
            </c:spPr>
            <c:extLst>
              <c:ext xmlns:c16="http://schemas.microsoft.com/office/drawing/2014/chart" uri="{C3380CC4-5D6E-409C-BE32-E72D297353CC}">
                <c16:uniqueId val="{00000010-9CBB-4CFE-80B5-2E6E0B55590B}"/>
              </c:ext>
            </c:extLst>
          </c:dPt>
          <c:dPt>
            <c:idx val="4"/>
            <c:invertIfNegative val="0"/>
            <c:bubble3D val="0"/>
            <c:spPr>
              <a:solidFill>
                <a:srgbClr val="FF0000"/>
              </a:solidFill>
              <a:ln>
                <a:noFill/>
              </a:ln>
              <a:effectLst/>
            </c:spPr>
            <c:extLst>
              <c:ext xmlns:c16="http://schemas.microsoft.com/office/drawing/2014/chart" uri="{C3380CC4-5D6E-409C-BE32-E72D297353CC}">
                <c16:uniqueId val="{00000012-9CBB-4CFE-80B5-2E6E0B55590B}"/>
              </c:ext>
            </c:extLst>
          </c:dPt>
          <c:dPt>
            <c:idx val="5"/>
            <c:invertIfNegative val="0"/>
            <c:bubble3D val="0"/>
            <c:spPr>
              <a:solidFill>
                <a:srgbClr val="FF0000"/>
              </a:solidFill>
              <a:ln>
                <a:noFill/>
              </a:ln>
              <a:effectLst/>
            </c:spPr>
            <c:extLst>
              <c:ext xmlns:c16="http://schemas.microsoft.com/office/drawing/2014/chart" uri="{C3380CC4-5D6E-409C-BE32-E72D297353CC}">
                <c16:uniqueId val="{00000014-9CBB-4CFE-80B5-2E6E0B55590B}"/>
              </c:ext>
            </c:extLst>
          </c:dPt>
          <c:dPt>
            <c:idx val="6"/>
            <c:invertIfNegative val="0"/>
            <c:bubble3D val="0"/>
            <c:spPr>
              <a:solidFill>
                <a:srgbClr val="FF0000"/>
              </a:solidFill>
              <a:ln>
                <a:noFill/>
              </a:ln>
              <a:effectLst/>
            </c:spPr>
            <c:extLst>
              <c:ext xmlns:c16="http://schemas.microsoft.com/office/drawing/2014/chart" uri="{C3380CC4-5D6E-409C-BE32-E72D297353CC}">
                <c16:uniqueId val="{00000016-9CBB-4CFE-80B5-2E6E0B55590B}"/>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CUMPLIMIENTO_EJE4!$C$43:$C$122</c:f>
              <c:strCache>
                <c:ptCount val="7"/>
                <c:pt idx="0">
                  <c:v>BOLÍVAR PRIMERO EN FORTALECIMIENTO INSTITUCIONAL Y SEGURIDAD EFECTIVA PARA TODOS</c:v>
                </c:pt>
                <c:pt idx="1">
                  <c:v>BOLÍVAR SEGURO</c:v>
                </c:pt>
                <c:pt idx="2">
                  <c:v>BOLÍVAR PRIMERO EN DERECHOS HUMANOS</c:v>
                </c:pt>
                <c:pt idx="3">
                  <c:v>BOLÍVAR CON SISTEMA INTEGRAL DE PLANIFICACION DEPARTAMENTAL</c:v>
                </c:pt>
                <c:pt idx="4">
                  <c:v>BOLÍVAR CON INSTITUCIONALIDAD AL SERVICIO DE LA CIUDADANÍA. </c:v>
                </c:pt>
                <c:pt idx="5">
                  <c:v>BOLÍVAR CONTROLA LAS FINANZAS PÚBLICAS. </c:v>
                </c:pt>
                <c:pt idx="6">
                  <c:v>BOLÍVAR PRIMERO PROPICIA LA PARTICIPACIÓN CIUDADANA.</c:v>
                </c:pt>
              </c:strCache>
            </c:strRef>
          </c:cat>
          <c:val>
            <c:numRef>
              <c:f>CUMPLIMIENTO_EJE4!$G$43:$G$122</c:f>
              <c:numCache>
                <c:formatCode>0%</c:formatCode>
                <c:ptCount val="7"/>
                <c:pt idx="0">
                  <c:v>0.20474983465608465</c:v>
                </c:pt>
                <c:pt idx="1">
                  <c:v>0.25</c:v>
                </c:pt>
                <c:pt idx="2">
                  <c:v>0.51904761904761909</c:v>
                </c:pt>
                <c:pt idx="3">
                  <c:v>0.30888888888888888</c:v>
                </c:pt>
                <c:pt idx="4">
                  <c:v>0.12556249999999999</c:v>
                </c:pt>
                <c:pt idx="5">
                  <c:v>0</c:v>
                </c:pt>
                <c:pt idx="6">
                  <c:v>2.5000000000000001E-2</c:v>
                </c:pt>
              </c:numCache>
            </c:numRef>
          </c:val>
          <c:extLst>
            <c:ext xmlns:c16="http://schemas.microsoft.com/office/drawing/2014/chart" uri="{C3380CC4-5D6E-409C-BE32-E72D297353CC}">
              <c16:uniqueId val="{00000017-9CBB-4CFE-80B5-2E6E0B55590B}"/>
            </c:ext>
          </c:extLst>
        </c:ser>
        <c:dLbls>
          <c:showLegendKey val="0"/>
          <c:showVal val="0"/>
          <c:showCatName val="0"/>
          <c:showSerName val="0"/>
          <c:showPercent val="0"/>
          <c:showBubbleSize val="0"/>
        </c:dLbls>
        <c:gapWidth val="182"/>
        <c:axId val="8005520"/>
        <c:axId val="12274432"/>
      </c:barChart>
      <c:catAx>
        <c:axId val="80055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crossAx val="12274432"/>
        <c:crosses val="autoZero"/>
        <c:auto val="1"/>
        <c:lblAlgn val="ctr"/>
        <c:lblOffset val="100"/>
        <c:noMultiLvlLbl val="0"/>
      </c:catAx>
      <c:valAx>
        <c:axId val="12274432"/>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0055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CUMPLIMIENTO_EJE5!$F$9</c:f>
              <c:strCache>
                <c:ptCount val="1"/>
                <c:pt idx="0">
                  <c:v>% CUMPLIMIENTO CUATRENIO</c:v>
                </c:pt>
              </c:strCache>
            </c:strRef>
          </c:tx>
          <c:spPr>
            <a:solidFill>
              <a:schemeClr val="accent1"/>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A-69B3-44D9-9CB1-5377DBCCF38D}"/>
              </c:ext>
            </c:extLst>
          </c:dPt>
          <c:dPt>
            <c:idx val="1"/>
            <c:invertIfNegative val="0"/>
            <c:bubble3D val="0"/>
            <c:spPr>
              <a:solidFill>
                <a:srgbClr val="FFFF00"/>
              </a:solidFill>
              <a:ln>
                <a:noFill/>
              </a:ln>
              <a:effectLst/>
            </c:spPr>
            <c:extLst>
              <c:ext xmlns:c16="http://schemas.microsoft.com/office/drawing/2014/chart" uri="{C3380CC4-5D6E-409C-BE32-E72D297353CC}">
                <c16:uniqueId val="{00000009-69B3-44D9-9CB1-5377DBCCF38D}"/>
              </c:ext>
            </c:extLst>
          </c:dPt>
          <c:dPt>
            <c:idx val="2"/>
            <c:invertIfNegative val="0"/>
            <c:bubble3D val="0"/>
            <c:spPr>
              <a:solidFill>
                <a:srgbClr val="00B050"/>
              </a:solidFill>
              <a:ln>
                <a:noFill/>
              </a:ln>
              <a:effectLst/>
            </c:spPr>
            <c:extLst>
              <c:ext xmlns:c16="http://schemas.microsoft.com/office/drawing/2014/chart" uri="{C3380CC4-5D6E-409C-BE32-E72D297353CC}">
                <c16:uniqueId val="{00000008-69B3-44D9-9CB1-5377DBCCF38D}"/>
              </c:ext>
            </c:extLst>
          </c:dPt>
          <c:dPt>
            <c:idx val="3"/>
            <c:invertIfNegative val="0"/>
            <c:bubble3D val="0"/>
            <c:spPr>
              <a:solidFill>
                <a:srgbClr val="00B050"/>
              </a:solidFill>
              <a:ln>
                <a:noFill/>
              </a:ln>
              <a:effectLst/>
            </c:spPr>
            <c:extLst>
              <c:ext xmlns:c16="http://schemas.microsoft.com/office/drawing/2014/chart" uri="{C3380CC4-5D6E-409C-BE32-E72D297353CC}">
                <c16:uniqueId val="{00000007-69B3-44D9-9CB1-5377DBCCF38D}"/>
              </c:ext>
            </c:extLst>
          </c:dPt>
          <c:dPt>
            <c:idx val="4"/>
            <c:invertIfNegative val="0"/>
            <c:bubble3D val="0"/>
            <c:spPr>
              <a:solidFill>
                <a:srgbClr val="FF0000"/>
              </a:solidFill>
              <a:ln>
                <a:noFill/>
              </a:ln>
              <a:effectLst/>
            </c:spPr>
            <c:extLst>
              <c:ext xmlns:c16="http://schemas.microsoft.com/office/drawing/2014/chart" uri="{C3380CC4-5D6E-409C-BE32-E72D297353CC}">
                <c16:uniqueId val="{00000006-69B3-44D9-9CB1-5377DBCCF38D}"/>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CUMPLIMIENTO_EJE5!$C$43:$C$122</c:f>
              <c:strCache>
                <c:ptCount val="5"/>
                <c:pt idx="0">
                  <c:v>BOLÍVAR PRIMERO EN RURALIDAD</c:v>
                </c:pt>
                <c:pt idx="1">
                  <c:v>Bolívar lleva Servicios Públicos al campo.</c:v>
                </c:pt>
                <c:pt idx="2">
                  <c:v>Ingreso, trabajo y productividad en el campo. </c:v>
                </c:pt>
                <c:pt idx="3">
                  <c:v>Infraestructura rural.</c:v>
                </c:pt>
                <c:pt idx="4">
                  <c:v>Cultura, deporte y recreación en el campo.</c:v>
                </c:pt>
              </c:strCache>
            </c:strRef>
          </c:cat>
          <c:val>
            <c:numRef>
              <c:f>CUMPLIMIENTO_EJE5!$F$43:$F$122</c:f>
              <c:numCache>
                <c:formatCode>0%</c:formatCode>
                <c:ptCount val="5"/>
                <c:pt idx="0">
                  <c:v>0.31751547831253712</c:v>
                </c:pt>
                <c:pt idx="1">
                  <c:v>0.48</c:v>
                </c:pt>
                <c:pt idx="2">
                  <c:v>0.28860000000000002</c:v>
                </c:pt>
                <c:pt idx="3">
                  <c:v>0.71323529411764697</c:v>
                </c:pt>
                <c:pt idx="4">
                  <c:v>3.5000000000000003E-2</c:v>
                </c:pt>
              </c:numCache>
            </c:numRef>
          </c:val>
          <c:extLst>
            <c:ext xmlns:c16="http://schemas.microsoft.com/office/drawing/2014/chart" uri="{C3380CC4-5D6E-409C-BE32-E72D297353CC}">
              <c16:uniqueId val="{00000000-DED5-4CB5-AF71-6605A98A6B64}"/>
            </c:ext>
          </c:extLst>
        </c:ser>
        <c:dLbls>
          <c:showLegendKey val="0"/>
          <c:showVal val="0"/>
          <c:showCatName val="0"/>
          <c:showSerName val="0"/>
          <c:showPercent val="0"/>
          <c:showBubbleSize val="0"/>
        </c:dLbls>
        <c:gapWidth val="239"/>
        <c:axId val="8005520"/>
        <c:axId val="12274432"/>
      </c:barChart>
      <c:catAx>
        <c:axId val="80055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12274432"/>
        <c:crosses val="autoZero"/>
        <c:auto val="1"/>
        <c:lblAlgn val="ctr"/>
        <c:lblOffset val="100"/>
        <c:noMultiLvlLbl val="0"/>
      </c:catAx>
      <c:valAx>
        <c:axId val="12274432"/>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80055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AÑO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1"/>
          <c:order val="0"/>
          <c:tx>
            <c:strRef>
              <c:f>CUMPLIMIENTO_EJE5!$G$9</c:f>
              <c:strCache>
                <c:ptCount val="1"/>
                <c:pt idx="0">
                  <c:v>% CUMPLIMIENTO  AÑO 2021</c:v>
                </c:pt>
              </c:strCache>
            </c:strRef>
          </c:tx>
          <c:spPr>
            <a:solidFill>
              <a:srgbClr val="FF0000"/>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C-1D1E-49DB-890B-5D2700417EC8}"/>
              </c:ext>
            </c:extLst>
          </c:dPt>
          <c:dPt>
            <c:idx val="1"/>
            <c:invertIfNegative val="0"/>
            <c:bubble3D val="0"/>
            <c:spPr>
              <a:solidFill>
                <a:srgbClr val="FF0000"/>
              </a:solidFill>
              <a:ln>
                <a:noFill/>
              </a:ln>
              <a:effectLst/>
            </c:spPr>
            <c:extLst>
              <c:ext xmlns:c16="http://schemas.microsoft.com/office/drawing/2014/chart" uri="{C3380CC4-5D6E-409C-BE32-E72D297353CC}">
                <c16:uniqueId val="{0000000E-1D1E-49DB-890B-5D2700417EC8}"/>
              </c:ext>
            </c:extLst>
          </c:dPt>
          <c:dPt>
            <c:idx val="2"/>
            <c:invertIfNegative val="0"/>
            <c:bubble3D val="0"/>
            <c:spPr>
              <a:solidFill>
                <a:srgbClr val="FF0000"/>
              </a:solidFill>
              <a:ln>
                <a:noFill/>
              </a:ln>
              <a:effectLst/>
            </c:spPr>
            <c:extLst>
              <c:ext xmlns:c16="http://schemas.microsoft.com/office/drawing/2014/chart" uri="{C3380CC4-5D6E-409C-BE32-E72D297353CC}">
                <c16:uniqueId val="{00000010-1D1E-49DB-890B-5D2700417EC8}"/>
              </c:ext>
            </c:extLst>
          </c:dPt>
          <c:dPt>
            <c:idx val="3"/>
            <c:invertIfNegative val="0"/>
            <c:bubble3D val="0"/>
            <c:spPr>
              <a:solidFill>
                <a:srgbClr val="00B050"/>
              </a:solidFill>
              <a:ln>
                <a:noFill/>
              </a:ln>
              <a:effectLst/>
            </c:spPr>
            <c:extLst>
              <c:ext xmlns:c16="http://schemas.microsoft.com/office/drawing/2014/chart" uri="{C3380CC4-5D6E-409C-BE32-E72D297353CC}">
                <c16:uniqueId val="{00000012-1D1E-49DB-890B-5D2700417EC8}"/>
              </c:ext>
            </c:extLst>
          </c:dPt>
          <c:dPt>
            <c:idx val="4"/>
            <c:invertIfNegative val="0"/>
            <c:bubble3D val="0"/>
            <c:spPr>
              <a:solidFill>
                <a:srgbClr val="FF0000"/>
              </a:solidFill>
              <a:ln>
                <a:noFill/>
              </a:ln>
              <a:effectLst/>
            </c:spPr>
            <c:extLst>
              <c:ext xmlns:c16="http://schemas.microsoft.com/office/drawing/2014/chart" uri="{C3380CC4-5D6E-409C-BE32-E72D297353CC}">
                <c16:uniqueId val="{00000014-1D1E-49DB-890B-5D2700417EC8}"/>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CUMPLIMIENTO_EJE5!$C$43:$C$122</c:f>
              <c:strCache>
                <c:ptCount val="5"/>
                <c:pt idx="0">
                  <c:v>BOLÍVAR PRIMERO EN RURALIDAD</c:v>
                </c:pt>
                <c:pt idx="1">
                  <c:v>Bolívar lleva Servicios Públicos al campo.</c:v>
                </c:pt>
                <c:pt idx="2">
                  <c:v>Ingreso, trabajo y productividad en el campo. </c:v>
                </c:pt>
                <c:pt idx="3">
                  <c:v>Infraestructura rural.</c:v>
                </c:pt>
                <c:pt idx="4">
                  <c:v>Cultura, deporte y recreación en el campo.</c:v>
                </c:pt>
              </c:strCache>
            </c:strRef>
          </c:cat>
          <c:val>
            <c:numRef>
              <c:f>CUMPLIMIENTO_EJE5!$G$43:$G$122</c:f>
              <c:numCache>
                <c:formatCode>0%</c:formatCode>
                <c:ptCount val="5"/>
                <c:pt idx="0">
                  <c:v>0.37496305418719206</c:v>
                </c:pt>
                <c:pt idx="1">
                  <c:v>0.375</c:v>
                </c:pt>
                <c:pt idx="2">
                  <c:v>5.5555555555555552E-2</c:v>
                </c:pt>
                <c:pt idx="3">
                  <c:v>0.85</c:v>
                </c:pt>
                <c:pt idx="4">
                  <c:v>0.15277777777777776</c:v>
                </c:pt>
              </c:numCache>
            </c:numRef>
          </c:val>
          <c:extLst>
            <c:ext xmlns:c16="http://schemas.microsoft.com/office/drawing/2014/chart" uri="{C3380CC4-5D6E-409C-BE32-E72D297353CC}">
              <c16:uniqueId val="{00000015-1D1E-49DB-890B-5D2700417EC8}"/>
            </c:ext>
          </c:extLst>
        </c:ser>
        <c:dLbls>
          <c:showLegendKey val="0"/>
          <c:showVal val="0"/>
          <c:showCatName val="0"/>
          <c:showSerName val="0"/>
          <c:showPercent val="0"/>
          <c:showBubbleSize val="0"/>
        </c:dLbls>
        <c:gapWidth val="182"/>
        <c:axId val="8005520"/>
        <c:axId val="12274432"/>
      </c:barChart>
      <c:catAx>
        <c:axId val="80055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CO"/>
          </a:p>
        </c:txPr>
        <c:crossAx val="12274432"/>
        <c:crosses val="autoZero"/>
        <c:auto val="1"/>
        <c:lblAlgn val="ctr"/>
        <c:lblOffset val="100"/>
        <c:noMultiLvlLbl val="0"/>
      </c:catAx>
      <c:valAx>
        <c:axId val="12274432"/>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0055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AVANCES</a:t>
            </a:r>
            <a:r>
              <a:rPr lang="en-US" baseline="0"/>
              <a:t> PDD Y PLAN DE ACCION 2021</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1"/>
          <c:order val="0"/>
          <c:tx>
            <c:strRef>
              <c:f>CUMPLIMIENTO_TOTAL!$G$9</c:f>
              <c:strCache>
                <c:ptCount val="1"/>
                <c:pt idx="0">
                  <c:v>% CUMPLIMIENTO  AÑO 2021</c:v>
                </c:pt>
              </c:strCache>
            </c:strRef>
          </c:tx>
          <c:spPr>
            <a:solidFill>
              <a:srgbClr val="FF0000"/>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E-998D-4AD4-86AE-C8C3163C7A27}"/>
              </c:ext>
            </c:extLst>
          </c:dPt>
          <c:dPt>
            <c:idx val="1"/>
            <c:invertIfNegative val="0"/>
            <c:bubble3D val="0"/>
            <c:spPr>
              <a:solidFill>
                <a:srgbClr val="00B050"/>
              </a:solidFill>
              <a:ln>
                <a:noFill/>
              </a:ln>
              <a:effectLst/>
            </c:spPr>
            <c:extLst>
              <c:ext xmlns:c16="http://schemas.microsoft.com/office/drawing/2014/chart" uri="{C3380CC4-5D6E-409C-BE32-E72D297353CC}">
                <c16:uniqueId val="{00000010-998D-4AD4-86AE-C8C3163C7A27}"/>
              </c:ext>
            </c:extLst>
          </c:dPt>
          <c:dPt>
            <c:idx val="2"/>
            <c:invertIfNegative val="0"/>
            <c:bubble3D val="0"/>
            <c:spPr>
              <a:solidFill>
                <a:srgbClr val="00B050"/>
              </a:solidFill>
              <a:ln>
                <a:noFill/>
              </a:ln>
              <a:effectLst/>
            </c:spPr>
            <c:extLst>
              <c:ext xmlns:c16="http://schemas.microsoft.com/office/drawing/2014/chart" uri="{C3380CC4-5D6E-409C-BE32-E72D297353CC}">
                <c16:uniqueId val="{00000012-998D-4AD4-86AE-C8C3163C7A27}"/>
              </c:ext>
            </c:extLst>
          </c:dPt>
          <c:dPt>
            <c:idx val="3"/>
            <c:invertIfNegative val="0"/>
            <c:bubble3D val="0"/>
            <c:spPr>
              <a:solidFill>
                <a:srgbClr val="FFFF00"/>
              </a:solidFill>
              <a:ln>
                <a:noFill/>
              </a:ln>
              <a:effectLst/>
            </c:spPr>
            <c:extLst>
              <c:ext xmlns:c16="http://schemas.microsoft.com/office/drawing/2014/chart" uri="{C3380CC4-5D6E-409C-BE32-E72D297353CC}">
                <c16:uniqueId val="{00000014-998D-4AD4-86AE-C8C3163C7A27}"/>
              </c:ext>
            </c:extLst>
          </c:dPt>
          <c:dPt>
            <c:idx val="4"/>
            <c:invertIfNegative val="0"/>
            <c:bubble3D val="0"/>
            <c:spPr>
              <a:solidFill>
                <a:srgbClr val="FFFF00"/>
              </a:solidFill>
              <a:ln>
                <a:noFill/>
              </a:ln>
              <a:effectLst/>
            </c:spPr>
            <c:extLst>
              <c:ext xmlns:c16="http://schemas.microsoft.com/office/drawing/2014/chart" uri="{C3380CC4-5D6E-409C-BE32-E72D297353CC}">
                <c16:uniqueId val="{00000016-998D-4AD4-86AE-C8C3163C7A27}"/>
              </c:ext>
            </c:extLst>
          </c:dPt>
          <c:dPt>
            <c:idx val="5"/>
            <c:invertIfNegative val="0"/>
            <c:bubble3D val="0"/>
            <c:spPr>
              <a:solidFill>
                <a:srgbClr val="FFFF00"/>
              </a:solidFill>
              <a:ln>
                <a:noFill/>
              </a:ln>
              <a:effectLst/>
            </c:spPr>
            <c:extLst>
              <c:ext xmlns:c16="http://schemas.microsoft.com/office/drawing/2014/chart" uri="{C3380CC4-5D6E-409C-BE32-E72D297353CC}">
                <c16:uniqueId val="{00000018-998D-4AD4-86AE-C8C3163C7A2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CUMPLIMIENTO_TOTAL!$C$11:$C$122</c:f>
              <c:strCache>
                <c:ptCount val="6"/>
                <c:pt idx="0">
                  <c:v>BOLIVAR PROGRESA, SUPERACIÓN DE LA POBREZA</c:v>
                </c:pt>
                <c:pt idx="1">
                  <c:v>BOLÍVAR COMPETITIVO PARA LA INCLUSIÓN SOCIAL</c:v>
                </c:pt>
                <c:pt idx="2">
                  <c:v>GESTIÓN AMBIENTAL Y ORDENAMIENTO TERRITORIAL
</c:v>
                </c:pt>
                <c:pt idx="3">
                  <c:v>BOLÍVAR PRIMERO EN FORTALECIMIENTO INSTITUCIONAL Y SEGURIDAD EFECTIVA PARA TODOS</c:v>
                </c:pt>
                <c:pt idx="4">
                  <c:v>BOLÍVAR PRIMERO EN RURALIDAD</c:v>
                </c:pt>
                <c:pt idx="5">
                  <c:v>GRUPOS POBLACIONALES</c:v>
                </c:pt>
              </c:strCache>
            </c:strRef>
          </c:cat>
          <c:val>
            <c:numRef>
              <c:f>CUMPLIMIENTO_TOTAL!$G$11:$G$122</c:f>
              <c:numCache>
                <c:formatCode>0%</c:formatCode>
                <c:ptCount val="6"/>
                <c:pt idx="0">
                  <c:v>0.33973499765782816</c:v>
                </c:pt>
                <c:pt idx="1">
                  <c:v>0.32985855013965804</c:v>
                </c:pt>
                <c:pt idx="2">
                  <c:v>0.28496980676328504</c:v>
                </c:pt>
                <c:pt idx="3">
                  <c:v>0.20474983465608465</c:v>
                </c:pt>
                <c:pt idx="4">
                  <c:v>0.37496305418719206</c:v>
                </c:pt>
                <c:pt idx="5">
                  <c:v>0.18931768927175735</c:v>
                </c:pt>
              </c:numCache>
            </c:numRef>
          </c:val>
          <c:extLst>
            <c:ext xmlns:c16="http://schemas.microsoft.com/office/drawing/2014/chart" uri="{C3380CC4-5D6E-409C-BE32-E72D297353CC}">
              <c16:uniqueId val="{00000019-998D-4AD4-86AE-C8C3163C7A27}"/>
            </c:ext>
          </c:extLst>
        </c:ser>
        <c:dLbls>
          <c:showLegendKey val="0"/>
          <c:showVal val="0"/>
          <c:showCatName val="0"/>
          <c:showSerName val="0"/>
          <c:showPercent val="0"/>
          <c:showBubbleSize val="0"/>
        </c:dLbls>
        <c:gapWidth val="182"/>
        <c:axId val="8005520"/>
        <c:axId val="12274432"/>
      </c:barChart>
      <c:catAx>
        <c:axId val="80055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274432"/>
        <c:crosses val="autoZero"/>
        <c:auto val="1"/>
        <c:lblAlgn val="ctr"/>
        <c:lblOffset val="100"/>
        <c:noMultiLvlLbl val="0"/>
      </c:catAx>
      <c:valAx>
        <c:axId val="12274432"/>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0055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CUMPLIMIENTO_EJE5!$F$9</c:f>
              <c:strCache>
                <c:ptCount val="1"/>
                <c:pt idx="0">
                  <c:v>% CUMPLIMIENTO CUATRENIO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CUMPLIMIENTO_EJE5!$C$10:$C$121</c:f>
              <c:strCache>
                <c:ptCount val="5"/>
                <c:pt idx="0">
                  <c:v>BOLÍVAR PRIMERO EN RURALIDAD</c:v>
                </c:pt>
                <c:pt idx="1">
                  <c:v>Bolívar lleva Servicios Públicos al campo.</c:v>
                </c:pt>
                <c:pt idx="2">
                  <c:v>Ingreso, trabajo y productividad en el campo. </c:v>
                </c:pt>
                <c:pt idx="3">
                  <c:v>Infraestructura rural.</c:v>
                </c:pt>
                <c:pt idx="4">
                  <c:v>Cultura, deporte y recreación en el campo.</c:v>
                </c:pt>
              </c:strCache>
            </c:strRef>
          </c:cat>
          <c:val>
            <c:numRef>
              <c:f>CUMPLIMIENTO_EJE5!$F$10:$F$121</c:f>
              <c:numCache>
                <c:formatCode>0%</c:formatCode>
                <c:ptCount val="5"/>
                <c:pt idx="0">
                  <c:v>0.31751547831253712</c:v>
                </c:pt>
                <c:pt idx="1">
                  <c:v>0.48</c:v>
                </c:pt>
                <c:pt idx="2">
                  <c:v>0.28860000000000002</c:v>
                </c:pt>
                <c:pt idx="3">
                  <c:v>0.71323529411764697</c:v>
                </c:pt>
                <c:pt idx="4">
                  <c:v>3.5000000000000003E-2</c:v>
                </c:pt>
              </c:numCache>
            </c:numRef>
          </c:val>
          <c:extLst>
            <c:ext xmlns:c16="http://schemas.microsoft.com/office/drawing/2014/chart" uri="{C3380CC4-5D6E-409C-BE32-E72D297353CC}">
              <c16:uniqueId val="{00000000-2023-416F-98F1-325C05210C49}"/>
            </c:ext>
          </c:extLst>
        </c:ser>
        <c:ser>
          <c:idx val="1"/>
          <c:order val="1"/>
          <c:tx>
            <c:strRef>
              <c:f>CUMPLIMIENTO_EJE5!$G$9</c:f>
              <c:strCache>
                <c:ptCount val="1"/>
                <c:pt idx="0">
                  <c:v>% CUMPLIMIENTO  AÑO 2021</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CUMPLIMIENTO_EJE5!$C$10:$C$121</c:f>
              <c:strCache>
                <c:ptCount val="5"/>
                <c:pt idx="0">
                  <c:v>BOLÍVAR PRIMERO EN RURALIDAD</c:v>
                </c:pt>
                <c:pt idx="1">
                  <c:v>Bolívar lleva Servicios Públicos al campo.</c:v>
                </c:pt>
                <c:pt idx="2">
                  <c:v>Ingreso, trabajo y productividad en el campo. </c:v>
                </c:pt>
                <c:pt idx="3">
                  <c:v>Infraestructura rural.</c:v>
                </c:pt>
                <c:pt idx="4">
                  <c:v>Cultura, deporte y recreación en el campo.</c:v>
                </c:pt>
              </c:strCache>
            </c:strRef>
          </c:cat>
          <c:val>
            <c:numRef>
              <c:f>CUMPLIMIENTO_EJE5!$G$10:$G$121</c:f>
              <c:numCache>
                <c:formatCode>0%</c:formatCode>
                <c:ptCount val="5"/>
                <c:pt idx="0">
                  <c:v>0.37496305418719206</c:v>
                </c:pt>
                <c:pt idx="1">
                  <c:v>0.375</c:v>
                </c:pt>
                <c:pt idx="2">
                  <c:v>5.5555555555555552E-2</c:v>
                </c:pt>
                <c:pt idx="3">
                  <c:v>0.85</c:v>
                </c:pt>
                <c:pt idx="4">
                  <c:v>0.15277777777777776</c:v>
                </c:pt>
              </c:numCache>
            </c:numRef>
          </c:val>
          <c:extLst>
            <c:ext xmlns:c16="http://schemas.microsoft.com/office/drawing/2014/chart" uri="{C3380CC4-5D6E-409C-BE32-E72D297353CC}">
              <c16:uniqueId val="{00000001-2023-416F-98F1-325C05210C49}"/>
            </c:ext>
          </c:extLst>
        </c:ser>
        <c:dLbls>
          <c:showLegendKey val="0"/>
          <c:showVal val="0"/>
          <c:showCatName val="0"/>
          <c:showSerName val="0"/>
          <c:showPercent val="0"/>
          <c:showBubbleSize val="0"/>
        </c:dLbls>
        <c:gapWidth val="182"/>
        <c:axId val="195464256"/>
        <c:axId val="195464672"/>
      </c:barChart>
      <c:catAx>
        <c:axId val="1954642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crossAx val="195464672"/>
        <c:crosses val="autoZero"/>
        <c:auto val="1"/>
        <c:lblAlgn val="ctr"/>
        <c:lblOffset val="100"/>
        <c:noMultiLvlLbl val="0"/>
      </c:catAx>
      <c:valAx>
        <c:axId val="19546467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54642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CUMPLIMIENTO_EJE6!$F$9</c:f>
              <c:strCache>
                <c:ptCount val="1"/>
                <c:pt idx="0">
                  <c:v>% CUMPLIMIENTO CUATRENIO</c:v>
                </c:pt>
              </c:strCache>
            </c:strRef>
          </c:tx>
          <c:spPr>
            <a:solidFill>
              <a:schemeClr val="accent1"/>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9-83F5-487E-9001-7B119CF09A89}"/>
              </c:ext>
            </c:extLst>
          </c:dPt>
          <c:dPt>
            <c:idx val="1"/>
            <c:invertIfNegative val="0"/>
            <c:bubble3D val="0"/>
            <c:spPr>
              <a:solidFill>
                <a:srgbClr val="FFFF00"/>
              </a:solidFill>
              <a:ln>
                <a:noFill/>
              </a:ln>
              <a:effectLst/>
            </c:spPr>
            <c:extLst>
              <c:ext xmlns:c16="http://schemas.microsoft.com/office/drawing/2014/chart" uri="{C3380CC4-5D6E-409C-BE32-E72D297353CC}">
                <c16:uniqueId val="{00000008-83F5-487E-9001-7B119CF09A89}"/>
              </c:ext>
            </c:extLst>
          </c:dPt>
          <c:dPt>
            <c:idx val="2"/>
            <c:invertIfNegative val="0"/>
            <c:bubble3D val="0"/>
            <c:spPr>
              <a:solidFill>
                <a:srgbClr val="FF0000"/>
              </a:solidFill>
              <a:ln>
                <a:noFill/>
              </a:ln>
              <a:effectLst/>
            </c:spPr>
            <c:extLst>
              <c:ext xmlns:c16="http://schemas.microsoft.com/office/drawing/2014/chart" uri="{C3380CC4-5D6E-409C-BE32-E72D297353CC}">
                <c16:uniqueId val="{00000007-83F5-487E-9001-7B119CF09A89}"/>
              </c:ext>
            </c:extLst>
          </c:dPt>
          <c:dPt>
            <c:idx val="3"/>
            <c:invertIfNegative val="0"/>
            <c:bubble3D val="0"/>
            <c:spPr>
              <a:solidFill>
                <a:srgbClr val="00B050"/>
              </a:solidFill>
              <a:ln>
                <a:noFill/>
              </a:ln>
              <a:effectLst/>
            </c:spPr>
            <c:extLst>
              <c:ext xmlns:c16="http://schemas.microsoft.com/office/drawing/2014/chart" uri="{C3380CC4-5D6E-409C-BE32-E72D297353CC}">
                <c16:uniqueId val="{00000006-83F5-487E-9001-7B119CF09A89}"/>
              </c:ext>
            </c:extLst>
          </c:dPt>
          <c:dPt>
            <c:idx val="4"/>
            <c:invertIfNegative val="0"/>
            <c:bubble3D val="0"/>
            <c:spPr>
              <a:solidFill>
                <a:srgbClr val="00B050"/>
              </a:solidFill>
              <a:ln>
                <a:noFill/>
              </a:ln>
              <a:effectLst/>
            </c:spPr>
            <c:extLst>
              <c:ext xmlns:c16="http://schemas.microsoft.com/office/drawing/2014/chart" uri="{C3380CC4-5D6E-409C-BE32-E72D297353CC}">
                <c16:uniqueId val="{00000005-83F5-487E-9001-7B119CF09A89}"/>
              </c:ext>
            </c:extLst>
          </c:dPt>
          <c:dPt>
            <c:idx val="5"/>
            <c:invertIfNegative val="0"/>
            <c:bubble3D val="0"/>
            <c:spPr>
              <a:solidFill>
                <a:srgbClr val="00B050"/>
              </a:solidFill>
              <a:ln>
                <a:noFill/>
              </a:ln>
              <a:effectLst/>
            </c:spPr>
            <c:extLst>
              <c:ext xmlns:c16="http://schemas.microsoft.com/office/drawing/2014/chart" uri="{C3380CC4-5D6E-409C-BE32-E72D297353CC}">
                <c16:uniqueId val="{00000004-83F5-487E-9001-7B119CF09A89}"/>
              </c:ext>
            </c:extLst>
          </c:dPt>
          <c:dPt>
            <c:idx val="6"/>
            <c:invertIfNegative val="0"/>
            <c:bubble3D val="0"/>
            <c:spPr>
              <a:solidFill>
                <a:srgbClr val="00B050"/>
              </a:solidFill>
              <a:ln>
                <a:noFill/>
              </a:ln>
              <a:effectLst/>
            </c:spPr>
            <c:extLst>
              <c:ext xmlns:c16="http://schemas.microsoft.com/office/drawing/2014/chart" uri="{C3380CC4-5D6E-409C-BE32-E72D297353CC}">
                <c16:uniqueId val="{00000013-DA8D-406B-B5AD-5ADF42F4FFEB}"/>
              </c:ext>
            </c:extLst>
          </c:dPt>
          <c:dPt>
            <c:idx val="7"/>
            <c:invertIfNegative val="0"/>
            <c:bubble3D val="0"/>
            <c:spPr>
              <a:solidFill>
                <a:srgbClr val="00B050"/>
              </a:solidFill>
              <a:ln>
                <a:noFill/>
              </a:ln>
              <a:effectLst/>
            </c:spPr>
            <c:extLst>
              <c:ext xmlns:c16="http://schemas.microsoft.com/office/drawing/2014/chart" uri="{C3380CC4-5D6E-409C-BE32-E72D297353CC}">
                <c16:uniqueId val="{00000003-83F5-487E-9001-7B119CF09A89}"/>
              </c:ext>
            </c:extLst>
          </c:dPt>
          <c:dPt>
            <c:idx val="8"/>
            <c:invertIfNegative val="0"/>
            <c:bubble3D val="0"/>
            <c:spPr>
              <a:solidFill>
                <a:srgbClr val="00B050"/>
              </a:solidFill>
              <a:ln>
                <a:noFill/>
              </a:ln>
              <a:effectLst/>
            </c:spPr>
            <c:extLst>
              <c:ext xmlns:c16="http://schemas.microsoft.com/office/drawing/2014/chart" uri="{C3380CC4-5D6E-409C-BE32-E72D297353CC}">
                <c16:uniqueId val="{00000006-3EAC-42F8-A6D6-DCDBBF368E53}"/>
              </c:ext>
            </c:extLst>
          </c:dPt>
          <c:dPt>
            <c:idx val="9"/>
            <c:invertIfNegative val="0"/>
            <c:bubble3D val="0"/>
            <c:spPr>
              <a:solidFill>
                <a:srgbClr val="FF0000"/>
              </a:solidFill>
              <a:ln>
                <a:noFill/>
              </a:ln>
              <a:effectLst/>
            </c:spPr>
            <c:extLst>
              <c:ext xmlns:c16="http://schemas.microsoft.com/office/drawing/2014/chart" uri="{C3380CC4-5D6E-409C-BE32-E72D297353CC}">
                <c16:uniqueId val="{00000002-83F5-487E-9001-7B119CF09A89}"/>
              </c:ext>
            </c:extLst>
          </c:dPt>
          <c:dLbls>
            <c:dLbl>
              <c:idx val="8"/>
              <c:layout>
                <c:manualLayout>
                  <c:x val="-1.2448427244138684E-3"/>
                  <c:y val="1.08839596359358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EAC-42F8-A6D6-DCDBBF368E53}"/>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CUMPLIMIENTO_EJE6!$C$43:$C$155</c:f>
              <c:strCache>
                <c:ptCount val="11"/>
                <c:pt idx="0">
                  <c:v>GRUPOS POBLACIONALES</c:v>
                </c:pt>
                <c:pt idx="1">
                  <c:v>CAPITULO ATENCIÓN A VÍCTIMAS, CONSTRUCCIÓN DE PAZ Y RECONCILIACIÓN </c:v>
                </c:pt>
                <c:pt idx="2">
                  <c:v>CAPITULO DE MINORÍAS ÉTNICAS.</c:v>
                </c:pt>
                <c:pt idx="3">
                  <c:v>CAPITULO NIÑOS Y NIÑAS EN SU PRIMERA INFANCIA, INFANCIA Y ADOLESCENCIA.</c:v>
                </c:pt>
                <c:pt idx="4">
                  <c:v>JUVENTUD</c:v>
                </c:pt>
                <c:pt idx="5">
                  <c:v>BOLÍVAR GARANTIZA DERECHOS Y CUBRE LAS NECESIDADES DE ENVEJECIMIENTO Y VEJEZ. </c:v>
                </c:pt>
                <c:pt idx="6">
                  <c:v>BOLÍVAR PRIMERO GARANTIZA LA EQUIDAD DE GÉNERO Y LA AUTONOMÍA DE LA MUJER BOLIVARENSE.</c:v>
                </c:pt>
                <c:pt idx="7">
                  <c:v>CAPITULO LGTBIQ</c:v>
                </c:pt>
                <c:pt idx="8">
                  <c:v>CAPITULO POBLACIÓN EN SITUACIÓN DE DISCAPACIDAD</c:v>
                </c:pt>
                <c:pt idx="9">
                  <c:v>ASUNTOS RELIGIOSOS</c:v>
                </c:pt>
                <c:pt idx="10">
                  <c:v>SISTEMA PENITENCIARIO</c:v>
                </c:pt>
              </c:strCache>
            </c:strRef>
          </c:cat>
          <c:val>
            <c:numRef>
              <c:f>CUMPLIMIENTO_EJE6!$F$43:$F$152</c:f>
              <c:numCache>
                <c:formatCode>0%</c:formatCode>
                <c:ptCount val="10"/>
                <c:pt idx="0">
                  <c:v>0.29743627103134557</c:v>
                </c:pt>
                <c:pt idx="1">
                  <c:v>0.22420701145984015</c:v>
                </c:pt>
                <c:pt idx="2">
                  <c:v>0.12273065476190476</c:v>
                </c:pt>
                <c:pt idx="3">
                  <c:v>0.53456790123456799</c:v>
                </c:pt>
                <c:pt idx="4">
                  <c:v>0.44374999999999998</c:v>
                </c:pt>
                <c:pt idx="5">
                  <c:v>0.38174603174603178</c:v>
                </c:pt>
                <c:pt idx="6">
                  <c:v>0.44444444444444442</c:v>
                </c:pt>
                <c:pt idx="7">
                  <c:v>0.47291666666666665</c:v>
                </c:pt>
                <c:pt idx="8">
                  <c:v>0.2</c:v>
                </c:pt>
                <c:pt idx="9">
                  <c:v>0.15</c:v>
                </c:pt>
              </c:numCache>
            </c:numRef>
          </c:val>
          <c:extLst>
            <c:ext xmlns:c16="http://schemas.microsoft.com/office/drawing/2014/chart" uri="{C3380CC4-5D6E-409C-BE32-E72D297353CC}">
              <c16:uniqueId val="{00000000-3EAC-42F8-A6D6-DCDBBF368E53}"/>
            </c:ext>
          </c:extLst>
        </c:ser>
        <c:dLbls>
          <c:showLegendKey val="0"/>
          <c:showVal val="0"/>
          <c:showCatName val="0"/>
          <c:showSerName val="0"/>
          <c:showPercent val="0"/>
          <c:showBubbleSize val="0"/>
        </c:dLbls>
        <c:gapWidth val="239"/>
        <c:axId val="8005520"/>
        <c:axId val="12274432"/>
      </c:barChart>
      <c:catAx>
        <c:axId val="8005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12274432"/>
        <c:crosses val="autoZero"/>
        <c:auto val="1"/>
        <c:lblAlgn val="ctr"/>
        <c:lblOffset val="100"/>
        <c:noMultiLvlLbl val="0"/>
      </c:catAx>
      <c:valAx>
        <c:axId val="12274432"/>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80055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CUMPLIMIENTO_EJE6!$F$9</c:f>
              <c:strCache>
                <c:ptCount val="1"/>
                <c:pt idx="0">
                  <c:v>% CUMPLIMIENTO CUATRENIO</c:v>
                </c:pt>
              </c:strCache>
            </c:strRef>
          </c:tx>
          <c:spPr>
            <a:solidFill>
              <a:srgbClr val="0070C0"/>
            </a:solidFill>
            <a:ln>
              <a:noFill/>
            </a:ln>
            <a:effectLst/>
          </c:spPr>
          <c:invertIfNegative val="0"/>
          <c:dPt>
            <c:idx val="0"/>
            <c:invertIfNegative val="0"/>
            <c:bubble3D val="0"/>
            <c:spPr>
              <a:solidFill>
                <a:srgbClr val="0070C0"/>
              </a:solidFill>
              <a:ln>
                <a:noFill/>
              </a:ln>
              <a:effectLst/>
            </c:spPr>
            <c:extLst>
              <c:ext xmlns:c16="http://schemas.microsoft.com/office/drawing/2014/chart" uri="{C3380CC4-5D6E-409C-BE32-E72D297353CC}">
                <c16:uniqueId val="{00000001-4E25-43B7-8019-961E2072FBE3}"/>
              </c:ext>
            </c:extLst>
          </c:dPt>
          <c:dPt>
            <c:idx val="1"/>
            <c:invertIfNegative val="0"/>
            <c:bubble3D val="0"/>
            <c:spPr>
              <a:solidFill>
                <a:srgbClr val="0070C0"/>
              </a:solidFill>
              <a:ln>
                <a:noFill/>
              </a:ln>
              <a:effectLst/>
            </c:spPr>
            <c:extLst>
              <c:ext xmlns:c16="http://schemas.microsoft.com/office/drawing/2014/chart" uri="{C3380CC4-5D6E-409C-BE32-E72D297353CC}">
                <c16:uniqueId val="{00000003-4E25-43B7-8019-961E2072FBE3}"/>
              </c:ext>
            </c:extLst>
          </c:dPt>
          <c:dPt>
            <c:idx val="2"/>
            <c:invertIfNegative val="0"/>
            <c:bubble3D val="0"/>
            <c:spPr>
              <a:solidFill>
                <a:srgbClr val="0070C0"/>
              </a:solidFill>
              <a:ln>
                <a:noFill/>
              </a:ln>
              <a:effectLst/>
            </c:spPr>
            <c:extLst>
              <c:ext xmlns:c16="http://schemas.microsoft.com/office/drawing/2014/chart" uri="{C3380CC4-5D6E-409C-BE32-E72D297353CC}">
                <c16:uniqueId val="{00000005-4E25-43B7-8019-961E2072FBE3}"/>
              </c:ext>
            </c:extLst>
          </c:dPt>
          <c:dPt>
            <c:idx val="3"/>
            <c:invertIfNegative val="0"/>
            <c:bubble3D val="0"/>
            <c:spPr>
              <a:solidFill>
                <a:srgbClr val="0070C0"/>
              </a:solidFill>
              <a:ln>
                <a:noFill/>
              </a:ln>
              <a:effectLst/>
            </c:spPr>
            <c:extLst>
              <c:ext xmlns:c16="http://schemas.microsoft.com/office/drawing/2014/chart" uri="{C3380CC4-5D6E-409C-BE32-E72D297353CC}">
                <c16:uniqueId val="{00000007-4E25-43B7-8019-961E2072FBE3}"/>
              </c:ext>
            </c:extLst>
          </c:dPt>
          <c:dPt>
            <c:idx val="4"/>
            <c:invertIfNegative val="0"/>
            <c:bubble3D val="0"/>
            <c:spPr>
              <a:solidFill>
                <a:srgbClr val="0070C0"/>
              </a:solidFill>
              <a:ln>
                <a:noFill/>
              </a:ln>
              <a:effectLst/>
            </c:spPr>
            <c:extLst>
              <c:ext xmlns:c16="http://schemas.microsoft.com/office/drawing/2014/chart" uri="{C3380CC4-5D6E-409C-BE32-E72D297353CC}">
                <c16:uniqueId val="{00000009-4E25-43B7-8019-961E2072FBE3}"/>
              </c:ext>
            </c:extLst>
          </c:dPt>
          <c:dPt>
            <c:idx val="5"/>
            <c:invertIfNegative val="0"/>
            <c:bubble3D val="0"/>
            <c:spPr>
              <a:solidFill>
                <a:srgbClr val="0070C0"/>
              </a:solidFill>
              <a:ln>
                <a:noFill/>
              </a:ln>
              <a:effectLst/>
            </c:spPr>
            <c:extLst>
              <c:ext xmlns:c16="http://schemas.microsoft.com/office/drawing/2014/chart" uri="{C3380CC4-5D6E-409C-BE32-E72D297353CC}">
                <c16:uniqueId val="{0000000B-4E25-43B7-8019-961E2072FBE3}"/>
              </c:ext>
            </c:extLst>
          </c:dPt>
          <c:dPt>
            <c:idx val="7"/>
            <c:invertIfNegative val="0"/>
            <c:bubble3D val="0"/>
            <c:spPr>
              <a:solidFill>
                <a:srgbClr val="0070C0"/>
              </a:solidFill>
              <a:ln>
                <a:noFill/>
              </a:ln>
              <a:effectLst/>
            </c:spPr>
            <c:extLst>
              <c:ext xmlns:c16="http://schemas.microsoft.com/office/drawing/2014/chart" uri="{C3380CC4-5D6E-409C-BE32-E72D297353CC}">
                <c16:uniqueId val="{0000000D-4E25-43B7-8019-961E2072FBE3}"/>
              </c:ext>
            </c:extLst>
          </c:dPt>
          <c:dPt>
            <c:idx val="8"/>
            <c:invertIfNegative val="0"/>
            <c:bubble3D val="0"/>
            <c:spPr>
              <a:solidFill>
                <a:srgbClr val="0070C0"/>
              </a:solidFill>
              <a:ln>
                <a:noFill/>
              </a:ln>
              <a:effectLst/>
            </c:spPr>
            <c:extLst>
              <c:ext xmlns:c16="http://schemas.microsoft.com/office/drawing/2014/chart" uri="{C3380CC4-5D6E-409C-BE32-E72D297353CC}">
                <c16:uniqueId val="{0000000F-4E25-43B7-8019-961E2072FBE3}"/>
              </c:ext>
            </c:extLst>
          </c:dPt>
          <c:dPt>
            <c:idx val="9"/>
            <c:invertIfNegative val="0"/>
            <c:bubble3D val="0"/>
            <c:spPr>
              <a:solidFill>
                <a:srgbClr val="0070C0"/>
              </a:solidFill>
              <a:ln>
                <a:noFill/>
              </a:ln>
              <a:effectLst/>
            </c:spPr>
            <c:extLst>
              <c:ext xmlns:c16="http://schemas.microsoft.com/office/drawing/2014/chart" uri="{C3380CC4-5D6E-409C-BE32-E72D297353CC}">
                <c16:uniqueId val="{00000011-4E25-43B7-8019-961E2072FBE3}"/>
              </c:ext>
            </c:extLst>
          </c:dPt>
          <c:dLbls>
            <c:dLbl>
              <c:idx val="8"/>
              <c:layout>
                <c:manualLayout>
                  <c:x val="-1.2448427244138684E-3"/>
                  <c:y val="1.08839596359358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25-43B7-8019-961E2072FBE3}"/>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CUMPLIMIENTO_EJE6!$C$43:$C$155</c:f>
              <c:strCache>
                <c:ptCount val="11"/>
                <c:pt idx="0">
                  <c:v>GRUPOS POBLACIONALES</c:v>
                </c:pt>
                <c:pt idx="1">
                  <c:v>CAPITULO ATENCIÓN A VÍCTIMAS, CONSTRUCCIÓN DE PAZ Y RECONCILIACIÓN </c:v>
                </c:pt>
                <c:pt idx="2">
                  <c:v>CAPITULO DE MINORÍAS ÉTNICAS.</c:v>
                </c:pt>
                <c:pt idx="3">
                  <c:v>CAPITULO NIÑOS Y NIÑAS EN SU PRIMERA INFANCIA, INFANCIA Y ADOLESCENCIA.</c:v>
                </c:pt>
                <c:pt idx="4">
                  <c:v>JUVENTUD</c:v>
                </c:pt>
                <c:pt idx="5">
                  <c:v>BOLÍVAR GARANTIZA DERECHOS Y CUBRE LAS NECESIDADES DE ENVEJECIMIENTO Y VEJEZ. </c:v>
                </c:pt>
                <c:pt idx="6">
                  <c:v>BOLÍVAR PRIMERO GARANTIZA LA EQUIDAD DE GÉNERO Y LA AUTONOMÍA DE LA MUJER BOLIVARENSE.</c:v>
                </c:pt>
                <c:pt idx="7">
                  <c:v>CAPITULO LGTBIQ</c:v>
                </c:pt>
                <c:pt idx="8">
                  <c:v>CAPITULO POBLACIÓN EN SITUACIÓN DE DISCAPACIDAD</c:v>
                </c:pt>
                <c:pt idx="9">
                  <c:v>ASUNTOS RELIGIOSOS</c:v>
                </c:pt>
                <c:pt idx="10">
                  <c:v>SISTEMA PENITENCIARIO</c:v>
                </c:pt>
              </c:strCache>
            </c:strRef>
          </c:cat>
          <c:val>
            <c:numRef>
              <c:f>CUMPLIMIENTO_EJE6!$F$43:$F$152</c:f>
              <c:numCache>
                <c:formatCode>0%</c:formatCode>
                <c:ptCount val="10"/>
                <c:pt idx="0">
                  <c:v>0.29743627103134557</c:v>
                </c:pt>
                <c:pt idx="1">
                  <c:v>0.22420701145984015</c:v>
                </c:pt>
                <c:pt idx="2">
                  <c:v>0.12273065476190476</c:v>
                </c:pt>
                <c:pt idx="3">
                  <c:v>0.53456790123456799</c:v>
                </c:pt>
                <c:pt idx="4">
                  <c:v>0.44374999999999998</c:v>
                </c:pt>
                <c:pt idx="5">
                  <c:v>0.38174603174603178</c:v>
                </c:pt>
                <c:pt idx="6">
                  <c:v>0.44444444444444442</c:v>
                </c:pt>
                <c:pt idx="7">
                  <c:v>0.47291666666666665</c:v>
                </c:pt>
                <c:pt idx="8">
                  <c:v>0.2</c:v>
                </c:pt>
                <c:pt idx="9">
                  <c:v>0.15</c:v>
                </c:pt>
              </c:numCache>
            </c:numRef>
          </c:val>
          <c:extLst>
            <c:ext xmlns:c16="http://schemas.microsoft.com/office/drawing/2014/chart" uri="{C3380CC4-5D6E-409C-BE32-E72D297353CC}">
              <c16:uniqueId val="{00000012-4E25-43B7-8019-961E2072FBE3}"/>
            </c:ext>
          </c:extLst>
        </c:ser>
        <c:ser>
          <c:idx val="1"/>
          <c:order val="1"/>
          <c:tx>
            <c:strRef>
              <c:f>CUMPLIMIENTO_EJE6!$G$9</c:f>
              <c:strCache>
                <c:ptCount val="1"/>
                <c:pt idx="0">
                  <c:v>% CUMPLIMIENTO  AÑO 2021</c:v>
                </c:pt>
              </c:strCache>
            </c:strRef>
          </c:tx>
          <c:spPr>
            <a:solidFill>
              <a:srgbClr val="FFC000"/>
            </a:solidFill>
            <a:ln>
              <a:noFill/>
            </a:ln>
            <a:effectLst/>
          </c:spPr>
          <c:invertIfNegative val="0"/>
          <c:dPt>
            <c:idx val="6"/>
            <c:invertIfNegative val="0"/>
            <c:bubble3D val="0"/>
            <c:spPr>
              <a:solidFill>
                <a:srgbClr val="FFC000"/>
              </a:solidFill>
              <a:ln>
                <a:noFill/>
              </a:ln>
              <a:effectLst/>
            </c:spPr>
            <c:extLst>
              <c:ext xmlns:c16="http://schemas.microsoft.com/office/drawing/2014/chart" uri="{C3380CC4-5D6E-409C-BE32-E72D297353CC}">
                <c16:uniqueId val="{00000014-4E25-43B7-8019-961E2072FBE3}"/>
              </c:ext>
            </c:extLst>
          </c:dPt>
          <c:dLbls>
            <c:dLbl>
              <c:idx val="7"/>
              <c:layout>
                <c:manualLayout>
                  <c:x val="-2.4896854488275541E-2"/>
                  <c:y val="3.26518789078075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E25-43B7-8019-961E2072FBE3}"/>
                </c:ext>
              </c:extLst>
            </c:dLbl>
            <c:dLbl>
              <c:idx val="8"/>
              <c:layout>
                <c:manualLayout>
                  <c:x val="-2.6141697212689319E-2"/>
                  <c:y val="2.99308889988235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E25-43B7-8019-961E2072FBE3}"/>
                </c:ext>
              </c:extLst>
            </c:dLbl>
            <c:dLbl>
              <c:idx val="9"/>
              <c:layout>
                <c:manualLayout>
                  <c:x val="-2.6141697212689319E-2"/>
                  <c:y val="2.72098990898395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E25-43B7-8019-961E2072FBE3}"/>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CUMPLIMIENTO_EJE6!$C$43:$C$155</c:f>
              <c:strCache>
                <c:ptCount val="11"/>
                <c:pt idx="0">
                  <c:v>GRUPOS POBLACIONALES</c:v>
                </c:pt>
                <c:pt idx="1">
                  <c:v>CAPITULO ATENCIÓN A VÍCTIMAS, CONSTRUCCIÓN DE PAZ Y RECONCILIACIÓN </c:v>
                </c:pt>
                <c:pt idx="2">
                  <c:v>CAPITULO DE MINORÍAS ÉTNICAS.</c:v>
                </c:pt>
                <c:pt idx="3">
                  <c:v>CAPITULO NIÑOS Y NIÑAS EN SU PRIMERA INFANCIA, INFANCIA Y ADOLESCENCIA.</c:v>
                </c:pt>
                <c:pt idx="4">
                  <c:v>JUVENTUD</c:v>
                </c:pt>
                <c:pt idx="5">
                  <c:v>BOLÍVAR GARANTIZA DERECHOS Y CUBRE LAS NECESIDADES DE ENVEJECIMIENTO Y VEJEZ. </c:v>
                </c:pt>
                <c:pt idx="6">
                  <c:v>BOLÍVAR PRIMERO GARANTIZA LA EQUIDAD DE GÉNERO Y LA AUTONOMÍA DE LA MUJER BOLIVARENSE.</c:v>
                </c:pt>
                <c:pt idx="7">
                  <c:v>CAPITULO LGTBIQ</c:v>
                </c:pt>
                <c:pt idx="8">
                  <c:v>CAPITULO POBLACIÓN EN SITUACIÓN DE DISCAPACIDAD</c:v>
                </c:pt>
                <c:pt idx="9">
                  <c:v>ASUNTOS RELIGIOSOS</c:v>
                </c:pt>
                <c:pt idx="10">
                  <c:v>SISTEMA PENITENCIARIO</c:v>
                </c:pt>
              </c:strCache>
            </c:strRef>
          </c:cat>
          <c:val>
            <c:numRef>
              <c:f>CUMPLIMIENTO_EJE6!$G$43:$G$152</c:f>
              <c:numCache>
                <c:formatCode>0%</c:formatCode>
                <c:ptCount val="10"/>
                <c:pt idx="0">
                  <c:v>0.18931768927175735</c:v>
                </c:pt>
                <c:pt idx="1">
                  <c:v>0.27793974732750243</c:v>
                </c:pt>
                <c:pt idx="2">
                  <c:v>0.12968749999999998</c:v>
                </c:pt>
                <c:pt idx="3">
                  <c:v>0.25</c:v>
                </c:pt>
                <c:pt idx="4">
                  <c:v>0.35638297872340424</c:v>
                </c:pt>
                <c:pt idx="5">
                  <c:v>0</c:v>
                </c:pt>
                <c:pt idx="6">
                  <c:v>0.25</c:v>
                </c:pt>
                <c:pt idx="7">
                  <c:v>0.14583333333333331</c:v>
                </c:pt>
                <c:pt idx="8">
                  <c:v>0.31666666666666665</c:v>
                </c:pt>
                <c:pt idx="9">
                  <c:v>0.16666666666666666</c:v>
                </c:pt>
              </c:numCache>
            </c:numRef>
          </c:val>
          <c:extLst>
            <c:ext xmlns:c16="http://schemas.microsoft.com/office/drawing/2014/chart" uri="{C3380CC4-5D6E-409C-BE32-E72D297353CC}">
              <c16:uniqueId val="{00000018-4E25-43B7-8019-961E2072FBE3}"/>
            </c:ext>
          </c:extLst>
        </c:ser>
        <c:dLbls>
          <c:showLegendKey val="0"/>
          <c:showVal val="0"/>
          <c:showCatName val="0"/>
          <c:showSerName val="0"/>
          <c:showPercent val="0"/>
          <c:showBubbleSize val="0"/>
        </c:dLbls>
        <c:gapWidth val="239"/>
        <c:axId val="8005520"/>
        <c:axId val="12274432"/>
      </c:barChart>
      <c:catAx>
        <c:axId val="8005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12274432"/>
        <c:crosses val="autoZero"/>
        <c:auto val="1"/>
        <c:lblAlgn val="ctr"/>
        <c:lblOffset val="100"/>
        <c:noMultiLvlLbl val="0"/>
      </c:catAx>
      <c:valAx>
        <c:axId val="12274432"/>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80055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 CUMPLIMIENTO  AÑO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1"/>
          <c:order val="0"/>
          <c:tx>
            <c:strRef>
              <c:f>CUMPLIMIENTO_EJE6!$G$9</c:f>
              <c:strCache>
                <c:ptCount val="1"/>
                <c:pt idx="0">
                  <c:v>% CUMPLIMIENTO  AÑO 2021</c:v>
                </c:pt>
              </c:strCache>
            </c:strRef>
          </c:tx>
          <c:spPr>
            <a:solidFill>
              <a:srgbClr val="FF0000"/>
            </a:solidFill>
            <a:ln>
              <a:noFill/>
            </a:ln>
            <a:effectLst/>
          </c:spPr>
          <c:invertIfNegative val="0"/>
          <c:dPt>
            <c:idx val="4"/>
            <c:invertIfNegative val="0"/>
            <c:bubble3D val="0"/>
            <c:spPr>
              <a:solidFill>
                <a:srgbClr val="FFFF00"/>
              </a:solidFill>
              <a:ln>
                <a:noFill/>
              </a:ln>
              <a:effectLst/>
            </c:spPr>
            <c:extLst>
              <c:ext xmlns:c16="http://schemas.microsoft.com/office/drawing/2014/chart" uri="{C3380CC4-5D6E-409C-BE32-E72D297353CC}">
                <c16:uniqueId val="{00000005-5EB3-4B59-8B17-E3D0768743FA}"/>
              </c:ext>
            </c:extLst>
          </c:dPt>
          <c:dPt>
            <c:idx val="6"/>
            <c:invertIfNegative val="0"/>
            <c:bubble3D val="0"/>
            <c:spPr>
              <a:solidFill>
                <a:srgbClr val="FF0000"/>
              </a:solidFill>
              <a:ln>
                <a:noFill/>
              </a:ln>
              <a:effectLst/>
            </c:spPr>
            <c:extLst>
              <c:ext xmlns:c16="http://schemas.microsoft.com/office/drawing/2014/chart" uri="{C3380CC4-5D6E-409C-BE32-E72D297353CC}">
                <c16:uniqueId val="{00000014-B1A3-49C8-85A5-F5293C022CE7}"/>
              </c:ext>
            </c:extLst>
          </c:dPt>
          <c:dPt>
            <c:idx val="8"/>
            <c:invertIfNegative val="0"/>
            <c:bubble3D val="0"/>
            <c:spPr>
              <a:solidFill>
                <a:srgbClr val="FFFF00"/>
              </a:solidFill>
              <a:ln>
                <a:noFill/>
              </a:ln>
              <a:effectLst/>
            </c:spPr>
            <c:extLst>
              <c:ext xmlns:c16="http://schemas.microsoft.com/office/drawing/2014/chart" uri="{C3380CC4-5D6E-409C-BE32-E72D297353CC}">
                <c16:uniqueId val="{00000016-B1A3-49C8-85A5-F5293C022CE7}"/>
              </c:ext>
            </c:extLst>
          </c:dPt>
          <c:dPt>
            <c:idx val="9"/>
            <c:invertIfNegative val="0"/>
            <c:bubble3D val="0"/>
            <c:spPr>
              <a:solidFill>
                <a:srgbClr val="FF0000"/>
              </a:solidFill>
              <a:ln>
                <a:noFill/>
              </a:ln>
              <a:effectLst/>
            </c:spPr>
            <c:extLst>
              <c:ext xmlns:c16="http://schemas.microsoft.com/office/drawing/2014/chart" uri="{C3380CC4-5D6E-409C-BE32-E72D297353CC}">
                <c16:uniqueId val="{00000017-B1A3-49C8-85A5-F5293C022CE7}"/>
              </c:ext>
            </c:extLst>
          </c:dPt>
          <c:dLbls>
            <c:dLbl>
              <c:idx val="7"/>
              <c:layout>
                <c:manualLayout>
                  <c:x val="-2.4896854488275541E-2"/>
                  <c:y val="3.26518789078075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B1A3-49C8-85A5-F5293C022CE7}"/>
                </c:ext>
              </c:extLst>
            </c:dLbl>
            <c:dLbl>
              <c:idx val="8"/>
              <c:layout>
                <c:manualLayout>
                  <c:x val="-2.6141697212689319E-2"/>
                  <c:y val="2.99308889988235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B1A3-49C8-85A5-F5293C022CE7}"/>
                </c:ext>
              </c:extLst>
            </c:dLbl>
            <c:dLbl>
              <c:idx val="9"/>
              <c:layout>
                <c:manualLayout>
                  <c:x val="-2.6141697212689319E-2"/>
                  <c:y val="2.72098990898395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B1A3-49C8-85A5-F5293C022CE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CUMPLIMIENTO_EJE6!$C$43:$C$155</c:f>
              <c:strCache>
                <c:ptCount val="11"/>
                <c:pt idx="0">
                  <c:v>GRUPOS POBLACIONALES</c:v>
                </c:pt>
                <c:pt idx="1">
                  <c:v>CAPITULO ATENCIÓN A VÍCTIMAS, CONSTRUCCIÓN DE PAZ Y RECONCILIACIÓN </c:v>
                </c:pt>
                <c:pt idx="2">
                  <c:v>CAPITULO DE MINORÍAS ÉTNICAS.</c:v>
                </c:pt>
                <c:pt idx="3">
                  <c:v>CAPITULO NIÑOS Y NIÑAS EN SU PRIMERA INFANCIA, INFANCIA Y ADOLESCENCIA.</c:v>
                </c:pt>
                <c:pt idx="4">
                  <c:v>JUVENTUD</c:v>
                </c:pt>
                <c:pt idx="5">
                  <c:v>BOLÍVAR GARANTIZA DERECHOS Y CUBRE LAS NECESIDADES DE ENVEJECIMIENTO Y VEJEZ. </c:v>
                </c:pt>
                <c:pt idx="6">
                  <c:v>BOLÍVAR PRIMERO GARANTIZA LA EQUIDAD DE GÉNERO Y LA AUTONOMÍA DE LA MUJER BOLIVARENSE.</c:v>
                </c:pt>
                <c:pt idx="7">
                  <c:v>CAPITULO LGTBIQ</c:v>
                </c:pt>
                <c:pt idx="8">
                  <c:v>CAPITULO POBLACIÓN EN SITUACIÓN DE DISCAPACIDAD</c:v>
                </c:pt>
                <c:pt idx="9">
                  <c:v>ASUNTOS RELIGIOSOS</c:v>
                </c:pt>
                <c:pt idx="10">
                  <c:v>SISTEMA PENITENCIARIO</c:v>
                </c:pt>
              </c:strCache>
            </c:strRef>
          </c:cat>
          <c:val>
            <c:numRef>
              <c:f>CUMPLIMIENTO_EJE6!$G$43:$G$152</c:f>
              <c:numCache>
                <c:formatCode>0%</c:formatCode>
                <c:ptCount val="10"/>
                <c:pt idx="0">
                  <c:v>0.18931768927175735</c:v>
                </c:pt>
                <c:pt idx="1">
                  <c:v>0.27793974732750243</c:v>
                </c:pt>
                <c:pt idx="2">
                  <c:v>0.12968749999999998</c:v>
                </c:pt>
                <c:pt idx="3">
                  <c:v>0.25</c:v>
                </c:pt>
                <c:pt idx="4">
                  <c:v>0.35638297872340424</c:v>
                </c:pt>
                <c:pt idx="5">
                  <c:v>0</c:v>
                </c:pt>
                <c:pt idx="6">
                  <c:v>0.25</c:v>
                </c:pt>
                <c:pt idx="7">
                  <c:v>0.14583333333333331</c:v>
                </c:pt>
                <c:pt idx="8">
                  <c:v>0.31666666666666665</c:v>
                </c:pt>
                <c:pt idx="9">
                  <c:v>0.16666666666666666</c:v>
                </c:pt>
              </c:numCache>
            </c:numRef>
          </c:val>
          <c:extLst>
            <c:ext xmlns:c16="http://schemas.microsoft.com/office/drawing/2014/chart" uri="{C3380CC4-5D6E-409C-BE32-E72D297353CC}">
              <c16:uniqueId val="{00000018-B1A3-49C8-85A5-F5293C022CE7}"/>
            </c:ext>
          </c:extLst>
        </c:ser>
        <c:dLbls>
          <c:showLegendKey val="0"/>
          <c:showVal val="0"/>
          <c:showCatName val="0"/>
          <c:showSerName val="0"/>
          <c:showPercent val="0"/>
          <c:showBubbleSize val="0"/>
        </c:dLbls>
        <c:gapWidth val="182"/>
        <c:axId val="8005520"/>
        <c:axId val="12274432"/>
      </c:barChart>
      <c:catAx>
        <c:axId val="80055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274432"/>
        <c:crosses val="autoZero"/>
        <c:auto val="1"/>
        <c:lblAlgn val="ctr"/>
        <c:lblOffset val="100"/>
        <c:noMultiLvlLbl val="0"/>
      </c:catAx>
      <c:valAx>
        <c:axId val="12274432"/>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0055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CUMPLIMIENTO_TOTAL!$F$9</c:f>
              <c:strCache>
                <c:ptCount val="1"/>
                <c:pt idx="0">
                  <c:v>% CUMPLIMIENTO CUATRENIO</c:v>
                </c:pt>
              </c:strCache>
            </c:strRef>
          </c:tx>
          <c:spPr>
            <a:solidFill>
              <a:srgbClr val="00B050"/>
            </a:solidFill>
            <a:ln>
              <a:solidFill>
                <a:schemeClr val="tx1"/>
              </a:solidFill>
            </a:ln>
            <a:effectLst/>
          </c:spPr>
          <c:invertIfNegative val="0"/>
          <c:dPt>
            <c:idx val="0"/>
            <c:invertIfNegative val="0"/>
            <c:bubble3D val="0"/>
            <c:spPr>
              <a:solidFill>
                <a:srgbClr val="00B050"/>
              </a:solidFill>
              <a:ln>
                <a:solidFill>
                  <a:schemeClr val="tx1"/>
                </a:solidFill>
              </a:ln>
              <a:effectLst/>
            </c:spPr>
            <c:extLst>
              <c:ext xmlns:c16="http://schemas.microsoft.com/office/drawing/2014/chart" uri="{C3380CC4-5D6E-409C-BE32-E72D297353CC}">
                <c16:uniqueId val="{00000001-3AA5-48C3-889F-1983B21E3B76}"/>
              </c:ext>
            </c:extLst>
          </c:dPt>
          <c:dPt>
            <c:idx val="1"/>
            <c:invertIfNegative val="0"/>
            <c:bubble3D val="0"/>
            <c:spPr>
              <a:solidFill>
                <a:srgbClr val="00B050"/>
              </a:solidFill>
              <a:ln>
                <a:solidFill>
                  <a:schemeClr val="tx1"/>
                </a:solidFill>
              </a:ln>
              <a:effectLst/>
            </c:spPr>
            <c:extLst>
              <c:ext xmlns:c16="http://schemas.microsoft.com/office/drawing/2014/chart" uri="{C3380CC4-5D6E-409C-BE32-E72D297353CC}">
                <c16:uniqueId val="{00000003-3AA5-48C3-889F-1983B21E3B76}"/>
              </c:ext>
            </c:extLst>
          </c:dPt>
          <c:dPt>
            <c:idx val="2"/>
            <c:invertIfNegative val="0"/>
            <c:bubble3D val="0"/>
            <c:spPr>
              <a:solidFill>
                <a:srgbClr val="00B050"/>
              </a:solidFill>
              <a:ln>
                <a:solidFill>
                  <a:schemeClr val="tx1"/>
                </a:solidFill>
              </a:ln>
              <a:effectLst/>
            </c:spPr>
            <c:extLst>
              <c:ext xmlns:c16="http://schemas.microsoft.com/office/drawing/2014/chart" uri="{C3380CC4-5D6E-409C-BE32-E72D297353CC}">
                <c16:uniqueId val="{00000005-3AA5-48C3-889F-1983B21E3B76}"/>
              </c:ext>
            </c:extLst>
          </c:dPt>
          <c:dPt>
            <c:idx val="3"/>
            <c:invertIfNegative val="0"/>
            <c:bubble3D val="0"/>
            <c:spPr>
              <a:solidFill>
                <a:srgbClr val="00B050"/>
              </a:solidFill>
              <a:ln>
                <a:solidFill>
                  <a:schemeClr val="tx1"/>
                </a:solidFill>
              </a:ln>
              <a:effectLst/>
            </c:spPr>
            <c:extLst>
              <c:ext xmlns:c16="http://schemas.microsoft.com/office/drawing/2014/chart" uri="{C3380CC4-5D6E-409C-BE32-E72D297353CC}">
                <c16:uniqueId val="{00000007-3AA5-48C3-889F-1983B21E3B76}"/>
              </c:ext>
            </c:extLst>
          </c:dPt>
          <c:dPt>
            <c:idx val="4"/>
            <c:invertIfNegative val="0"/>
            <c:bubble3D val="0"/>
            <c:spPr>
              <a:solidFill>
                <a:srgbClr val="00B050"/>
              </a:solidFill>
              <a:ln>
                <a:solidFill>
                  <a:schemeClr val="tx1"/>
                </a:solidFill>
              </a:ln>
              <a:effectLst/>
            </c:spPr>
            <c:extLst>
              <c:ext xmlns:c16="http://schemas.microsoft.com/office/drawing/2014/chart" uri="{C3380CC4-5D6E-409C-BE32-E72D297353CC}">
                <c16:uniqueId val="{00000009-3AA5-48C3-889F-1983B21E3B76}"/>
              </c:ext>
            </c:extLst>
          </c:dPt>
          <c:dPt>
            <c:idx val="5"/>
            <c:invertIfNegative val="0"/>
            <c:bubble3D val="0"/>
            <c:spPr>
              <a:solidFill>
                <a:srgbClr val="00B050"/>
              </a:solidFill>
              <a:ln>
                <a:solidFill>
                  <a:schemeClr val="tx1"/>
                </a:solidFill>
              </a:ln>
              <a:effectLst/>
            </c:spPr>
            <c:extLst>
              <c:ext xmlns:c16="http://schemas.microsoft.com/office/drawing/2014/chart" uri="{C3380CC4-5D6E-409C-BE32-E72D297353CC}">
                <c16:uniqueId val="{0000000B-3AA5-48C3-889F-1983B21E3B76}"/>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CUMPLIMIENTO_TOTAL!$C$11:$C$122</c:f>
              <c:strCache>
                <c:ptCount val="6"/>
                <c:pt idx="0">
                  <c:v>BOLIVAR PROGRESA, SUPERACIÓN DE LA POBREZA</c:v>
                </c:pt>
                <c:pt idx="1">
                  <c:v>BOLÍVAR COMPETITIVO PARA LA INCLUSIÓN SOCIAL</c:v>
                </c:pt>
                <c:pt idx="2">
                  <c:v>GESTIÓN AMBIENTAL Y ORDENAMIENTO TERRITORIAL
</c:v>
                </c:pt>
                <c:pt idx="3">
                  <c:v>BOLÍVAR PRIMERO EN FORTALECIMIENTO INSTITUCIONAL Y SEGURIDAD EFECTIVA PARA TODOS</c:v>
                </c:pt>
                <c:pt idx="4">
                  <c:v>BOLÍVAR PRIMERO EN RURALIDAD</c:v>
                </c:pt>
                <c:pt idx="5">
                  <c:v>GRUPOS POBLACIONALES</c:v>
                </c:pt>
              </c:strCache>
            </c:strRef>
          </c:cat>
          <c:val>
            <c:numRef>
              <c:f>CUMPLIMIENTO_TOTAL!$F$11:$F$122</c:f>
              <c:numCache>
                <c:formatCode>0%</c:formatCode>
                <c:ptCount val="6"/>
                <c:pt idx="0">
                  <c:v>0.28346507642507995</c:v>
                </c:pt>
                <c:pt idx="1">
                  <c:v>0.24329478481946754</c:v>
                </c:pt>
                <c:pt idx="2">
                  <c:v>0.22340166188027338</c:v>
                </c:pt>
                <c:pt idx="3">
                  <c:v>0.21518996587883446</c:v>
                </c:pt>
                <c:pt idx="4">
                  <c:v>0.31751547831253712</c:v>
                </c:pt>
                <c:pt idx="5">
                  <c:v>0.29743627103134557</c:v>
                </c:pt>
              </c:numCache>
            </c:numRef>
          </c:val>
          <c:extLst>
            <c:ext xmlns:c16="http://schemas.microsoft.com/office/drawing/2014/chart" uri="{C3380CC4-5D6E-409C-BE32-E72D297353CC}">
              <c16:uniqueId val="{0000000C-3AA5-48C3-889F-1983B21E3B76}"/>
            </c:ext>
          </c:extLst>
        </c:ser>
        <c:ser>
          <c:idx val="1"/>
          <c:order val="1"/>
          <c:tx>
            <c:strRef>
              <c:f>CUMPLIMIENTO_TOTAL!$G$9</c:f>
              <c:strCache>
                <c:ptCount val="1"/>
                <c:pt idx="0">
                  <c:v>% CUMPLIMIENTO  AÑO 2021</c:v>
                </c:pt>
              </c:strCache>
            </c:strRef>
          </c:tx>
          <c:spPr>
            <a:solidFill>
              <a:srgbClr val="FF0000"/>
            </a:solidFill>
            <a:ln>
              <a:solidFill>
                <a:schemeClr val="tx1"/>
              </a:solidFill>
            </a:ln>
            <a:effectLst/>
          </c:spPr>
          <c:invertIfNegative val="0"/>
          <c:dPt>
            <c:idx val="0"/>
            <c:invertIfNegative val="0"/>
            <c:bubble3D val="0"/>
            <c:spPr>
              <a:solidFill>
                <a:srgbClr val="FF0000"/>
              </a:solidFill>
              <a:ln>
                <a:solidFill>
                  <a:schemeClr val="tx1"/>
                </a:solidFill>
              </a:ln>
              <a:effectLst/>
            </c:spPr>
            <c:extLst>
              <c:ext xmlns:c16="http://schemas.microsoft.com/office/drawing/2014/chart" uri="{C3380CC4-5D6E-409C-BE32-E72D297353CC}">
                <c16:uniqueId val="{0000000E-3AA5-48C3-889F-1983B21E3B76}"/>
              </c:ext>
            </c:extLst>
          </c:dPt>
          <c:dPt>
            <c:idx val="1"/>
            <c:invertIfNegative val="0"/>
            <c:bubble3D val="0"/>
            <c:spPr>
              <a:solidFill>
                <a:srgbClr val="FF0000"/>
              </a:solidFill>
              <a:ln>
                <a:solidFill>
                  <a:schemeClr val="tx1"/>
                </a:solidFill>
              </a:ln>
              <a:effectLst/>
            </c:spPr>
            <c:extLst>
              <c:ext xmlns:c16="http://schemas.microsoft.com/office/drawing/2014/chart" uri="{C3380CC4-5D6E-409C-BE32-E72D297353CC}">
                <c16:uniqueId val="{00000010-3AA5-48C3-889F-1983B21E3B76}"/>
              </c:ext>
            </c:extLst>
          </c:dPt>
          <c:dPt>
            <c:idx val="2"/>
            <c:invertIfNegative val="0"/>
            <c:bubble3D val="0"/>
            <c:spPr>
              <a:solidFill>
                <a:srgbClr val="FF0000"/>
              </a:solidFill>
              <a:ln>
                <a:solidFill>
                  <a:schemeClr val="tx1"/>
                </a:solidFill>
              </a:ln>
              <a:effectLst/>
            </c:spPr>
            <c:extLst>
              <c:ext xmlns:c16="http://schemas.microsoft.com/office/drawing/2014/chart" uri="{C3380CC4-5D6E-409C-BE32-E72D297353CC}">
                <c16:uniqueId val="{00000012-3AA5-48C3-889F-1983B21E3B76}"/>
              </c:ext>
            </c:extLst>
          </c:dPt>
          <c:dPt>
            <c:idx val="3"/>
            <c:invertIfNegative val="0"/>
            <c:bubble3D val="0"/>
            <c:spPr>
              <a:solidFill>
                <a:srgbClr val="FF0000"/>
              </a:solidFill>
              <a:ln>
                <a:solidFill>
                  <a:schemeClr val="tx1"/>
                </a:solidFill>
              </a:ln>
              <a:effectLst/>
            </c:spPr>
            <c:extLst>
              <c:ext xmlns:c16="http://schemas.microsoft.com/office/drawing/2014/chart" uri="{C3380CC4-5D6E-409C-BE32-E72D297353CC}">
                <c16:uniqueId val="{00000014-3AA5-48C3-889F-1983B21E3B76}"/>
              </c:ext>
            </c:extLst>
          </c:dPt>
          <c:dPt>
            <c:idx val="4"/>
            <c:invertIfNegative val="0"/>
            <c:bubble3D val="0"/>
            <c:spPr>
              <a:solidFill>
                <a:srgbClr val="FF0000"/>
              </a:solidFill>
              <a:ln>
                <a:solidFill>
                  <a:schemeClr val="tx1"/>
                </a:solidFill>
              </a:ln>
              <a:effectLst/>
            </c:spPr>
            <c:extLst>
              <c:ext xmlns:c16="http://schemas.microsoft.com/office/drawing/2014/chart" uri="{C3380CC4-5D6E-409C-BE32-E72D297353CC}">
                <c16:uniqueId val="{00000016-3AA5-48C3-889F-1983B21E3B76}"/>
              </c:ext>
            </c:extLst>
          </c:dPt>
          <c:dPt>
            <c:idx val="5"/>
            <c:invertIfNegative val="0"/>
            <c:bubble3D val="0"/>
            <c:spPr>
              <a:solidFill>
                <a:srgbClr val="FF0000"/>
              </a:solidFill>
              <a:ln>
                <a:solidFill>
                  <a:schemeClr val="tx1"/>
                </a:solidFill>
              </a:ln>
              <a:effectLst/>
            </c:spPr>
            <c:extLst>
              <c:ext xmlns:c16="http://schemas.microsoft.com/office/drawing/2014/chart" uri="{C3380CC4-5D6E-409C-BE32-E72D297353CC}">
                <c16:uniqueId val="{00000018-3AA5-48C3-889F-1983B21E3B76}"/>
              </c:ext>
            </c:extLst>
          </c:dPt>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CUMPLIMIENTO_TOTAL!$C$11:$C$122</c:f>
              <c:strCache>
                <c:ptCount val="6"/>
                <c:pt idx="0">
                  <c:v>BOLIVAR PROGRESA, SUPERACIÓN DE LA POBREZA</c:v>
                </c:pt>
                <c:pt idx="1">
                  <c:v>BOLÍVAR COMPETITIVO PARA LA INCLUSIÓN SOCIAL</c:v>
                </c:pt>
                <c:pt idx="2">
                  <c:v>GESTIÓN AMBIENTAL Y ORDENAMIENTO TERRITORIAL
</c:v>
                </c:pt>
                <c:pt idx="3">
                  <c:v>BOLÍVAR PRIMERO EN FORTALECIMIENTO INSTITUCIONAL Y SEGURIDAD EFECTIVA PARA TODOS</c:v>
                </c:pt>
                <c:pt idx="4">
                  <c:v>BOLÍVAR PRIMERO EN RURALIDAD</c:v>
                </c:pt>
                <c:pt idx="5">
                  <c:v>GRUPOS POBLACIONALES</c:v>
                </c:pt>
              </c:strCache>
            </c:strRef>
          </c:cat>
          <c:val>
            <c:numRef>
              <c:f>CUMPLIMIENTO_TOTAL!$G$11:$G$122</c:f>
              <c:numCache>
                <c:formatCode>0%</c:formatCode>
                <c:ptCount val="6"/>
                <c:pt idx="0">
                  <c:v>0.33973499765782816</c:v>
                </c:pt>
                <c:pt idx="1">
                  <c:v>0.32985855013965804</c:v>
                </c:pt>
                <c:pt idx="2">
                  <c:v>0.28496980676328504</c:v>
                </c:pt>
                <c:pt idx="3">
                  <c:v>0.20474983465608465</c:v>
                </c:pt>
                <c:pt idx="4">
                  <c:v>0.37496305418719206</c:v>
                </c:pt>
                <c:pt idx="5">
                  <c:v>0.18931768927175735</c:v>
                </c:pt>
              </c:numCache>
            </c:numRef>
          </c:val>
          <c:extLst>
            <c:ext xmlns:c16="http://schemas.microsoft.com/office/drawing/2014/chart" uri="{C3380CC4-5D6E-409C-BE32-E72D297353CC}">
              <c16:uniqueId val="{00000019-3AA5-48C3-889F-1983B21E3B76}"/>
            </c:ext>
          </c:extLst>
        </c:ser>
        <c:dLbls>
          <c:showLegendKey val="0"/>
          <c:showVal val="0"/>
          <c:showCatName val="0"/>
          <c:showSerName val="0"/>
          <c:showPercent val="0"/>
          <c:showBubbleSize val="0"/>
        </c:dLbls>
        <c:gapWidth val="182"/>
        <c:axId val="8005520"/>
        <c:axId val="12274432"/>
      </c:barChart>
      <c:catAx>
        <c:axId val="80055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12274432"/>
        <c:crosses val="autoZero"/>
        <c:auto val="1"/>
        <c:lblAlgn val="ctr"/>
        <c:lblOffset val="100"/>
        <c:noMultiLvlLbl val="0"/>
      </c:catAx>
      <c:valAx>
        <c:axId val="12274432"/>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80055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CUMPLIMIENTO_TOTAL!$C$182:$C$187</c:f>
              <c:strCache>
                <c:ptCount val="6"/>
                <c:pt idx="0">
                  <c:v>6 GRUPOS POBLACIONALES</c:v>
                </c:pt>
                <c:pt idx="1">
                  <c:v>5 BOLÍVAR PRIMERO EN RURALIDAD</c:v>
                </c:pt>
                <c:pt idx="2">
                  <c:v>4 BOLÍVAR PRIMERO EN FORTALECIMIENTO INSTITUCIONAL Y SEGURIDAD EFECTIVA PARA TODOS</c:v>
                </c:pt>
                <c:pt idx="3">
                  <c:v>3 GESTIÓN AMBIENTAL Y ORDENAMIENTO TERRITORIAL</c:v>
                </c:pt>
                <c:pt idx="4">
                  <c:v>2 BOLÍVAR COMPETITIVO PARA LA INCLUSIÓN SOCIAL</c:v>
                </c:pt>
                <c:pt idx="5">
                  <c:v>1 BOLIVAR PROGRESA, SUPERACIÓN DE LA POBREZA</c:v>
                </c:pt>
              </c:strCache>
            </c:strRef>
          </c:cat>
          <c:val>
            <c:numRef>
              <c:f>CUMPLIMIENTO_TOTAL!$D$182:$D$187</c:f>
              <c:numCache>
                <c:formatCode>0%</c:formatCode>
                <c:ptCount val="6"/>
                <c:pt idx="0">
                  <c:v>0.29743627103134557</c:v>
                </c:pt>
                <c:pt idx="1">
                  <c:v>0.31751547831253712</c:v>
                </c:pt>
                <c:pt idx="2">
                  <c:v>0.21518996587883446</c:v>
                </c:pt>
                <c:pt idx="3">
                  <c:v>0.22340166188027338</c:v>
                </c:pt>
                <c:pt idx="4">
                  <c:v>0.24329478481946754</c:v>
                </c:pt>
                <c:pt idx="5">
                  <c:v>0.28346507642507995</c:v>
                </c:pt>
              </c:numCache>
            </c:numRef>
          </c:val>
          <c:extLst>
            <c:ext xmlns:c16="http://schemas.microsoft.com/office/drawing/2014/chart" uri="{C3380CC4-5D6E-409C-BE32-E72D297353CC}">
              <c16:uniqueId val="{00000000-9315-4B22-9294-5DEE7705F3C5}"/>
            </c:ext>
          </c:extLst>
        </c:ser>
        <c:dLbls>
          <c:showLegendKey val="0"/>
          <c:showVal val="0"/>
          <c:showCatName val="0"/>
          <c:showSerName val="0"/>
          <c:showPercent val="0"/>
          <c:showBubbleSize val="0"/>
        </c:dLbls>
        <c:gapWidth val="182"/>
        <c:axId val="196962720"/>
        <c:axId val="196965632"/>
      </c:barChart>
      <c:catAx>
        <c:axId val="1969627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6965632"/>
        <c:crosses val="autoZero"/>
        <c:auto val="1"/>
        <c:lblAlgn val="ctr"/>
        <c:lblOffset val="100"/>
        <c:noMultiLvlLbl val="0"/>
      </c:catAx>
      <c:valAx>
        <c:axId val="19696563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69627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CUMPLIMIENTO_TOTAL!$C$182:$C$187</c:f>
              <c:strCache>
                <c:ptCount val="6"/>
                <c:pt idx="0">
                  <c:v>6 GRUPOS POBLACIONALES</c:v>
                </c:pt>
                <c:pt idx="1">
                  <c:v>5 BOLÍVAR PRIMERO EN RURALIDAD</c:v>
                </c:pt>
                <c:pt idx="2">
                  <c:v>4 BOLÍVAR PRIMERO EN FORTALECIMIENTO INSTITUCIONAL Y SEGURIDAD EFECTIVA PARA TODOS</c:v>
                </c:pt>
                <c:pt idx="3">
                  <c:v>3 GESTIÓN AMBIENTAL Y ORDENAMIENTO TERRITORIAL</c:v>
                </c:pt>
                <c:pt idx="4">
                  <c:v>2 BOLÍVAR COMPETITIVO PARA LA INCLUSIÓN SOCIAL</c:v>
                </c:pt>
                <c:pt idx="5">
                  <c:v>1 BOLIVAR PROGRESA, SUPERACIÓN DE LA POBREZA</c:v>
                </c:pt>
              </c:strCache>
            </c:strRef>
          </c:cat>
          <c:val>
            <c:numRef>
              <c:f>CUMPLIMIENTO_TOTAL!$E$182:$E$187</c:f>
              <c:numCache>
                <c:formatCode>0%</c:formatCode>
                <c:ptCount val="6"/>
                <c:pt idx="0">
                  <c:v>0.18931768927175735</c:v>
                </c:pt>
                <c:pt idx="1">
                  <c:v>0.37496305418719206</c:v>
                </c:pt>
                <c:pt idx="2">
                  <c:v>0.20474983465608465</c:v>
                </c:pt>
                <c:pt idx="3">
                  <c:v>0.28496980676328504</c:v>
                </c:pt>
                <c:pt idx="4">
                  <c:v>0.32985855013965804</c:v>
                </c:pt>
                <c:pt idx="5">
                  <c:v>0.33973499765782816</c:v>
                </c:pt>
              </c:numCache>
            </c:numRef>
          </c:val>
          <c:extLst>
            <c:ext xmlns:c16="http://schemas.microsoft.com/office/drawing/2014/chart" uri="{C3380CC4-5D6E-409C-BE32-E72D297353CC}">
              <c16:uniqueId val="{00000000-9315-4B22-9294-5DEE7705F3C5}"/>
            </c:ext>
          </c:extLst>
        </c:ser>
        <c:dLbls>
          <c:showLegendKey val="0"/>
          <c:showVal val="0"/>
          <c:showCatName val="0"/>
          <c:showSerName val="0"/>
          <c:showPercent val="0"/>
          <c:showBubbleSize val="0"/>
        </c:dLbls>
        <c:gapWidth val="182"/>
        <c:axId val="196962720"/>
        <c:axId val="196965632"/>
      </c:barChart>
      <c:catAx>
        <c:axId val="1969627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6965632"/>
        <c:crosses val="autoZero"/>
        <c:auto val="1"/>
        <c:lblAlgn val="ctr"/>
        <c:lblOffset val="100"/>
        <c:noMultiLvlLbl val="0"/>
      </c:catAx>
      <c:valAx>
        <c:axId val="19696563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69627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CUMPLIMIENTO_EJE1!$F$9</c:f>
              <c:strCache>
                <c:ptCount val="1"/>
                <c:pt idx="0">
                  <c:v>% CUMPLIMIENTO CUATRENIO</c:v>
                </c:pt>
              </c:strCache>
            </c:strRef>
          </c:tx>
          <c:spPr>
            <a:solidFill>
              <a:srgbClr val="00B050"/>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E-789E-4310-8445-8E011723716F}"/>
              </c:ext>
            </c:extLst>
          </c:dPt>
          <c:dPt>
            <c:idx val="1"/>
            <c:invertIfNegative val="0"/>
            <c:bubble3D val="0"/>
            <c:spPr>
              <a:solidFill>
                <a:srgbClr val="FFFF00"/>
              </a:solidFill>
              <a:ln>
                <a:noFill/>
              </a:ln>
              <a:effectLst/>
            </c:spPr>
            <c:extLst>
              <c:ext xmlns:c16="http://schemas.microsoft.com/office/drawing/2014/chart" uri="{C3380CC4-5D6E-409C-BE32-E72D297353CC}">
                <c16:uniqueId val="{0000000D-789E-4310-8445-8E011723716F}"/>
              </c:ext>
            </c:extLst>
          </c:dPt>
          <c:dPt>
            <c:idx val="2"/>
            <c:invertIfNegative val="0"/>
            <c:bubble3D val="0"/>
            <c:spPr>
              <a:solidFill>
                <a:srgbClr val="00B050"/>
              </a:solidFill>
              <a:ln>
                <a:noFill/>
              </a:ln>
              <a:effectLst/>
            </c:spPr>
            <c:extLst>
              <c:ext xmlns:c16="http://schemas.microsoft.com/office/drawing/2014/chart" uri="{C3380CC4-5D6E-409C-BE32-E72D297353CC}">
                <c16:uniqueId val="{0000000C-789E-4310-8445-8E011723716F}"/>
              </c:ext>
            </c:extLst>
          </c:dPt>
          <c:dPt>
            <c:idx val="3"/>
            <c:invertIfNegative val="0"/>
            <c:bubble3D val="0"/>
            <c:spPr>
              <a:solidFill>
                <a:srgbClr val="00B050"/>
              </a:solidFill>
              <a:ln>
                <a:noFill/>
              </a:ln>
              <a:effectLst/>
            </c:spPr>
            <c:extLst>
              <c:ext xmlns:c16="http://schemas.microsoft.com/office/drawing/2014/chart" uri="{C3380CC4-5D6E-409C-BE32-E72D297353CC}">
                <c16:uniqueId val="{0000000B-789E-4310-8445-8E011723716F}"/>
              </c:ext>
            </c:extLst>
          </c:dPt>
          <c:dPt>
            <c:idx val="4"/>
            <c:invertIfNegative val="0"/>
            <c:bubble3D val="0"/>
            <c:spPr>
              <a:solidFill>
                <a:srgbClr val="FFFF00"/>
              </a:solidFill>
              <a:ln>
                <a:noFill/>
              </a:ln>
              <a:effectLst/>
            </c:spPr>
            <c:extLst>
              <c:ext xmlns:c16="http://schemas.microsoft.com/office/drawing/2014/chart" uri="{C3380CC4-5D6E-409C-BE32-E72D297353CC}">
                <c16:uniqueId val="{0000000A-789E-4310-8445-8E011723716F}"/>
              </c:ext>
            </c:extLst>
          </c:dPt>
          <c:dPt>
            <c:idx val="5"/>
            <c:invertIfNegative val="0"/>
            <c:bubble3D val="0"/>
            <c:spPr>
              <a:solidFill>
                <a:srgbClr val="00B050"/>
              </a:solidFill>
              <a:ln>
                <a:noFill/>
              </a:ln>
              <a:effectLst/>
            </c:spPr>
            <c:extLst>
              <c:ext xmlns:c16="http://schemas.microsoft.com/office/drawing/2014/chart" uri="{C3380CC4-5D6E-409C-BE32-E72D297353CC}">
                <c16:uniqueId val="{00000009-789E-4310-8445-8E011723716F}"/>
              </c:ext>
            </c:extLst>
          </c:dPt>
          <c:dPt>
            <c:idx val="6"/>
            <c:invertIfNegative val="0"/>
            <c:bubble3D val="0"/>
            <c:spPr>
              <a:solidFill>
                <a:srgbClr val="00B050"/>
              </a:solidFill>
              <a:ln>
                <a:noFill/>
              </a:ln>
              <a:effectLst/>
            </c:spPr>
            <c:extLst>
              <c:ext xmlns:c16="http://schemas.microsoft.com/office/drawing/2014/chart" uri="{C3380CC4-5D6E-409C-BE32-E72D297353CC}">
                <c16:uniqueId val="{00000008-789E-4310-8445-8E011723716F}"/>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CUMPLIMIENTO_EJE1!$C$11:$C$122</c:f>
              <c:strCache>
                <c:ptCount val="7"/>
                <c:pt idx="0">
                  <c:v>BOLIVAR PROGRESA, SUPERACIÓN DE LA POBREZA</c:v>
                </c:pt>
                <c:pt idx="1">
                  <c:v>PLAN DEPARTAMENTAL DE EMERGENCIA SOCIAL PARA LA IGUALDAD Y LA INCLUSIÓN</c:v>
                </c:pt>
                <c:pt idx="2">
                  <c:v>BOLÍVAR PRIMERO EDUCA</c:v>
                </c:pt>
                <c:pt idx="3">
                  <c:v>BOLIVAR PRIMERO EN SALUD</c:v>
                </c:pt>
                <c:pt idx="4">
                  <c:v>HÁBITAT</c:v>
                </c:pt>
                <c:pt idx="5">
                  <c:v>BOLÍVAR PRIMERO EN RECREACIÓN Y DEPORTES</c:v>
                </c:pt>
                <c:pt idx="6">
                  <c:v>BOLÍVAR PROMUEVE EL ARTE, LA CULTURA Y SALVAGUARDA SU PATRIMONIO</c:v>
                </c:pt>
              </c:strCache>
            </c:strRef>
          </c:cat>
          <c:val>
            <c:numRef>
              <c:f>CUMPLIMIENTO_EJE1!$F$11:$F$122</c:f>
              <c:numCache>
                <c:formatCode>0%</c:formatCode>
                <c:ptCount val="7"/>
                <c:pt idx="0">
                  <c:v>0.28346507642507995</c:v>
                </c:pt>
                <c:pt idx="1">
                  <c:v>0.10410714285714286</c:v>
                </c:pt>
                <c:pt idx="2">
                  <c:v>0.380217289810165</c:v>
                </c:pt>
                <c:pt idx="3">
                  <c:v>0.28725768020702352</c:v>
                </c:pt>
                <c:pt idx="4">
                  <c:v>0.19584814814814816</c:v>
                </c:pt>
                <c:pt idx="5">
                  <c:v>0.36201956749579395</c:v>
                </c:pt>
                <c:pt idx="6">
                  <c:v>0.37134063003220613</c:v>
                </c:pt>
              </c:numCache>
            </c:numRef>
          </c:val>
          <c:extLst>
            <c:ext xmlns:c16="http://schemas.microsoft.com/office/drawing/2014/chart" uri="{C3380CC4-5D6E-409C-BE32-E72D297353CC}">
              <c16:uniqueId val="{00000000-9439-4CF5-9DD8-818DC7D8F458}"/>
            </c:ext>
          </c:extLst>
        </c:ser>
        <c:dLbls>
          <c:showLegendKey val="0"/>
          <c:showVal val="0"/>
          <c:showCatName val="0"/>
          <c:showSerName val="0"/>
          <c:showPercent val="0"/>
          <c:showBubbleSize val="0"/>
        </c:dLbls>
        <c:gapWidth val="182"/>
        <c:axId val="8005520"/>
        <c:axId val="12274432"/>
      </c:barChart>
      <c:catAx>
        <c:axId val="80055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12274432"/>
        <c:crosses val="autoZero"/>
        <c:auto val="1"/>
        <c:lblAlgn val="ctr"/>
        <c:lblOffset val="100"/>
        <c:noMultiLvlLbl val="0"/>
      </c:catAx>
      <c:valAx>
        <c:axId val="12274432"/>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80055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 CIMPLIMIENTO  AÑO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1"/>
          <c:order val="0"/>
          <c:tx>
            <c:strRef>
              <c:f>CUMPLIMIENTO_EJE1!$G$9</c:f>
              <c:strCache>
                <c:ptCount val="1"/>
                <c:pt idx="0">
                  <c:v>% CUMPLIMIENTO  AÑO 2021</c:v>
                </c:pt>
              </c:strCache>
            </c:strRef>
          </c:tx>
          <c:spPr>
            <a:solidFill>
              <a:srgbClr val="00B050"/>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10-7123-4777-BED3-983DDCF3A153}"/>
              </c:ext>
            </c:extLst>
          </c:dPt>
          <c:dPt>
            <c:idx val="1"/>
            <c:invertIfNegative val="0"/>
            <c:bubble3D val="0"/>
            <c:spPr>
              <a:solidFill>
                <a:srgbClr val="FFFF00"/>
              </a:solidFill>
              <a:ln>
                <a:noFill/>
              </a:ln>
              <a:effectLst/>
            </c:spPr>
            <c:extLst>
              <c:ext xmlns:c16="http://schemas.microsoft.com/office/drawing/2014/chart" uri="{C3380CC4-5D6E-409C-BE32-E72D297353CC}">
                <c16:uniqueId val="{00000012-7123-4777-BED3-983DDCF3A153}"/>
              </c:ext>
            </c:extLst>
          </c:dPt>
          <c:dPt>
            <c:idx val="2"/>
            <c:invertIfNegative val="0"/>
            <c:bubble3D val="0"/>
            <c:spPr>
              <a:solidFill>
                <a:srgbClr val="FFFF00"/>
              </a:solidFill>
              <a:ln>
                <a:noFill/>
              </a:ln>
              <a:effectLst/>
            </c:spPr>
            <c:extLst>
              <c:ext xmlns:c16="http://schemas.microsoft.com/office/drawing/2014/chart" uri="{C3380CC4-5D6E-409C-BE32-E72D297353CC}">
                <c16:uniqueId val="{00000014-7123-4777-BED3-983DDCF3A153}"/>
              </c:ext>
            </c:extLst>
          </c:dPt>
          <c:dPt>
            <c:idx val="3"/>
            <c:invertIfNegative val="0"/>
            <c:bubble3D val="0"/>
            <c:spPr>
              <a:solidFill>
                <a:srgbClr val="FF0000"/>
              </a:solidFill>
              <a:ln>
                <a:noFill/>
              </a:ln>
              <a:effectLst/>
            </c:spPr>
            <c:extLst>
              <c:ext xmlns:c16="http://schemas.microsoft.com/office/drawing/2014/chart" uri="{C3380CC4-5D6E-409C-BE32-E72D297353CC}">
                <c16:uniqueId val="{00000016-7123-4777-BED3-983DDCF3A153}"/>
              </c:ext>
            </c:extLst>
          </c:dPt>
          <c:dPt>
            <c:idx val="4"/>
            <c:invertIfNegative val="0"/>
            <c:bubble3D val="0"/>
            <c:spPr>
              <a:solidFill>
                <a:srgbClr val="FF0000"/>
              </a:solidFill>
              <a:ln>
                <a:noFill/>
              </a:ln>
              <a:effectLst/>
            </c:spPr>
            <c:extLst>
              <c:ext xmlns:c16="http://schemas.microsoft.com/office/drawing/2014/chart" uri="{C3380CC4-5D6E-409C-BE32-E72D297353CC}">
                <c16:uniqueId val="{00000018-7123-4777-BED3-983DDCF3A153}"/>
              </c:ext>
            </c:extLst>
          </c:dPt>
          <c:dPt>
            <c:idx val="5"/>
            <c:invertIfNegative val="0"/>
            <c:bubble3D val="0"/>
            <c:spPr>
              <a:solidFill>
                <a:srgbClr val="FF0000"/>
              </a:solidFill>
              <a:ln>
                <a:noFill/>
              </a:ln>
              <a:effectLst/>
            </c:spPr>
            <c:extLst>
              <c:ext xmlns:c16="http://schemas.microsoft.com/office/drawing/2014/chart" uri="{C3380CC4-5D6E-409C-BE32-E72D297353CC}">
                <c16:uniqueId val="{0000001A-7123-4777-BED3-983DDCF3A153}"/>
              </c:ext>
            </c:extLst>
          </c:dPt>
          <c:dPt>
            <c:idx val="6"/>
            <c:invertIfNegative val="0"/>
            <c:bubble3D val="0"/>
            <c:spPr>
              <a:solidFill>
                <a:srgbClr val="FFFF00"/>
              </a:solidFill>
              <a:ln>
                <a:noFill/>
              </a:ln>
              <a:effectLst/>
            </c:spPr>
            <c:extLst>
              <c:ext xmlns:c16="http://schemas.microsoft.com/office/drawing/2014/chart" uri="{C3380CC4-5D6E-409C-BE32-E72D297353CC}">
                <c16:uniqueId val="{0000001C-7123-4777-BED3-983DDCF3A15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CUMPLIMIENTO_EJE1!$C$11:$C$122</c:f>
              <c:strCache>
                <c:ptCount val="7"/>
                <c:pt idx="0">
                  <c:v>BOLIVAR PROGRESA, SUPERACIÓN DE LA POBREZA</c:v>
                </c:pt>
                <c:pt idx="1">
                  <c:v>PLAN DEPARTAMENTAL DE EMERGENCIA SOCIAL PARA LA IGUALDAD Y LA INCLUSIÓN</c:v>
                </c:pt>
                <c:pt idx="2">
                  <c:v>BOLÍVAR PRIMERO EDUCA</c:v>
                </c:pt>
                <c:pt idx="3">
                  <c:v>BOLIVAR PRIMERO EN SALUD</c:v>
                </c:pt>
                <c:pt idx="4">
                  <c:v>HÁBITAT</c:v>
                </c:pt>
                <c:pt idx="5">
                  <c:v>BOLÍVAR PRIMERO EN RECREACIÓN Y DEPORTES</c:v>
                </c:pt>
                <c:pt idx="6">
                  <c:v>BOLÍVAR PROMUEVE EL ARTE, LA CULTURA Y SALVAGUARDA SU PATRIMONIO</c:v>
                </c:pt>
              </c:strCache>
            </c:strRef>
          </c:cat>
          <c:val>
            <c:numRef>
              <c:f>CUMPLIMIENTO_EJE1!$G$11:$G$122</c:f>
              <c:numCache>
                <c:formatCode>0%</c:formatCode>
                <c:ptCount val="7"/>
                <c:pt idx="0">
                  <c:v>0.33973499765782816</c:v>
                </c:pt>
                <c:pt idx="1">
                  <c:v>0.33333333333333331</c:v>
                </c:pt>
                <c:pt idx="2">
                  <c:v>0.35092007988259732</c:v>
                </c:pt>
                <c:pt idx="3">
                  <c:v>0.12644126449682005</c:v>
                </c:pt>
                <c:pt idx="4">
                  <c:v>0.63424242424242427</c:v>
                </c:pt>
                <c:pt idx="5">
                  <c:v>9.3472883991794042E-2</c:v>
                </c:pt>
                <c:pt idx="6">
                  <c:v>0.5</c:v>
                </c:pt>
              </c:numCache>
            </c:numRef>
          </c:val>
          <c:extLst>
            <c:ext xmlns:c16="http://schemas.microsoft.com/office/drawing/2014/chart" uri="{C3380CC4-5D6E-409C-BE32-E72D297353CC}">
              <c16:uniqueId val="{0000001D-7123-4777-BED3-983DDCF3A153}"/>
            </c:ext>
          </c:extLst>
        </c:ser>
        <c:dLbls>
          <c:showLegendKey val="0"/>
          <c:showVal val="0"/>
          <c:showCatName val="0"/>
          <c:showSerName val="0"/>
          <c:showPercent val="0"/>
          <c:showBubbleSize val="0"/>
        </c:dLbls>
        <c:gapWidth val="182"/>
        <c:axId val="8005520"/>
        <c:axId val="12274432"/>
      </c:barChart>
      <c:catAx>
        <c:axId val="80055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274432"/>
        <c:crosses val="autoZero"/>
        <c:auto val="1"/>
        <c:lblAlgn val="ctr"/>
        <c:lblOffset val="100"/>
        <c:noMultiLvlLbl val="0"/>
      </c:catAx>
      <c:valAx>
        <c:axId val="12274432"/>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0055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CUMPLIMIENTO_EJE1!$F$9</c:f>
              <c:strCache>
                <c:ptCount val="1"/>
                <c:pt idx="0">
                  <c:v>% CUMPLIMIENTO CUATRENIO</c:v>
                </c:pt>
              </c:strCache>
            </c:strRef>
          </c:tx>
          <c:spPr>
            <a:solidFill>
              <a:srgbClr val="0070C0"/>
            </a:solidFill>
            <a:ln>
              <a:noFill/>
            </a:ln>
            <a:effectLst/>
          </c:spPr>
          <c:invertIfNegative val="0"/>
          <c:dPt>
            <c:idx val="0"/>
            <c:invertIfNegative val="0"/>
            <c:bubble3D val="0"/>
            <c:spPr>
              <a:solidFill>
                <a:srgbClr val="0070C0"/>
              </a:solidFill>
              <a:ln>
                <a:noFill/>
              </a:ln>
              <a:effectLst/>
            </c:spPr>
            <c:extLst>
              <c:ext xmlns:c16="http://schemas.microsoft.com/office/drawing/2014/chart" uri="{C3380CC4-5D6E-409C-BE32-E72D297353CC}">
                <c16:uniqueId val="{00000001-192E-401D-B0BD-5108F3E1BFE6}"/>
              </c:ext>
            </c:extLst>
          </c:dPt>
          <c:dPt>
            <c:idx val="1"/>
            <c:invertIfNegative val="0"/>
            <c:bubble3D val="0"/>
            <c:spPr>
              <a:solidFill>
                <a:srgbClr val="0070C0"/>
              </a:solidFill>
              <a:ln>
                <a:noFill/>
              </a:ln>
              <a:effectLst/>
            </c:spPr>
            <c:extLst>
              <c:ext xmlns:c16="http://schemas.microsoft.com/office/drawing/2014/chart" uri="{C3380CC4-5D6E-409C-BE32-E72D297353CC}">
                <c16:uniqueId val="{00000003-192E-401D-B0BD-5108F3E1BFE6}"/>
              </c:ext>
            </c:extLst>
          </c:dPt>
          <c:dPt>
            <c:idx val="2"/>
            <c:invertIfNegative val="0"/>
            <c:bubble3D val="0"/>
            <c:spPr>
              <a:solidFill>
                <a:srgbClr val="0070C0"/>
              </a:solidFill>
              <a:ln>
                <a:noFill/>
              </a:ln>
              <a:effectLst/>
            </c:spPr>
            <c:extLst>
              <c:ext xmlns:c16="http://schemas.microsoft.com/office/drawing/2014/chart" uri="{C3380CC4-5D6E-409C-BE32-E72D297353CC}">
                <c16:uniqueId val="{00000005-192E-401D-B0BD-5108F3E1BFE6}"/>
              </c:ext>
            </c:extLst>
          </c:dPt>
          <c:dPt>
            <c:idx val="3"/>
            <c:invertIfNegative val="0"/>
            <c:bubble3D val="0"/>
            <c:spPr>
              <a:solidFill>
                <a:srgbClr val="0070C0"/>
              </a:solidFill>
              <a:ln>
                <a:noFill/>
              </a:ln>
              <a:effectLst/>
            </c:spPr>
            <c:extLst>
              <c:ext xmlns:c16="http://schemas.microsoft.com/office/drawing/2014/chart" uri="{C3380CC4-5D6E-409C-BE32-E72D297353CC}">
                <c16:uniqueId val="{00000007-192E-401D-B0BD-5108F3E1BFE6}"/>
              </c:ext>
            </c:extLst>
          </c:dPt>
          <c:dPt>
            <c:idx val="4"/>
            <c:invertIfNegative val="0"/>
            <c:bubble3D val="0"/>
            <c:spPr>
              <a:solidFill>
                <a:srgbClr val="0070C0"/>
              </a:solidFill>
              <a:ln>
                <a:noFill/>
              </a:ln>
              <a:effectLst/>
            </c:spPr>
            <c:extLst>
              <c:ext xmlns:c16="http://schemas.microsoft.com/office/drawing/2014/chart" uri="{C3380CC4-5D6E-409C-BE32-E72D297353CC}">
                <c16:uniqueId val="{00000009-192E-401D-B0BD-5108F3E1BFE6}"/>
              </c:ext>
            </c:extLst>
          </c:dPt>
          <c:dPt>
            <c:idx val="5"/>
            <c:invertIfNegative val="0"/>
            <c:bubble3D val="0"/>
            <c:spPr>
              <a:solidFill>
                <a:srgbClr val="0070C0"/>
              </a:solidFill>
              <a:ln>
                <a:noFill/>
              </a:ln>
              <a:effectLst/>
            </c:spPr>
            <c:extLst>
              <c:ext xmlns:c16="http://schemas.microsoft.com/office/drawing/2014/chart" uri="{C3380CC4-5D6E-409C-BE32-E72D297353CC}">
                <c16:uniqueId val="{0000000B-192E-401D-B0BD-5108F3E1BFE6}"/>
              </c:ext>
            </c:extLst>
          </c:dPt>
          <c:dPt>
            <c:idx val="6"/>
            <c:invertIfNegative val="0"/>
            <c:bubble3D val="0"/>
            <c:spPr>
              <a:solidFill>
                <a:srgbClr val="0070C0"/>
              </a:solidFill>
              <a:ln>
                <a:noFill/>
              </a:ln>
              <a:effectLst/>
            </c:spPr>
            <c:extLst>
              <c:ext xmlns:c16="http://schemas.microsoft.com/office/drawing/2014/chart" uri="{C3380CC4-5D6E-409C-BE32-E72D297353CC}">
                <c16:uniqueId val="{0000000D-192E-401D-B0BD-5108F3E1BFE6}"/>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CUMPLIMIENTO_EJE1!$C$11:$C$122</c:f>
              <c:strCache>
                <c:ptCount val="7"/>
                <c:pt idx="0">
                  <c:v>BOLIVAR PROGRESA, SUPERACIÓN DE LA POBREZA</c:v>
                </c:pt>
                <c:pt idx="1">
                  <c:v>PLAN DEPARTAMENTAL DE EMERGENCIA SOCIAL PARA LA IGUALDAD Y LA INCLUSIÓN</c:v>
                </c:pt>
                <c:pt idx="2">
                  <c:v>BOLÍVAR PRIMERO EDUCA</c:v>
                </c:pt>
                <c:pt idx="3">
                  <c:v>BOLIVAR PRIMERO EN SALUD</c:v>
                </c:pt>
                <c:pt idx="4">
                  <c:v>HÁBITAT</c:v>
                </c:pt>
                <c:pt idx="5">
                  <c:v>BOLÍVAR PRIMERO EN RECREACIÓN Y DEPORTES</c:v>
                </c:pt>
                <c:pt idx="6">
                  <c:v>BOLÍVAR PROMUEVE EL ARTE, LA CULTURA Y SALVAGUARDA SU PATRIMONIO</c:v>
                </c:pt>
              </c:strCache>
            </c:strRef>
          </c:cat>
          <c:val>
            <c:numRef>
              <c:f>CUMPLIMIENTO_EJE1!$F$11:$F$122</c:f>
              <c:numCache>
                <c:formatCode>0%</c:formatCode>
                <c:ptCount val="7"/>
                <c:pt idx="0">
                  <c:v>0.28346507642507995</c:v>
                </c:pt>
                <c:pt idx="1">
                  <c:v>0.10410714285714286</c:v>
                </c:pt>
                <c:pt idx="2">
                  <c:v>0.380217289810165</c:v>
                </c:pt>
                <c:pt idx="3">
                  <c:v>0.28725768020702352</c:v>
                </c:pt>
                <c:pt idx="4">
                  <c:v>0.19584814814814816</c:v>
                </c:pt>
                <c:pt idx="5">
                  <c:v>0.36201956749579395</c:v>
                </c:pt>
                <c:pt idx="6">
                  <c:v>0.37134063003220613</c:v>
                </c:pt>
              </c:numCache>
            </c:numRef>
          </c:val>
          <c:extLst>
            <c:ext xmlns:c16="http://schemas.microsoft.com/office/drawing/2014/chart" uri="{C3380CC4-5D6E-409C-BE32-E72D297353CC}">
              <c16:uniqueId val="{0000000E-192E-401D-B0BD-5108F3E1BFE6}"/>
            </c:ext>
          </c:extLst>
        </c:ser>
        <c:ser>
          <c:idx val="1"/>
          <c:order val="1"/>
          <c:tx>
            <c:strRef>
              <c:f>CUMPLIMIENTO_EJE1!$G$9</c:f>
              <c:strCache>
                <c:ptCount val="1"/>
                <c:pt idx="0">
                  <c:v>% CUMPLIMIENTO  AÑO 2021</c:v>
                </c:pt>
              </c:strCache>
            </c:strRef>
          </c:tx>
          <c:spPr>
            <a:solidFill>
              <a:schemeClr val="accent4">
                <a:lumMod val="60000"/>
                <a:lumOff val="40000"/>
              </a:schemeClr>
            </a:solidFill>
            <a:ln>
              <a:noFill/>
            </a:ln>
            <a:effectLst/>
          </c:spPr>
          <c:invertIfNegative val="0"/>
          <c:dPt>
            <c:idx val="0"/>
            <c:invertIfNegative val="0"/>
            <c:bubble3D val="0"/>
            <c:spPr>
              <a:solidFill>
                <a:schemeClr val="accent4">
                  <a:lumMod val="60000"/>
                  <a:lumOff val="40000"/>
                </a:schemeClr>
              </a:solidFill>
              <a:ln>
                <a:noFill/>
              </a:ln>
              <a:effectLst/>
            </c:spPr>
            <c:extLst>
              <c:ext xmlns:c16="http://schemas.microsoft.com/office/drawing/2014/chart" uri="{C3380CC4-5D6E-409C-BE32-E72D297353CC}">
                <c16:uniqueId val="{00000010-192E-401D-B0BD-5108F3E1BFE6}"/>
              </c:ext>
            </c:extLst>
          </c:dPt>
          <c:dPt>
            <c:idx val="1"/>
            <c:invertIfNegative val="0"/>
            <c:bubble3D val="0"/>
            <c:spPr>
              <a:solidFill>
                <a:schemeClr val="accent4">
                  <a:lumMod val="60000"/>
                  <a:lumOff val="40000"/>
                </a:schemeClr>
              </a:solidFill>
              <a:ln>
                <a:noFill/>
              </a:ln>
              <a:effectLst/>
            </c:spPr>
            <c:extLst>
              <c:ext xmlns:c16="http://schemas.microsoft.com/office/drawing/2014/chart" uri="{C3380CC4-5D6E-409C-BE32-E72D297353CC}">
                <c16:uniqueId val="{00000012-192E-401D-B0BD-5108F3E1BFE6}"/>
              </c:ext>
            </c:extLst>
          </c:dPt>
          <c:dPt>
            <c:idx val="2"/>
            <c:invertIfNegative val="0"/>
            <c:bubble3D val="0"/>
            <c:spPr>
              <a:solidFill>
                <a:schemeClr val="accent4">
                  <a:lumMod val="60000"/>
                  <a:lumOff val="40000"/>
                </a:schemeClr>
              </a:solidFill>
              <a:ln>
                <a:noFill/>
              </a:ln>
              <a:effectLst/>
            </c:spPr>
            <c:extLst>
              <c:ext xmlns:c16="http://schemas.microsoft.com/office/drawing/2014/chart" uri="{C3380CC4-5D6E-409C-BE32-E72D297353CC}">
                <c16:uniqueId val="{00000014-192E-401D-B0BD-5108F3E1BFE6}"/>
              </c:ext>
            </c:extLst>
          </c:dPt>
          <c:dPt>
            <c:idx val="3"/>
            <c:invertIfNegative val="0"/>
            <c:bubble3D val="0"/>
            <c:spPr>
              <a:solidFill>
                <a:schemeClr val="accent4">
                  <a:lumMod val="60000"/>
                  <a:lumOff val="40000"/>
                </a:schemeClr>
              </a:solidFill>
              <a:ln>
                <a:noFill/>
              </a:ln>
              <a:effectLst/>
            </c:spPr>
            <c:extLst>
              <c:ext xmlns:c16="http://schemas.microsoft.com/office/drawing/2014/chart" uri="{C3380CC4-5D6E-409C-BE32-E72D297353CC}">
                <c16:uniqueId val="{00000016-192E-401D-B0BD-5108F3E1BFE6}"/>
              </c:ext>
            </c:extLst>
          </c:dPt>
          <c:dPt>
            <c:idx val="4"/>
            <c:invertIfNegative val="0"/>
            <c:bubble3D val="0"/>
            <c:spPr>
              <a:solidFill>
                <a:schemeClr val="accent4">
                  <a:lumMod val="60000"/>
                  <a:lumOff val="40000"/>
                </a:schemeClr>
              </a:solidFill>
              <a:ln>
                <a:noFill/>
              </a:ln>
              <a:effectLst/>
            </c:spPr>
            <c:extLst>
              <c:ext xmlns:c16="http://schemas.microsoft.com/office/drawing/2014/chart" uri="{C3380CC4-5D6E-409C-BE32-E72D297353CC}">
                <c16:uniqueId val="{00000018-192E-401D-B0BD-5108F3E1BFE6}"/>
              </c:ext>
            </c:extLst>
          </c:dPt>
          <c:dPt>
            <c:idx val="5"/>
            <c:invertIfNegative val="0"/>
            <c:bubble3D val="0"/>
            <c:spPr>
              <a:solidFill>
                <a:schemeClr val="accent4">
                  <a:lumMod val="60000"/>
                  <a:lumOff val="40000"/>
                </a:schemeClr>
              </a:solidFill>
              <a:ln>
                <a:noFill/>
              </a:ln>
              <a:effectLst/>
            </c:spPr>
            <c:extLst>
              <c:ext xmlns:c16="http://schemas.microsoft.com/office/drawing/2014/chart" uri="{C3380CC4-5D6E-409C-BE32-E72D297353CC}">
                <c16:uniqueId val="{0000001A-192E-401D-B0BD-5108F3E1BFE6}"/>
              </c:ext>
            </c:extLst>
          </c:dPt>
          <c:dPt>
            <c:idx val="6"/>
            <c:invertIfNegative val="0"/>
            <c:bubble3D val="0"/>
            <c:spPr>
              <a:solidFill>
                <a:schemeClr val="accent4">
                  <a:lumMod val="60000"/>
                  <a:lumOff val="40000"/>
                </a:schemeClr>
              </a:solidFill>
              <a:ln>
                <a:noFill/>
              </a:ln>
              <a:effectLst/>
            </c:spPr>
            <c:extLst>
              <c:ext xmlns:c16="http://schemas.microsoft.com/office/drawing/2014/chart" uri="{C3380CC4-5D6E-409C-BE32-E72D297353CC}">
                <c16:uniqueId val="{0000001C-192E-401D-B0BD-5108F3E1BFE6}"/>
              </c:ext>
            </c:extLst>
          </c:dPt>
          <c:dLbls>
            <c:dLbl>
              <c:idx val="1"/>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12-192E-401D-B0BD-5108F3E1BFE6}"/>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CUMPLIMIENTO_EJE1!$C$11:$C$122</c:f>
              <c:strCache>
                <c:ptCount val="7"/>
                <c:pt idx="0">
                  <c:v>BOLIVAR PROGRESA, SUPERACIÓN DE LA POBREZA</c:v>
                </c:pt>
                <c:pt idx="1">
                  <c:v>PLAN DEPARTAMENTAL DE EMERGENCIA SOCIAL PARA LA IGUALDAD Y LA INCLUSIÓN</c:v>
                </c:pt>
                <c:pt idx="2">
                  <c:v>BOLÍVAR PRIMERO EDUCA</c:v>
                </c:pt>
                <c:pt idx="3">
                  <c:v>BOLIVAR PRIMERO EN SALUD</c:v>
                </c:pt>
                <c:pt idx="4">
                  <c:v>HÁBITAT</c:v>
                </c:pt>
                <c:pt idx="5">
                  <c:v>BOLÍVAR PRIMERO EN RECREACIÓN Y DEPORTES</c:v>
                </c:pt>
                <c:pt idx="6">
                  <c:v>BOLÍVAR PROMUEVE EL ARTE, LA CULTURA Y SALVAGUARDA SU PATRIMONIO</c:v>
                </c:pt>
              </c:strCache>
            </c:strRef>
          </c:cat>
          <c:val>
            <c:numRef>
              <c:f>CUMPLIMIENTO_EJE1!$G$11:$G$122</c:f>
              <c:numCache>
                <c:formatCode>0%</c:formatCode>
                <c:ptCount val="7"/>
                <c:pt idx="0">
                  <c:v>0.33973499765782816</c:v>
                </c:pt>
                <c:pt idx="1">
                  <c:v>0.33333333333333331</c:v>
                </c:pt>
                <c:pt idx="2">
                  <c:v>0.35092007988259732</c:v>
                </c:pt>
                <c:pt idx="3">
                  <c:v>0.12644126449682005</c:v>
                </c:pt>
                <c:pt idx="4">
                  <c:v>0.63424242424242427</c:v>
                </c:pt>
                <c:pt idx="5">
                  <c:v>9.3472883991794042E-2</c:v>
                </c:pt>
                <c:pt idx="6">
                  <c:v>0.5</c:v>
                </c:pt>
              </c:numCache>
            </c:numRef>
          </c:val>
          <c:extLst>
            <c:ext xmlns:c16="http://schemas.microsoft.com/office/drawing/2014/chart" uri="{C3380CC4-5D6E-409C-BE32-E72D297353CC}">
              <c16:uniqueId val="{0000001D-192E-401D-B0BD-5108F3E1BFE6}"/>
            </c:ext>
          </c:extLst>
        </c:ser>
        <c:dLbls>
          <c:showLegendKey val="0"/>
          <c:showVal val="0"/>
          <c:showCatName val="0"/>
          <c:showSerName val="0"/>
          <c:showPercent val="0"/>
          <c:showBubbleSize val="0"/>
        </c:dLbls>
        <c:gapWidth val="182"/>
        <c:axId val="8005520"/>
        <c:axId val="12274432"/>
      </c:barChart>
      <c:catAx>
        <c:axId val="80055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12274432"/>
        <c:crosses val="autoZero"/>
        <c:auto val="1"/>
        <c:lblAlgn val="ctr"/>
        <c:lblOffset val="100"/>
        <c:noMultiLvlLbl val="0"/>
      </c:catAx>
      <c:valAx>
        <c:axId val="12274432"/>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80055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CUMPLIMIENTO_EJE2!$F$9</c:f>
              <c:strCache>
                <c:ptCount val="1"/>
                <c:pt idx="0">
                  <c:v>% CUMPLIMIENTO CUATRENIO</c:v>
                </c:pt>
              </c:strCache>
            </c:strRef>
          </c:tx>
          <c:spPr>
            <a:solidFill>
              <a:srgbClr val="FF0000"/>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6-B067-4E07-B00C-E66F2B2B8562}"/>
              </c:ext>
            </c:extLst>
          </c:dPt>
          <c:dPt>
            <c:idx val="1"/>
            <c:invertIfNegative val="0"/>
            <c:bubble3D val="0"/>
            <c:spPr>
              <a:solidFill>
                <a:srgbClr val="00B050"/>
              </a:solidFill>
              <a:ln>
                <a:noFill/>
              </a:ln>
              <a:effectLst/>
            </c:spPr>
            <c:extLst>
              <c:ext xmlns:c16="http://schemas.microsoft.com/office/drawing/2014/chart" uri="{C3380CC4-5D6E-409C-BE32-E72D297353CC}">
                <c16:uniqueId val="{00000007-B067-4E07-B00C-E66F2B2B8562}"/>
              </c:ext>
            </c:extLst>
          </c:dPt>
          <c:dPt>
            <c:idx val="2"/>
            <c:invertIfNegative val="0"/>
            <c:bubble3D val="0"/>
            <c:spPr>
              <a:solidFill>
                <a:srgbClr val="00B050"/>
              </a:solidFill>
              <a:ln>
                <a:noFill/>
              </a:ln>
              <a:effectLst/>
            </c:spPr>
            <c:extLst>
              <c:ext xmlns:c16="http://schemas.microsoft.com/office/drawing/2014/chart" uri="{C3380CC4-5D6E-409C-BE32-E72D297353CC}">
                <c16:uniqueId val="{00000008-B067-4E07-B00C-E66F2B2B8562}"/>
              </c:ext>
            </c:extLst>
          </c:dPt>
          <c:dPt>
            <c:idx val="3"/>
            <c:invertIfNegative val="0"/>
            <c:bubble3D val="0"/>
            <c:spPr>
              <a:solidFill>
                <a:srgbClr val="00B050"/>
              </a:solidFill>
              <a:ln>
                <a:noFill/>
              </a:ln>
              <a:effectLst/>
            </c:spPr>
            <c:extLst>
              <c:ext xmlns:c16="http://schemas.microsoft.com/office/drawing/2014/chart" uri="{C3380CC4-5D6E-409C-BE32-E72D297353CC}">
                <c16:uniqueId val="{00000005-B067-4E07-B00C-E66F2B2B8562}"/>
              </c:ext>
            </c:extLst>
          </c:dPt>
          <c:dPt>
            <c:idx val="4"/>
            <c:invertIfNegative val="0"/>
            <c:bubble3D val="0"/>
            <c:spPr>
              <a:solidFill>
                <a:srgbClr val="00B050"/>
              </a:solidFill>
              <a:ln>
                <a:noFill/>
              </a:ln>
              <a:effectLst/>
            </c:spPr>
            <c:extLst>
              <c:ext xmlns:c16="http://schemas.microsoft.com/office/drawing/2014/chart" uri="{C3380CC4-5D6E-409C-BE32-E72D297353CC}">
                <c16:uniqueId val="{0000000A-43FF-4896-BB97-19366C6187B8}"/>
              </c:ext>
            </c:extLst>
          </c:dPt>
          <c:dPt>
            <c:idx val="5"/>
            <c:invertIfNegative val="0"/>
            <c:bubble3D val="0"/>
            <c:spPr>
              <a:solidFill>
                <a:srgbClr val="FF0000"/>
              </a:solidFill>
              <a:ln>
                <a:noFill/>
              </a:ln>
              <a:effectLst/>
            </c:spPr>
            <c:extLst>
              <c:ext xmlns:c16="http://schemas.microsoft.com/office/drawing/2014/chart" uri="{C3380CC4-5D6E-409C-BE32-E72D297353CC}">
                <c16:uniqueId val="{00000009-43FF-4896-BB97-19366C6187B8}"/>
              </c:ext>
            </c:extLst>
          </c:dPt>
          <c:dPt>
            <c:idx val="6"/>
            <c:invertIfNegative val="0"/>
            <c:bubble3D val="0"/>
            <c:spPr>
              <a:solidFill>
                <a:srgbClr val="FF0000"/>
              </a:solidFill>
              <a:ln>
                <a:noFill/>
              </a:ln>
              <a:effectLst/>
            </c:spPr>
            <c:extLst>
              <c:ext xmlns:c16="http://schemas.microsoft.com/office/drawing/2014/chart" uri="{C3380CC4-5D6E-409C-BE32-E72D297353CC}">
                <c16:uniqueId val="{00000008-43FF-4896-BB97-19366C6187B8}"/>
              </c:ext>
            </c:extLst>
          </c:dPt>
          <c:dPt>
            <c:idx val="7"/>
            <c:invertIfNegative val="0"/>
            <c:bubble3D val="0"/>
            <c:spPr>
              <a:solidFill>
                <a:srgbClr val="00B050"/>
              </a:solidFill>
              <a:ln>
                <a:noFill/>
              </a:ln>
              <a:effectLst/>
            </c:spPr>
            <c:extLst>
              <c:ext xmlns:c16="http://schemas.microsoft.com/office/drawing/2014/chart" uri="{C3380CC4-5D6E-409C-BE32-E72D297353CC}">
                <c16:uniqueId val="{0000000D-17CA-4CEE-9008-2F878B5732B8}"/>
              </c:ext>
            </c:extLst>
          </c:dPt>
          <c:dPt>
            <c:idx val="8"/>
            <c:invertIfNegative val="0"/>
            <c:bubble3D val="0"/>
            <c:spPr>
              <a:solidFill>
                <a:srgbClr val="FFFF00"/>
              </a:solidFill>
              <a:ln>
                <a:noFill/>
              </a:ln>
              <a:effectLst/>
            </c:spPr>
            <c:extLst>
              <c:ext xmlns:c16="http://schemas.microsoft.com/office/drawing/2014/chart" uri="{C3380CC4-5D6E-409C-BE32-E72D297353CC}">
                <c16:uniqueId val="{0000000F-17CA-4CEE-9008-2F878B5732B8}"/>
              </c:ext>
            </c:extLst>
          </c:dPt>
          <c:dLbls>
            <c:dLbl>
              <c:idx val="1"/>
              <c:layout>
                <c:manualLayout>
                  <c:x val="0"/>
                  <c:y val="8.393070628019668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67-4E07-B00C-E66F2B2B8562}"/>
                </c:ext>
              </c:extLst>
            </c:dLbl>
            <c:dLbl>
              <c:idx val="2"/>
              <c:layout>
                <c:manualLayout>
                  <c:x val="0"/>
                  <c:y val="8.39307062801977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67-4E07-B00C-E66F2B2B8562}"/>
                </c:ext>
              </c:extLst>
            </c:dLbl>
            <c:dLbl>
              <c:idx val="3"/>
              <c:layout>
                <c:manualLayout>
                  <c:x val="-1.0561314350139722E-16"/>
                  <c:y val="2.870195412470999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67-4E07-B00C-E66F2B2B8562}"/>
                </c:ext>
              </c:extLst>
            </c:dLbl>
            <c:dLbl>
              <c:idx val="4"/>
              <c:layout>
                <c:manualLayout>
                  <c:x val="0"/>
                  <c:y val="8.39307062801977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3FF-4896-BB97-19366C6187B8}"/>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CUMPLIMIENTO_EJE2!$C$42:$C$77</c:f>
              <c:strCache>
                <c:ptCount val="9"/>
                <c:pt idx="0">
                  <c:v>BOLÍVAR COMPETITIVO PARA LA INCLUSIÓN SOCIAL</c:v>
                </c:pt>
                <c:pt idx="1">
                  <c:v>BOLÍVAR PRIMERO EN INFRAESTRUCTURA Y TRANSPORTE</c:v>
                </c:pt>
                <c:pt idx="2">
                  <c:v>BOLÍVAR PRIMERO EN MOVILIDAD</c:v>
                </c:pt>
                <c:pt idx="3">
                  <c:v>BOLÍVAR PRIMERO EN TECNOLOGÍAS DE LA INFORMACIÓN Y LAS COMUNICACIONES</c:v>
                </c:pt>
                <c:pt idx="4">
                  <c:v>BOLÍVAR PRIMERO EN DESARROLLO ECONÓMICO</c:v>
                </c:pt>
                <c:pt idx="5">
                  <c:v>BOLÍVAR PRIMERO EN AGRICULTURA, EXPLOTACIONES PECUARIAS, PESCA FORESTAL Y SEGURIDAD ALIMENTARIA</c:v>
                </c:pt>
                <c:pt idx="6">
                  <c:v>BOLIVAR PRIMERO EN PRODUCTIVIDAD Y COMPETITIVIDAD MINERO ENERGÉTICA</c:v>
                </c:pt>
                <c:pt idx="7">
                  <c:v>BOLIVAR PRIMERO EN TURISMO</c:v>
                </c:pt>
                <c:pt idx="8">
                  <c:v>BOLIVAR PRIMERO EN CIENCIA TECNOLOGÍA E INNOVACIÓN</c:v>
                </c:pt>
              </c:strCache>
            </c:strRef>
          </c:cat>
          <c:val>
            <c:numRef>
              <c:f>CUMPLIMIENTO_EJE2!$F$42:$F$77</c:f>
              <c:numCache>
                <c:formatCode>0%</c:formatCode>
                <c:ptCount val="9"/>
                <c:pt idx="0">
                  <c:v>0.24329478481946754</c:v>
                </c:pt>
                <c:pt idx="1">
                  <c:v>0.52222222222222225</c:v>
                </c:pt>
                <c:pt idx="2">
                  <c:v>0.21714285714285717</c:v>
                </c:pt>
                <c:pt idx="3">
                  <c:v>0.33750000000000002</c:v>
                </c:pt>
                <c:pt idx="4">
                  <c:v>0.28287037037037033</c:v>
                </c:pt>
                <c:pt idx="5">
                  <c:v>0.26021690090122751</c:v>
                </c:pt>
                <c:pt idx="6">
                  <c:v>0.14849206349206351</c:v>
                </c:pt>
                <c:pt idx="7">
                  <c:v>0.40225641025641029</c:v>
                </c:pt>
                <c:pt idx="8">
                  <c:v>0.17891369047619049</c:v>
                </c:pt>
              </c:numCache>
            </c:numRef>
          </c:val>
          <c:extLst>
            <c:ext xmlns:c16="http://schemas.microsoft.com/office/drawing/2014/chart" uri="{C3380CC4-5D6E-409C-BE32-E72D297353CC}">
              <c16:uniqueId val="{00000000-B067-4E07-B00C-E66F2B2B8562}"/>
            </c:ext>
          </c:extLst>
        </c:ser>
        <c:dLbls>
          <c:showLegendKey val="0"/>
          <c:showVal val="0"/>
          <c:showCatName val="0"/>
          <c:showSerName val="0"/>
          <c:showPercent val="0"/>
          <c:showBubbleSize val="0"/>
        </c:dLbls>
        <c:gapWidth val="104"/>
        <c:axId val="8005520"/>
        <c:axId val="12274432"/>
      </c:barChart>
      <c:catAx>
        <c:axId val="80055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12274432"/>
        <c:crosses val="autoZero"/>
        <c:auto val="1"/>
        <c:lblAlgn val="ctr"/>
        <c:lblOffset val="100"/>
        <c:noMultiLvlLbl val="0"/>
      </c:catAx>
      <c:valAx>
        <c:axId val="12274432"/>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80055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chart" Target="../charts/chart4.xml"/><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chart" Target="../charts/chart3.xml"/><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2.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1.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chart" Target="../charts/chart5.xml"/></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chart" Target="../charts/chart8.xml"/><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7.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6.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chart" Target="../charts/chart11.xml"/><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10.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9.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chart" Target="../charts/chart14.xml"/><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13.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12.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6.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3.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chart" Target="../charts/chart17.xml"/><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16.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15.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7.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chart" Target="../charts/chart20.xml"/><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19.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18.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8.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chart" Target="../charts/chart23.xml"/><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22.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21.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5</xdr:col>
      <xdr:colOff>321942</xdr:colOff>
      <xdr:row>2</xdr:row>
      <xdr:rowOff>66675</xdr:rowOff>
    </xdr:from>
    <xdr:to>
      <xdr:col>7</xdr:col>
      <xdr:colOff>923925</xdr:colOff>
      <xdr:row>6</xdr:row>
      <xdr:rowOff>18628</xdr:rowOff>
    </xdr:to>
    <xdr:grpSp>
      <xdr:nvGrpSpPr>
        <xdr:cNvPr id="2" name="Grupo 1">
          <a:extLst>
            <a:ext uri="{FF2B5EF4-FFF2-40B4-BE49-F238E27FC236}">
              <a16:creationId xmlns:a16="http://schemas.microsoft.com/office/drawing/2014/main" id="{873F030B-E90F-47E9-B9B8-C8A0E54C886B}"/>
            </a:ext>
          </a:extLst>
        </xdr:cNvPr>
        <xdr:cNvGrpSpPr/>
      </xdr:nvGrpSpPr>
      <xdr:grpSpPr>
        <a:xfrm>
          <a:off x="8476807" y="447675"/>
          <a:ext cx="2470349" cy="713953"/>
          <a:chOff x="9020178" y="739686"/>
          <a:chExt cx="2674428" cy="797962"/>
        </a:xfrm>
      </xdr:grpSpPr>
      <xdr:grpSp>
        <xdr:nvGrpSpPr>
          <xdr:cNvPr id="3" name="Grupo 2">
            <a:extLst>
              <a:ext uri="{FF2B5EF4-FFF2-40B4-BE49-F238E27FC236}">
                <a16:creationId xmlns:a16="http://schemas.microsoft.com/office/drawing/2014/main" id="{F6B1080F-E2D7-4647-8806-FA3F637A33EA}"/>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D79D3C41-FE34-4642-9FD6-75637334E744}"/>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61DC0265-B572-43F0-9D11-CF4DA38A5CCF}"/>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AB0CA8BA-AB42-43C7-9C30-D1D1DF3F68F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97D05205-8018-4D91-A99E-E07EA9A7CE86}"/>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1473DC65-EDCE-4451-8170-AE3F94CFC079}"/>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973E98B9-CBD5-4D79-83EB-F786DD43726B}"/>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C74AEC49-7BD9-4560-B855-7633CAE35F27}"/>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863C398A-1FA9-4357-90AE-3515947B6CDF}"/>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DE1CAAE6-39B1-43AA-AF07-1EF1DFC8EA9E}"/>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1052C946-131B-4C26-94B5-6FD693739F03}"/>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94D4A797-A318-4177-A06E-E36145211AC8}"/>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EB562DC2-11A3-49D9-9010-6C3A3F72538F}"/>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F894FB97-396E-40AE-AB8D-F34EA7C312DA}"/>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B394B15C-0035-4FFB-AA0E-3B6FFD0F4F28}"/>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26720E2D-5483-4449-917C-E0EFF15A3639}"/>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8FA31B16-9778-4896-976F-5A5EE90021E4}"/>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FA47706A-07F6-4083-AE23-A6BA526B5A42}"/>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19E1B18-0B2E-484B-B14E-CAD29799C64A}"/>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EAB181DB-8CDB-4DC5-8F82-EC29C417C814}"/>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A63AE66C-290E-4986-8D2B-0BF5410FDA75}"/>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8F7AF842-61F3-49FE-A674-25BEB4B548C2}"/>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14C56448-766E-457E-A2FA-E6C00D93D9D2}"/>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BC2323C8-76DA-4DF4-B9FA-573D8AEB61ED}"/>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FF1039E3-956D-4DA6-B783-9671F501238B}"/>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551F0F28-DF6F-4683-A32A-FBF61601913C}"/>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1184B69F-D006-42FF-88AF-869D753F797A}"/>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4BC4529-52EB-4892-9408-A1026252A6ED}"/>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33D15BBC-3BDD-4537-B387-885DFB8DB7BB}"/>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E4BA0561-5EF0-434C-B3F0-D77AB80EA58B}"/>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C8FF99C-2F14-4A3F-9276-2A85E721BB3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45D25E61-97D6-4877-BD48-D01B41FBC7C9}"/>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ACD3DEC2-672B-4036-A824-89F36CF0AC1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7A64CEA5-4676-4E92-93F1-DA2EEB7175BE}"/>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B9E0C24C-7E06-46AF-9693-92A83A4C93B7}"/>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472D1243-26CA-4DE3-9052-D25516B751AF}"/>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112D2060-33FF-487F-9038-984080FFE49B}"/>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7E9CEE52-5779-4861-A704-E2227281DE66}"/>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72103B7B-063B-4180-B854-A9FE66C9BDDC}"/>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622253A2-F105-4BD4-90EC-36BC8664A5DA}"/>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424F5AA8-BC93-4D3F-914D-B531396563BF}"/>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C19D0496-7F40-4C9F-8B93-C73A9D7C7C59}"/>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48F4EA28-5D45-4CF8-AFF2-33A8F49BCF07}"/>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A02AA602-64CB-43E8-B8E2-4402AB82E706}"/>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A9DB012-A540-42B2-8E70-62F3B0A49C41}"/>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D85460CC-0BD2-488B-80AA-DA6EA948BFA2}"/>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A182F102-2D8D-47D0-96A5-E3D392E0DFB5}"/>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9624EDE2-D069-426B-B148-76A4A5ADA86A}"/>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DCDD5FA8-F496-451E-A289-223349807508}"/>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5FD2727F-499B-44B8-9300-51E0C81A3D38}"/>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7DF50ACE-0EAF-409A-BA1C-CCCA9D2A098F}"/>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41F7A7CE-F89A-4F81-BDAD-DCD88A83CB5F}"/>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594DE38F-996D-483C-B460-EA341017B1C4}"/>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50982E40-AA94-4AA2-9B92-E146F9407264}"/>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EAF06396-9077-45AE-B854-DCA70E896B34}"/>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1FB2CF4A-F416-4C47-8663-CFB151510966}"/>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31C4565B-E60E-49C3-999F-FB9468063362}"/>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BA6E7BE7-E82F-4B7B-81FE-E74BD9B88FB6}"/>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B6FB7376-BFA2-4415-AB74-CCC354DD02A2}"/>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B366BC45-DB44-459D-9192-34894A70C3DB}"/>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5417A7D2-63C7-4E3D-B55F-F17753658BD4}"/>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3DB3AFD1-B3DA-4ABD-AD0D-2C19957B7C0C}"/>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B53C4AF6-8104-42C1-A91E-169179E892F8}"/>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A0DC25C5-56BF-409D-8A56-AD61C598229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942420B3-4DB2-4F93-9274-A604720DA6E6}"/>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DC37C0B1-79E7-426D-A4BA-CB262052F571}"/>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52737EBC-C581-4640-937D-CAFE479E7044}"/>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A9467B4B-8629-464E-9B49-5CA5697611A9}"/>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ADD11CD5-1DDB-4E02-83CC-25D1016ABA04}"/>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AE69C2F8-B6B7-4ED9-8D8E-45867BAD6D67}"/>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DB74B97B-9273-42D9-A27B-7892C96B27C9}"/>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AF38A820-0BAC-464C-9671-19ADFFE3FC0D}"/>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6EF3E27B-DE8C-4D97-A324-B88D68DF1296}"/>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D367563D-C50C-4100-AA55-957426F1D58B}"/>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DBC157FE-9ECD-4686-BF7C-44D3ADB96D13}"/>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863AEC6B-D666-4F52-8D5E-F59BC2BFEA79}"/>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11008</xdr:rowOff>
    </xdr:to>
    <xdr:grpSp>
      <xdr:nvGrpSpPr>
        <xdr:cNvPr id="2" name="Grupo 1">
          <a:extLst>
            <a:ext uri="{FF2B5EF4-FFF2-40B4-BE49-F238E27FC236}">
              <a16:creationId xmlns:a16="http://schemas.microsoft.com/office/drawing/2014/main" id="{384BF4D1-1D9E-4FB6-88BB-B2E925189AA2}"/>
            </a:ext>
          </a:extLst>
        </xdr:cNvPr>
        <xdr:cNvGrpSpPr/>
      </xdr:nvGrpSpPr>
      <xdr:grpSpPr>
        <a:xfrm>
          <a:off x="8395332" y="434340"/>
          <a:ext cx="2203540" cy="719668"/>
          <a:chOff x="9020178" y="739686"/>
          <a:chExt cx="2674428" cy="797962"/>
        </a:xfrm>
      </xdr:grpSpPr>
      <xdr:grpSp>
        <xdr:nvGrpSpPr>
          <xdr:cNvPr id="3" name="Grupo 2">
            <a:extLst>
              <a:ext uri="{FF2B5EF4-FFF2-40B4-BE49-F238E27FC236}">
                <a16:creationId xmlns:a16="http://schemas.microsoft.com/office/drawing/2014/main" id="{C2A1DE42-AA0D-4781-AAB0-056243AAFB8C}"/>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BE6FD39A-ACAB-4D73-8D55-E58F2684A386}"/>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ADAAC98B-324E-466D-AB41-28B2D6E91B81}"/>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35D5166C-173B-491E-861D-E72546D4E625}"/>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31875849-04B7-4FF9-8D30-4E861D81A5E8}"/>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2DDC53ED-CD03-432B-9139-B490CB435AD5}"/>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2FC406F-3898-439D-A4C5-7968D6A25BD3}"/>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5630E30D-2FD9-4775-A2E6-6E9B9C276A7E}"/>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88C2E3F9-7ECD-44E6-91D3-0D9F64E16A27}"/>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BB78C23F-AD80-4918-99BD-56FF4BB6B2A4}"/>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5B36E142-297C-4A45-8F93-8DFA86FB71E6}"/>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B68075C-1B59-44D2-B06A-75193EFE1D13}"/>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4B9F6864-E88D-4FDC-9766-AFBCC5873642}"/>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DC1BC588-C1B5-4891-B3B8-B2D28FEA1C29}"/>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E92B1F11-3A28-4566-9FF8-684956EDE28D}"/>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8D9BAC5-7953-4517-8AF2-F4F474856697}"/>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54C35B40-477E-4B87-AC8A-F6B8394AEDB8}"/>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C9B27300-BAF6-4563-8259-AE94DCD6FC15}"/>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7D73BC6-2872-420D-9352-BF4956903585}"/>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171CC76A-7790-4C15-BE83-D1177D749A5B}"/>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5D147DC1-DF9B-46C9-8776-D916E1E7C945}"/>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14F14348-2B97-41F9-976F-5C59C82803EC}"/>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C57B04EE-9498-4F4D-8D75-A1710BA0699B}"/>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CD98356-B71C-43E4-A639-9D9F7040A6C2}"/>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4901E468-9EA8-4303-9D14-253FAAFE206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3C11374D-4B42-496F-BB13-BBDF70CE1FB6}"/>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8E845BD6-40B6-40CC-B949-CE7F367C5A39}"/>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8AB944C2-9398-4DEA-89DC-02E034E841F5}"/>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55D988AB-466F-4D2F-889D-F779741A2171}"/>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B1C39FD1-2241-43E5-8E51-80AB5F942C24}"/>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CC6EBB3-F343-4198-9BDA-D49586B57AA2}"/>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BDE11E00-4439-40DE-92C1-0C3913C11B84}"/>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465B8C1E-67B7-4C26-8660-ABF22DC70958}"/>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8BD52778-FBFB-4752-A07D-97F313E2A94C}"/>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66DA0F2E-F47D-4670-80F5-B8D908F7D7D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C36E480F-D153-40E5-A051-EAFB6AB0CE4C}"/>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5EC6D497-09B2-4AD5-A375-B7A5F97815BD}"/>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E17856C6-69B2-4406-87E1-2B5429ED9362}"/>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B8AEE8B8-4054-4F55-84F9-DAC6FF68E945}"/>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C88DEE10-E3C7-4568-BAAE-9CFED4F3B22D}"/>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5DC176AC-9A7D-4822-A0F5-E119B5F2CBC8}"/>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D505E499-ED33-4F89-B035-4479294C59D7}"/>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602EBD7D-E7FF-45B1-9FC9-567D5BDB5736}"/>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1FCEEEF3-ABB5-4116-A0D3-5A5EFB8FBCF8}"/>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D48DBFA9-F40D-4267-BAC3-5734AAF0B6A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E59350CA-1E35-4130-B897-853CAAA78A53}"/>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65F93EB7-06D2-4ECB-94BC-755ADD262B56}"/>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796EC3AC-4580-4C76-9547-DC04BE5D331D}"/>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1CF1797F-7D4D-48DB-AE61-DA2C093A41AA}"/>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803D7D57-1CAA-4B5B-B56D-7D5A5DACD29B}"/>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E7F16A2-044F-4A21-AA41-5B1A8E975B1F}"/>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DF7EAB64-B6E8-44A0-9649-F981063B7E6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E79F8AFA-5C74-491A-8728-09FCEB0E28CB}"/>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79E70825-3948-4C09-B7A0-CCBF7859508E}"/>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27C95BD9-CE62-47DA-9144-D327A30E21AF}"/>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EE013897-8232-4287-9C1E-01B0DBA8E6F5}"/>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226C9719-D684-4ADD-928E-525C7CCCB9F8}"/>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77CF26FC-B753-49C5-842B-E5813B70A8DB}"/>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A0D7CAEF-64FD-4BE0-9784-77DC88E49E6D}"/>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59A64D03-68EB-49AE-B26B-1B261E4CBBB1}"/>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396F9243-AF5A-4DEA-A04A-A9B623C1AFF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9B3DD0AD-0FF2-4E9B-B551-28A16408AAD9}"/>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72E31470-524F-471E-B051-147611D1F46D}"/>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38FA51D1-6323-4F0D-8200-679B8FB03696}"/>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3B0241F7-120B-4D19-A324-7F2E7F53BCC2}"/>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8ABD7E2-145A-4C09-90BF-64D239D71289}"/>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DE2480D6-D744-47A1-8E76-A60F15EF5B34}"/>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42E5A10C-1451-4289-9DAA-AFF9598916D5}"/>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F40A28B0-2402-4606-97EA-DE3AAD70BB2B}"/>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E1440DEE-B695-4299-B4A8-C31F03BD80AE}"/>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CD967E7-A8F3-441F-AA3F-334436948E98}"/>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14760C97-95D1-4CAB-997B-83B04222B4F1}"/>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7C7D4055-B50C-4494-9996-832FC428855F}"/>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E58D96C0-DFD8-42C2-96A4-0085F05AE681}"/>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C21C6866-777D-48E8-A58D-4BCA48FEF687}"/>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A5074D7C-1FA8-473D-9904-DC6B673DA74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284322</xdr:colOff>
      <xdr:row>156</xdr:row>
      <xdr:rowOff>20477</xdr:rowOff>
    </xdr:from>
    <xdr:to>
      <xdr:col>5</xdr:col>
      <xdr:colOff>16669</xdr:colOff>
      <xdr:row>175</xdr:row>
      <xdr:rowOff>130015</xdr:rowOff>
    </xdr:to>
    <xdr:graphicFrame macro="">
      <xdr:nvGraphicFramePr>
        <xdr:cNvPr id="79" name="Gráfico 78">
          <a:extLst>
            <a:ext uri="{FF2B5EF4-FFF2-40B4-BE49-F238E27FC236}">
              <a16:creationId xmlns:a16="http://schemas.microsoft.com/office/drawing/2014/main" id="{B3A7C807-E34E-4D0E-A44C-5E208AFF43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xdr:col>
      <xdr:colOff>647224</xdr:colOff>
      <xdr:row>156</xdr:row>
      <xdr:rowOff>41434</xdr:rowOff>
    </xdr:from>
    <xdr:to>
      <xdr:col>12</xdr:col>
      <xdr:colOff>259556</xdr:colOff>
      <xdr:row>175</xdr:row>
      <xdr:rowOff>152877</xdr:rowOff>
    </xdr:to>
    <xdr:graphicFrame macro="">
      <xdr:nvGraphicFramePr>
        <xdr:cNvPr id="80" name="Gráfico 79">
          <a:extLst>
            <a:ext uri="{FF2B5EF4-FFF2-40B4-BE49-F238E27FC236}">
              <a16:creationId xmlns:a16="http://schemas.microsoft.com/office/drawing/2014/main" id="{07F201D7-EF0E-4C65-8B4D-14671E4D0B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12</xdr:col>
      <xdr:colOff>555307</xdr:colOff>
      <xdr:row>156</xdr:row>
      <xdr:rowOff>57150</xdr:rowOff>
    </xdr:from>
    <xdr:to>
      <xdr:col>23</xdr:col>
      <xdr:colOff>759618</xdr:colOff>
      <xdr:row>175</xdr:row>
      <xdr:rowOff>162878</xdr:rowOff>
    </xdr:to>
    <xdr:graphicFrame macro="">
      <xdr:nvGraphicFramePr>
        <xdr:cNvPr id="81" name="Gráfico 80">
          <a:extLst>
            <a:ext uri="{FF2B5EF4-FFF2-40B4-BE49-F238E27FC236}">
              <a16:creationId xmlns:a16="http://schemas.microsoft.com/office/drawing/2014/main" id="{E6658B50-DC9E-4E5C-87C5-1BA02F6D85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71438</xdr:colOff>
      <xdr:row>178</xdr:row>
      <xdr:rowOff>146446</xdr:rowOff>
    </xdr:from>
    <xdr:to>
      <xdr:col>13</xdr:col>
      <xdr:colOff>285750</xdr:colOff>
      <xdr:row>186</xdr:row>
      <xdr:rowOff>210739</xdr:rowOff>
    </xdr:to>
    <xdr:graphicFrame macro="">
      <xdr:nvGraphicFramePr>
        <xdr:cNvPr id="89" name="Gráfico 88">
          <a:extLst>
            <a:ext uri="{FF2B5EF4-FFF2-40B4-BE49-F238E27FC236}">
              <a16:creationId xmlns:a16="http://schemas.microsoft.com/office/drawing/2014/main" id="{0214C59D-F5D1-400C-8E6A-14F75EA2A9D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13</xdr:col>
      <xdr:colOff>511969</xdr:colOff>
      <xdr:row>178</xdr:row>
      <xdr:rowOff>134540</xdr:rowOff>
    </xdr:from>
    <xdr:to>
      <xdr:col>20</xdr:col>
      <xdr:colOff>702469</xdr:colOff>
      <xdr:row>186</xdr:row>
      <xdr:rowOff>198833</xdr:rowOff>
    </xdr:to>
    <xdr:graphicFrame macro="">
      <xdr:nvGraphicFramePr>
        <xdr:cNvPr id="90" name="Gráfico 89">
          <a:extLst>
            <a:ext uri="{FF2B5EF4-FFF2-40B4-BE49-F238E27FC236}">
              <a16:creationId xmlns:a16="http://schemas.microsoft.com/office/drawing/2014/main" id="{4FDF83EE-D192-4149-9EA6-4C901F68EC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514347</xdr:colOff>
      <xdr:row>2</xdr:row>
      <xdr:rowOff>57150</xdr:rowOff>
    </xdr:from>
    <xdr:to>
      <xdr:col>6</xdr:col>
      <xdr:colOff>759547</xdr:colOff>
      <xdr:row>6</xdr:row>
      <xdr:rowOff>12913</xdr:rowOff>
    </xdr:to>
    <xdr:grpSp>
      <xdr:nvGrpSpPr>
        <xdr:cNvPr id="2" name="Grupo 1">
          <a:extLst>
            <a:ext uri="{FF2B5EF4-FFF2-40B4-BE49-F238E27FC236}">
              <a16:creationId xmlns:a16="http://schemas.microsoft.com/office/drawing/2014/main" id="{12E14415-5690-4433-9862-85A7AD96B898}"/>
            </a:ext>
          </a:extLst>
        </xdr:cNvPr>
        <xdr:cNvGrpSpPr/>
      </xdr:nvGrpSpPr>
      <xdr:grpSpPr>
        <a:xfrm>
          <a:off x="8408191" y="438150"/>
          <a:ext cx="2197825" cy="717763"/>
          <a:chOff x="9020178" y="739686"/>
          <a:chExt cx="2674428" cy="797962"/>
        </a:xfrm>
      </xdr:grpSpPr>
      <xdr:grpSp>
        <xdr:nvGrpSpPr>
          <xdr:cNvPr id="3" name="Grupo 2">
            <a:extLst>
              <a:ext uri="{FF2B5EF4-FFF2-40B4-BE49-F238E27FC236}">
                <a16:creationId xmlns:a16="http://schemas.microsoft.com/office/drawing/2014/main" id="{1FA39742-DE17-4D9F-8760-2CD52FDF1B27}"/>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DFC05015-FA1C-4F90-ADEC-5B13EC50DA72}"/>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A5975A94-7772-4F0A-8B19-B4CA48E19AB5}"/>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EC9851A0-E1EE-4EBF-A9A6-A8EBC644D65E}"/>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3AB6DB51-4693-4D8E-9CBD-F64E6E115C14}"/>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D652280F-3B59-4D69-8A61-513D724E6333}"/>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D9279CB9-BDE0-42B9-85F6-B9ECED902828}"/>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92926D5-C05F-4D7F-A8F1-5004A410AADE}"/>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64A07D03-17E6-4AD8-AC5C-F915B726CCFC}"/>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704B4F96-2A9A-47AC-802F-1F4F54F2BAE4}"/>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AC0BC0CE-18B4-451B-95BE-BD5FD51881BB}"/>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22A83521-465E-446C-942E-891526DC63AA}"/>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6BA0A6D1-9985-4A12-9CFF-8E3225F7C16B}"/>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A9E802F-65A4-4999-B9C3-795BB440E1FA}"/>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C019407E-FD94-413D-ACC3-CF69E769DC16}"/>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CF86E1C9-3139-42E4-99CF-04D182C6A4C1}"/>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3E12E68D-9892-407A-94AE-4917A401B0A1}"/>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5536732B-ABD4-4303-BA34-F00F01D70A4F}"/>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C9AB9992-B147-4A50-8902-D0C3B2DEA484}"/>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1A5DFB61-B83B-4FFC-A17C-F3B069214242}"/>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E7DADDCE-09D1-438A-82D0-70BE24D01A56}"/>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3E90683D-D6CF-4DA3-8BDF-FFE5B1075395}"/>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DB45908C-8142-4A2A-BDA2-899C45DF456E}"/>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72C26989-580E-4E06-A5D7-133E1D15E7E1}"/>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CCF2E03F-F084-42AE-8787-BFF59427D3E2}"/>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E9692C02-68F5-4D5C-8005-C6F16AD7FAB4}"/>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61F4BB3B-0576-4D73-9269-0E4AF5D1F877}"/>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B0421971-2FE9-45E0-8DF3-6613B78F6733}"/>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D374CFA1-91CD-42F7-A4CF-049AB494263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1C46CB57-731F-440E-8BB7-CC5CECAC3F67}"/>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F00AD1AE-62B8-4BFB-A93D-A883C0EB44D5}"/>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EC937FC8-D234-4D5F-87DB-284D3FC8AD03}"/>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7F0CEAAC-C80B-47C4-8FBB-7D85D807B3EA}"/>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37364AFB-16C3-4FF6-B212-34E742822A1C}"/>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8F415F6F-5C18-4F11-9774-68F0E091948F}"/>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2920B1FC-A5E3-456D-9F5C-5EDEB62D5D5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D3AFC97B-94B1-4DEF-891D-393E1DAFD0AE}"/>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A8E4D3B0-B686-476B-9476-CB42DFD26BD1}"/>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266DFB3A-C826-4E51-9C98-6C4D591D3701}"/>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722ACDE4-93FF-456E-831E-8661B59D078C}"/>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586D1819-1CD2-4E71-A57B-61E49871CF72}"/>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E30E5286-C649-425B-9A49-050D0AC909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EFE7D399-E191-46B0-913B-524FB961D938}"/>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71198BA7-AEB5-4DB0-A777-F3A5AC051952}"/>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1ED6DF5C-7095-4FB3-9626-0034981C7955}"/>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FEEAFEEF-D2FA-42D9-8ABD-9427B42DD314}"/>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7AA98F2D-5841-40F6-BF6D-89CEAA39CEE7}"/>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8BB8C73D-21DB-4E65-AA51-09063EB9373F}"/>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9065EBFD-2B48-4AA8-A12A-60E738C56BE9}"/>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ACC25E4D-6FB5-460C-94DC-5BE9E94BC346}"/>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76650849-8EC5-4105-87AF-7C8D25222B65}"/>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F332942D-31DB-42E4-AC6D-1F7229511DE8}"/>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D2070B83-C738-4F31-AF63-0F037EBE495D}"/>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C255D74A-C571-424E-AC03-4C18C84E57E9}"/>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80AE2049-DA80-4854-99FD-88327CA17344}"/>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123CE87F-6F70-43F2-B77C-936688B75E26}"/>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723C5B30-472D-4632-A9F4-8A02FA63E46B}"/>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6E6D49AF-2FEE-4C29-AE86-CF6E793C1AEE}"/>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7B92B8C2-51FD-4EA6-97C6-A6B69763BD0C}"/>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3903596C-7F1A-475D-B84A-E897E1AAD9AC}"/>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D61950AA-A0AD-4B42-AA1F-876336DE873B}"/>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64379FFB-798C-44FE-9299-C764FA3BB2C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5F2831E7-5811-4C18-AB80-461A121A4891}"/>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D8E7C07-4719-45BB-A7DE-A13977E3E6C8}"/>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27BF6421-F872-4549-8790-29B00064E06B}"/>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DAD3CE49-9BE5-4233-9859-CD65EB2FE973}"/>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E15535F1-025E-4042-B943-D39D5AA41EB3}"/>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C96ABB38-6268-4B24-AF75-7A3469A05492}"/>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F50F8D9B-64BE-4781-BEFA-DF444F4A18C2}"/>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1B7A942B-F331-4BD6-B855-5790CE3EF859}"/>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DC0F4EC0-1C52-48F2-9455-9436B969709E}"/>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52232ADC-FF56-41ED-A186-7D5C0CCDEFF4}"/>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1B270895-8335-4D42-855A-4D50D6FDEE23}"/>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23F53FC9-FE6D-455B-BADB-F9B53C9E1E68}"/>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3A8DB392-1B2E-4C45-AE5D-F1C3A952A359}"/>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A520B53C-73AF-49BC-A377-414798B7AD4B}"/>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1369696</xdr:colOff>
      <xdr:row>157</xdr:row>
      <xdr:rowOff>66778</xdr:rowOff>
    </xdr:from>
    <xdr:to>
      <xdr:col>6</xdr:col>
      <xdr:colOff>121921</xdr:colOff>
      <xdr:row>176</xdr:row>
      <xdr:rowOff>178223</xdr:rowOff>
    </xdr:to>
    <xdr:graphicFrame macro="">
      <xdr:nvGraphicFramePr>
        <xdr:cNvPr id="79" name="Gráfico 78">
          <a:extLst>
            <a:ext uri="{FF2B5EF4-FFF2-40B4-BE49-F238E27FC236}">
              <a16:creationId xmlns:a16="http://schemas.microsoft.com/office/drawing/2014/main" id="{E44CC5B5-C47D-49DF-AED8-E63077DE98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190500</xdr:colOff>
      <xdr:row>157</xdr:row>
      <xdr:rowOff>76200</xdr:rowOff>
    </xdr:from>
    <xdr:to>
      <xdr:col>12</xdr:col>
      <xdr:colOff>636270</xdr:colOff>
      <xdr:row>177</xdr:row>
      <xdr:rowOff>2860</xdr:rowOff>
    </xdr:to>
    <xdr:graphicFrame macro="">
      <xdr:nvGraphicFramePr>
        <xdr:cNvPr id="80" name="Gráfico 79">
          <a:extLst>
            <a:ext uri="{FF2B5EF4-FFF2-40B4-BE49-F238E27FC236}">
              <a16:creationId xmlns:a16="http://schemas.microsoft.com/office/drawing/2014/main" id="{A46C23E8-32D6-4A43-85C3-3C43A75384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13</xdr:col>
      <xdr:colOff>251732</xdr:colOff>
      <xdr:row>156</xdr:row>
      <xdr:rowOff>277586</xdr:rowOff>
    </xdr:from>
    <xdr:to>
      <xdr:col>24</xdr:col>
      <xdr:colOff>492851</xdr:colOff>
      <xdr:row>176</xdr:row>
      <xdr:rowOff>95389</xdr:rowOff>
    </xdr:to>
    <xdr:graphicFrame macro="">
      <xdr:nvGraphicFramePr>
        <xdr:cNvPr id="81" name="Gráfico 80">
          <a:extLst>
            <a:ext uri="{FF2B5EF4-FFF2-40B4-BE49-F238E27FC236}">
              <a16:creationId xmlns:a16="http://schemas.microsoft.com/office/drawing/2014/main" id="{C1B2EDA6-9140-4F53-A4B8-734A2C8F0E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16723</xdr:rowOff>
    </xdr:to>
    <xdr:grpSp>
      <xdr:nvGrpSpPr>
        <xdr:cNvPr id="2" name="Grupo 1">
          <a:extLst>
            <a:ext uri="{FF2B5EF4-FFF2-40B4-BE49-F238E27FC236}">
              <a16:creationId xmlns:a16="http://schemas.microsoft.com/office/drawing/2014/main" id="{61170996-1CA1-4445-97FD-E8161EBB9510}"/>
            </a:ext>
          </a:extLst>
        </xdr:cNvPr>
        <xdr:cNvGrpSpPr/>
      </xdr:nvGrpSpPr>
      <xdr:grpSpPr>
        <a:xfrm>
          <a:off x="8349824" y="434340"/>
          <a:ext cx="2181315" cy="725383"/>
          <a:chOff x="9020178" y="739686"/>
          <a:chExt cx="2674428" cy="797962"/>
        </a:xfrm>
      </xdr:grpSpPr>
      <xdr:grpSp>
        <xdr:nvGrpSpPr>
          <xdr:cNvPr id="3" name="Grupo 2">
            <a:extLst>
              <a:ext uri="{FF2B5EF4-FFF2-40B4-BE49-F238E27FC236}">
                <a16:creationId xmlns:a16="http://schemas.microsoft.com/office/drawing/2014/main" id="{CCF5690D-C6ED-4DAB-9B3D-741DD2BFDCFC}"/>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752C5878-645E-4008-A1A7-452B4CF21C65}"/>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DB22C710-2CA0-46CD-89D6-6FEC57C41AAD}"/>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F1CB589F-64F4-4F53-848F-6B59F54D559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FA68DDF1-E066-40FD-9317-67B63BDFC21C}"/>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859AB484-B1F9-4E85-91EB-7D033BE717EA}"/>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387E8C81-9F00-46E0-97BE-1B79C53B8C71}"/>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BDEE80F-14BB-4C9A-AE2F-FD0F85443A33}"/>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58CEE4F1-B3D9-4295-BB1C-CC31526A086C}"/>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523F52AB-181E-40F8-8929-136AD075AA2F}"/>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98115C6C-669C-4D6F-A764-4035004800D1}"/>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CF4D6328-48B2-4D4E-ACF4-5F53299479EF}"/>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CA940C0C-45F0-456E-8778-3CA9D9CD532F}"/>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3F7DDBC5-78C8-46B7-B7B5-71F6C7E38C69}"/>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1D3BB412-7603-4030-8BFE-5EF00A1764E2}"/>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8ECFFD08-A342-439C-852E-51199317C456}"/>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341741E-529D-4D44-81F4-73FEA81A3A27}"/>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DD0E01E-DD9D-4482-B5BC-9BD1B4EE441A}"/>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31A4BE28-C490-43E6-9FB5-4BA08668A872}"/>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D40D2FB5-AAAA-4F08-B8D7-A2D19699E772}"/>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A4894213-AE57-4441-AC57-89B6103C3B93}"/>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CCFFBD56-1AD5-4AB1-8414-B25B13AA741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E51A432E-98BD-4DD9-ABEE-A3FD1717ED82}"/>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70D8675D-5D31-474A-B187-AC6CF072C523}"/>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D0BE1399-BFE2-421B-BFB9-A22595BCB287}"/>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832BD379-FDE8-442E-B005-53ACCDA28D98}"/>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5DB16B47-1C98-4494-9132-56FE1074226F}"/>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33028CB6-A4A2-4347-9A31-B03C63C1111D}"/>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E3E87B38-3436-44F5-A15E-A8FAEC84049A}"/>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B09F17B5-42CE-4146-BAF5-A664B0ED9DF7}"/>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CA1341AA-E6E1-462A-A1B1-71267183726B}"/>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D79017FF-5545-41AC-B833-96D1200BAFD2}"/>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BC3AFE31-E390-4DDC-B453-481CF249A78C}"/>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5C841FF2-4A41-4DA9-BC35-B28395CB9347}"/>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E6EBA452-FE96-46C9-BA3D-4910FAB761D8}"/>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8BBFDCE5-E262-4DB2-8759-04EAC6D3F8FD}"/>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AE2B1F0D-464F-4AE7-AC28-F2DF5C5AC951}"/>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BD70E01F-8EE6-4914-80F5-9BCF87E05C8F}"/>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23AC2D66-844C-486C-9F60-96211297A088}"/>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B8D5E2DC-7F60-45CC-8185-D7AAB13A6705}"/>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F153755D-8765-4D32-A136-BDDA2A8DBAEC}"/>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FC43B4BF-AD83-41BE-B453-1B250344C913}"/>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AA521E6A-73F4-4BDF-ABBD-685BA396AC6D}"/>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DAE3B55C-DFCF-4141-9A27-77B2EC875148}"/>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22A04EBB-BC9C-47A2-87D7-56931191AF4E}"/>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4D30B229-D62E-465E-A00C-E6262FB325D2}"/>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A8D6D484-B65D-4517-A664-88B605A80BBA}"/>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62C07CD8-E390-4FEC-B94F-83DE66F15D8F}"/>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5D6B1F7A-C48D-4E23-8A7D-D89A9B5B91AE}"/>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E4EBAD40-6ED3-4E50-B8B4-C36B5611604C}"/>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ED7CC921-BE5D-4644-AB8F-83404E2BF811}"/>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AE23A35-6DB9-40C0-87E1-77DE16B66CB9}"/>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27E1FC-F32E-44A5-AFBF-896353713C2D}"/>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7B0EF785-ABCA-4C6E-A4B5-73C6F7EFD88B}"/>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166F209A-5E94-4202-A1D2-C5A1F918A596}"/>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9D0C3397-8ED1-4990-A4C1-B01D51249966}"/>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6B3248CA-E3F0-4C3B-9251-54F881E02ACC}"/>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BF6BB72F-59B2-4799-934F-C202734566CD}"/>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E80F3394-1A8E-4F9A-A90D-67ABCF165ED6}"/>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F007CDFA-BD56-4113-B887-50972DD5FD13}"/>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99D085E4-E2B5-42FD-9AC0-B16613FF1AA5}"/>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66391A56-664E-4F3D-A9CA-DB1B46AFF408}"/>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92AE48E2-AB56-4FCC-9449-7891AF9A3FB5}"/>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5697A54E-3ACF-46F4-8DAC-12082D0DF1A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6344D607-8304-43F6-BF5A-9D0D2A851AE8}"/>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C12E1099-8A9E-4F0F-AB8E-E294A0861695}"/>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80082C7E-7B99-4331-ACFC-49C1B4EF5416}"/>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B1115DEC-5E94-460A-8EA8-06E8B823D1B3}"/>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DF0764A9-1289-4BFF-98D9-C4C35D47EB01}"/>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39CCFE23-9E54-4FD0-BFB2-C315422A2E9D}"/>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B24C23FC-9337-4BB2-A0E1-9CD2B3F1D2D6}"/>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77E3A9A1-FD91-401A-B144-C2B1D3B611C6}"/>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10078A6F-F6D5-4457-97EA-3FC019C812F2}"/>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1E5A6CF0-5E40-4DFF-B621-896924A995F3}"/>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7F707CBE-5545-4CA0-94C5-773ABD17B90F}"/>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5D0A3EB2-447F-4C2B-B69E-719D591B12BC}"/>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131446</xdr:colOff>
      <xdr:row>157</xdr:row>
      <xdr:rowOff>103789</xdr:rowOff>
    </xdr:from>
    <xdr:to>
      <xdr:col>4</xdr:col>
      <xdr:colOff>846910</xdr:colOff>
      <xdr:row>182</xdr:row>
      <xdr:rowOff>178404</xdr:rowOff>
    </xdr:to>
    <xdr:graphicFrame macro="">
      <xdr:nvGraphicFramePr>
        <xdr:cNvPr id="79" name="Gráfico 78">
          <a:extLst>
            <a:ext uri="{FF2B5EF4-FFF2-40B4-BE49-F238E27FC236}">
              <a16:creationId xmlns:a16="http://schemas.microsoft.com/office/drawing/2014/main" id="{4A32DE8C-2CD4-42D3-8D7A-AED6BCC4F8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15</xdr:col>
      <xdr:colOff>184652</xdr:colOff>
      <xdr:row>157</xdr:row>
      <xdr:rowOff>121345</xdr:rowOff>
    </xdr:from>
    <xdr:to>
      <xdr:col>26</xdr:col>
      <xdr:colOff>379771</xdr:colOff>
      <xdr:row>183</xdr:row>
      <xdr:rowOff>5461</xdr:rowOff>
    </xdr:to>
    <xdr:graphicFrame macro="">
      <xdr:nvGraphicFramePr>
        <xdr:cNvPr id="81" name="Gráfico 80">
          <a:extLst>
            <a:ext uri="{FF2B5EF4-FFF2-40B4-BE49-F238E27FC236}">
              <a16:creationId xmlns:a16="http://schemas.microsoft.com/office/drawing/2014/main" id="{06D054A2-0BE1-4F23-81D5-6CE2E001D7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5</xdr:col>
      <xdr:colOff>63409</xdr:colOff>
      <xdr:row>157</xdr:row>
      <xdr:rowOff>123280</xdr:rowOff>
    </xdr:from>
    <xdr:to>
      <xdr:col>15</xdr:col>
      <xdr:colOff>49582</xdr:colOff>
      <xdr:row>183</xdr:row>
      <xdr:rowOff>9300</xdr:rowOff>
    </xdr:to>
    <xdr:graphicFrame macro="">
      <xdr:nvGraphicFramePr>
        <xdr:cNvPr id="82" name="Gráfico 81">
          <a:extLst>
            <a:ext uri="{FF2B5EF4-FFF2-40B4-BE49-F238E27FC236}">
              <a16:creationId xmlns:a16="http://schemas.microsoft.com/office/drawing/2014/main" id="{D2750E45-4DAC-4A82-AAA9-030275FBE0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514347</xdr:colOff>
      <xdr:row>2</xdr:row>
      <xdr:rowOff>57150</xdr:rowOff>
    </xdr:from>
    <xdr:to>
      <xdr:col>6</xdr:col>
      <xdr:colOff>759547</xdr:colOff>
      <xdr:row>6</xdr:row>
      <xdr:rowOff>20533</xdr:rowOff>
    </xdr:to>
    <xdr:grpSp>
      <xdr:nvGrpSpPr>
        <xdr:cNvPr id="2" name="Grupo 1">
          <a:extLst>
            <a:ext uri="{FF2B5EF4-FFF2-40B4-BE49-F238E27FC236}">
              <a16:creationId xmlns:a16="http://schemas.microsoft.com/office/drawing/2014/main" id="{8540D9B9-7FD5-4B7C-B24B-C075F2DA0BDA}"/>
            </a:ext>
          </a:extLst>
        </xdr:cNvPr>
        <xdr:cNvGrpSpPr/>
      </xdr:nvGrpSpPr>
      <xdr:grpSpPr>
        <a:xfrm>
          <a:off x="8352061" y="438150"/>
          <a:ext cx="2204629" cy="725383"/>
          <a:chOff x="9020178" y="739686"/>
          <a:chExt cx="2674428" cy="797962"/>
        </a:xfrm>
      </xdr:grpSpPr>
      <xdr:grpSp>
        <xdr:nvGrpSpPr>
          <xdr:cNvPr id="3" name="Grupo 2">
            <a:extLst>
              <a:ext uri="{FF2B5EF4-FFF2-40B4-BE49-F238E27FC236}">
                <a16:creationId xmlns:a16="http://schemas.microsoft.com/office/drawing/2014/main" id="{ADDF619E-79DB-4092-8F34-60069858CDE8}"/>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EEE3ECB5-A784-4B0C-8E8D-A3D78587B0FA}"/>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2A27F23A-A980-499D-A389-A2FD591EF558}"/>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CDD1369B-D1A0-470F-8E11-BABE4E71C7C6}"/>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C8E2E26E-8F87-4C6C-ACEB-82A44CBD7C0C}"/>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A6FE54B8-1E1F-4ECE-AD5F-BA40818DF7FE}"/>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95E081CF-C24A-42E0-8EDA-9BE4768EBAA6}"/>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CF0BBA24-B720-4FF6-BD17-54B86766B18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C80A0433-1CC9-4FDD-9726-7FA7B4614B93}"/>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4CCAD754-9B7A-4BEB-9889-BA7DC79EE58C}"/>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D2106CFF-7A48-4F1E-976F-E7F89BCC660F}"/>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A6DF6DBE-619C-47FE-9256-38985E34D70D}"/>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D5A6185F-D304-407A-B7D6-4E284601F232}"/>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907FD79B-8705-40C6-93EC-396B9320F65B}"/>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49D4914A-DE3E-4605-A183-8618024A015B}"/>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AC36FB71-7C83-4058-8474-3FB76FB12F71}"/>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833CFDE0-5754-44E8-9E31-ADD09678E0D7}"/>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E92FEBE0-741B-4E0C-8320-D4130D00DB47}"/>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7313575B-D93E-4C3C-B1F0-1F59B010D32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16B64A1-2FE1-445F-880C-B871E67D11F6}"/>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C3B12F86-622F-4F01-9FB3-CA2520EFE34F}"/>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552064F6-2E29-44E3-8B9B-2203B1C171CF}"/>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F5B8293F-7C30-4698-B426-C48A9D18597F}"/>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ADF542F7-D61E-4E08-867D-A076DEE5FC98}"/>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D51BFB1B-0E4D-4BB2-A7AC-28828067504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C5C6334F-440C-42E3-BDC2-4406444AFD78}"/>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6E764F9C-7BB1-4F95-B994-D76D4EC07124}"/>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2D359FE5-C2A4-4281-AF05-C88CFAFCD2F4}"/>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E623187A-F72A-4E48-9F3B-39E8A39BCDAE}"/>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DA8AF605-B596-4E24-8BB0-6E0EA68F8E28}"/>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1B6EA400-5A76-4260-9D9B-03C162874C95}"/>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2133285E-655B-4191-8B16-5C909F1FC5F9}"/>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59D25469-5562-46C5-81C7-0FEBC2AEF087}"/>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580C086-BBB0-47BD-A7C5-C39DC93B554D}"/>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E032985D-070A-4310-8DB9-BBAF34AFAABE}"/>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18AD2B-97C2-4D97-A718-A2EB2C0936B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AEA1ED0E-EBEA-40F6-8C61-335FF81DF811}"/>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90E09F90-C2CB-4D32-9C52-4746B4F5C903}"/>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A2CE7DEE-E7D9-4F7C-BE47-91CB05088B29}"/>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A57C64D7-334D-4736-97E5-1E42177F258F}"/>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896ADC61-EA09-4AD3-8FCF-C3E4669F12D3}"/>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FDBD15EA-16F6-4B83-96AC-782F538CF0AA}"/>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E0223609-4744-4AA1-92C7-379359E2BED3}"/>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1E5471BA-945A-4F1B-B222-504B79C00648}"/>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EBB60E4E-FDD8-489D-9087-B0E90FC29E13}"/>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8CB6A6F6-78FB-4CE4-AC12-09E867237BC8}"/>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A9C34495-928E-432F-8F89-0152A13A9643}"/>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1F32C093-8ABB-4A90-9B07-C51C6A417547}"/>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E38F49EB-8A51-42EE-B28D-3FF4316307AB}"/>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7D8CE230-7B82-4DDA-909D-C6DC62E7B4FF}"/>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44A55F8E-91D9-4AB8-A97D-95C151F98369}"/>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2939B23D-5685-4F72-964D-8C359922DC8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8087D1F7-AC9C-4E8F-BE5F-97D11FBD1F93}"/>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B641D4F5-EDEE-410E-BB78-10910F79A73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A24B8FC8-AA1D-46C1-A333-12F6E8F2895B}"/>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A3EFF413-D44D-45C6-8D3B-14644C191188}"/>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257B7CC5-7FE0-4D74-9EC0-23487D342965}"/>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69A35130-D657-4B4A-8B24-28FF592F5B5E}"/>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7095E12E-09F4-4BC9-B9EB-631FA3A48C45}"/>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CA8685E8-E107-41C0-9352-05A03ED841FC}"/>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B17B70CD-F968-487B-AE91-AFD36784CABA}"/>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91D3B7AB-1298-4D6A-AEC3-08E4603E0801}"/>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FD277180-1D83-4EE7-93DA-86EF52FD4AE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384C2359-C698-48F8-873A-B93923CFEE6E}"/>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6040A946-F5CF-495A-8C3A-D6DEA98B49C3}"/>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6BE5AA69-B197-4DDF-8E20-DE0EDA510B4F}"/>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F1354000-2983-4C44-A71C-BDC999CFE0B2}"/>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F894E4D9-9526-4974-8F27-A19F3C7EA8B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A1567082-94F4-41BE-A158-6B8E5C7B7622}"/>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F58E6909-C9D2-4B20-AF2A-4FB3966F2DCD}"/>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336A86DB-7BF7-444D-A5A0-EF2B2D4D519B}"/>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57463247-3EF1-445E-B028-96AE7793E262}"/>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3B4F2560-EDEB-49B2-8BBB-8572FCA3FA4E}"/>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4E274993-5CD6-4971-8B7D-7417AF85AB5C}"/>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D13F5AE0-9C0F-4BF1-8801-4467DC58D1BE}"/>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6A68C7C8-364B-4696-86ED-9ED518D2B55B}"/>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1369695</xdr:colOff>
      <xdr:row>157</xdr:row>
      <xdr:rowOff>55348</xdr:rowOff>
    </xdr:from>
    <xdr:to>
      <xdr:col>6</xdr:col>
      <xdr:colOff>486250</xdr:colOff>
      <xdr:row>181</xdr:row>
      <xdr:rowOff>35719</xdr:rowOff>
    </xdr:to>
    <xdr:graphicFrame macro="">
      <xdr:nvGraphicFramePr>
        <xdr:cNvPr id="79" name="Gráfico 78">
          <a:extLst>
            <a:ext uri="{FF2B5EF4-FFF2-40B4-BE49-F238E27FC236}">
              <a16:creationId xmlns:a16="http://schemas.microsoft.com/office/drawing/2014/main" id="{CD349C18-6912-42D0-AA75-2D3A951CC3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16</xdr:col>
      <xdr:colOff>304800</xdr:colOff>
      <xdr:row>157</xdr:row>
      <xdr:rowOff>15875</xdr:rowOff>
    </xdr:from>
    <xdr:to>
      <xdr:col>28</xdr:col>
      <xdr:colOff>72230</xdr:colOff>
      <xdr:row>180</xdr:row>
      <xdr:rowOff>175316</xdr:rowOff>
    </xdr:to>
    <xdr:graphicFrame macro="">
      <xdr:nvGraphicFramePr>
        <xdr:cNvPr id="80" name="Gráfico 79">
          <a:extLst>
            <a:ext uri="{FF2B5EF4-FFF2-40B4-BE49-F238E27FC236}">
              <a16:creationId xmlns:a16="http://schemas.microsoft.com/office/drawing/2014/main" id="{6907AB6F-66F1-41CA-8675-4A813091B0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590551</xdr:colOff>
      <xdr:row>157</xdr:row>
      <xdr:rowOff>62865</xdr:rowOff>
    </xdr:from>
    <xdr:to>
      <xdr:col>15</xdr:col>
      <xdr:colOff>762001</xdr:colOff>
      <xdr:row>181</xdr:row>
      <xdr:rowOff>50856</xdr:rowOff>
    </xdr:to>
    <xdr:graphicFrame macro="">
      <xdr:nvGraphicFramePr>
        <xdr:cNvPr id="81" name="Gráfico 80">
          <a:extLst>
            <a:ext uri="{FF2B5EF4-FFF2-40B4-BE49-F238E27FC236}">
              <a16:creationId xmlns:a16="http://schemas.microsoft.com/office/drawing/2014/main" id="{2EC92A7E-6FF1-4F45-9824-E9EC3C21C5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16723</xdr:rowOff>
    </xdr:to>
    <xdr:grpSp>
      <xdr:nvGrpSpPr>
        <xdr:cNvPr id="2" name="Grupo 1">
          <a:extLst>
            <a:ext uri="{FF2B5EF4-FFF2-40B4-BE49-F238E27FC236}">
              <a16:creationId xmlns:a16="http://schemas.microsoft.com/office/drawing/2014/main" id="{7E7A3684-C34C-4301-8992-2CA98377F53F}"/>
            </a:ext>
          </a:extLst>
        </xdr:cNvPr>
        <xdr:cNvGrpSpPr/>
      </xdr:nvGrpSpPr>
      <xdr:grpSpPr>
        <a:xfrm>
          <a:off x="10186032" y="434340"/>
          <a:ext cx="2209890" cy="725383"/>
          <a:chOff x="9020178" y="739686"/>
          <a:chExt cx="2674428" cy="797962"/>
        </a:xfrm>
      </xdr:grpSpPr>
      <xdr:grpSp>
        <xdr:nvGrpSpPr>
          <xdr:cNvPr id="3" name="Grupo 2">
            <a:extLst>
              <a:ext uri="{FF2B5EF4-FFF2-40B4-BE49-F238E27FC236}">
                <a16:creationId xmlns:a16="http://schemas.microsoft.com/office/drawing/2014/main" id="{F07C6E8E-87B7-4645-AD94-AE610D9F255A}"/>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48574BD1-14A6-4C8D-8E80-B885873CABD1}"/>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16B371E0-F60E-476D-BFA1-626001929F6C}"/>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BC11E385-514A-4FAF-A786-CBCA6B7843C1}"/>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FC586B03-50F9-4550-A24F-707F582ADD8D}"/>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4201EA7C-42E0-490E-ABF7-7FD1341D0D3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2E5984E0-C867-48FC-82CC-ABA1FB0B8397}"/>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D7E15DC1-9C74-473B-A255-875BB3A85C34}"/>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46D9965F-06B8-4041-90F2-A715EFDB3D2D}"/>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79AD2327-819C-4DFB-9F2F-9A9A7E64AFB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35CD1212-7F6C-458F-939C-62A821935F48}"/>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DF49CD54-125B-407A-8FC4-69F1091BB3A2}"/>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90871D41-0D8C-4E31-855F-4388871075FE}"/>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943F9D44-6E96-4329-99FD-133E6EC776A4}"/>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8EB5994A-2426-4BF8-AD9C-C36E1C59ABED}"/>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BA79E08F-0DD2-47E0-BEED-56A7A8376405}"/>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5194A11C-C9DC-40EB-91F8-3CB702D9A76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3D0E222D-3A73-46F1-B04C-2892BE3C9B0B}"/>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EB0F45B5-049F-4DE6-A8BA-1D38996A9E73}"/>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7E8C8015-DF4F-4907-97DA-E45E05958AE7}"/>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D74C600E-537D-4AC9-A97F-7DBD0762B97F}"/>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929A741C-5A33-446A-9631-28B2015D957C}"/>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1595C976-C1CD-408C-B9DB-DF58B5E08F82}"/>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673330E2-7EA5-4E4B-A1CB-2FB3FBBCEA2C}"/>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64D80101-F3B8-444E-BCA0-8D67F2FB1C11}"/>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7990D2FB-9A61-456A-AC1D-56DD667EFCC6}"/>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B0D8881F-326C-439E-A78D-84D8E8D0E2BC}"/>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D1267D2E-06AF-47C1-A7B9-6DF4261121CE}"/>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F406781D-C129-463A-9F12-7AEC944F85A6}"/>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1322B39F-39EE-48FA-9F6B-6EE0D9AA944D}"/>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9AB30E8E-2895-41D1-876E-9CAB8F9A4BDF}"/>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6BC6103F-B231-444A-BC71-0313F3ADAD63}"/>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FCFF7B84-89DE-4D41-B831-C46DD50E59A8}"/>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3985319C-85C0-4DB7-8F76-B7C7FA8CE3C4}"/>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64A8968B-4446-40D4-8C7A-51EF5E6F60F3}"/>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83492C30-0FAA-45D0-83D3-2A006FFAF42F}"/>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52E0D54E-417B-474D-B81A-3131DD1524C5}"/>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3C70286-A05E-4CA6-AB8F-EA940763180B}"/>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9559DB04-922C-4E19-B5BF-B4A98719860D}"/>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31777FEE-76AF-40F4-8E84-D0599DAA8E66}"/>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BCBED10-4049-4194-BFE4-0CA09560B106}"/>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31103365-989D-4BA0-B273-6F1E40290F96}"/>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DAE6CB75-FA6C-4D56-ABB6-1F0AB4C46C0C}"/>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CC4AF9EF-465B-4652-927E-D9DD0BD4BA0F}"/>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7351C69D-2E12-4945-91F3-26FE1AC64576}"/>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CB4BE2CE-85E9-490A-9740-F08A4A5B6CF5}"/>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8EE83611-CBEB-43FF-8B70-722D2CB161F1}"/>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F469080C-BCB6-4469-9277-9CC4D2BAC2D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9A77B1A0-77AC-4EA5-8B97-E33E02830901}"/>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8F7C2EDA-0ED8-4B79-BED8-891659B940E6}"/>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8BFD20C1-BF94-4B27-9FD5-234370B54BB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E6080A6C-4267-466C-80BC-6B6CF43D2233}"/>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625ACEC0-43F8-4068-821F-D69E98F19853}"/>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5605E9D5-5C0A-461F-AFD7-B0933895C27E}"/>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4E4D4766-A84F-4415-9AA8-91EE2F5293D9}"/>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EBA307F4-93C8-4A27-8178-76B3B212233E}"/>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475A43C9-FBA5-44C7-941A-55ED6C52CA81}"/>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4F4B84D4-822D-466C-B97C-710AB4570772}"/>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C6E7453D-43F0-4AA6-BECE-BD0C336A52BF}"/>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F7E80791-BE6C-4559-9E69-64B9918DE687}"/>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89479AF-938A-438B-840D-5109B70578B1}"/>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B01F887E-FA9B-4A7B-8E38-6E13EC94E444}"/>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FBD9C75B-6DC3-46CA-8E38-73AB82C87AE3}"/>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8513DD46-575D-4A1C-9E76-91B6C3A370C9}"/>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523D2F6C-9EB1-4395-89EF-28EF89DD1FBC}"/>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43F7A74C-C2A3-41BD-95CD-ABF80DD3886C}"/>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B0C2E201-29AC-42A8-8E28-8D43ECAA7A53}"/>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9452CBC7-4F94-4581-9BFF-64BFD98E2D83}"/>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6796882E-E06D-4B7E-82B2-5D07400FF409}"/>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3272BC-1E82-461B-BAC0-4C89624A5EDF}"/>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E9A94DE1-8A12-4F40-88FF-842B527D9F4A}"/>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9C96F000-9D22-4070-BBFC-E616E0AEF6CE}"/>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629001CB-07A2-4649-ACB9-601F2CF42B79}"/>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E6F375E-1F0A-45A6-BB35-C060619AB7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BAEDEC8C-0189-42BB-BD8D-5343F126E586}"/>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FE0178BD-C061-487E-962D-AB8E8B4B4753}"/>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1369695</xdr:colOff>
      <xdr:row>157</xdr:row>
      <xdr:rowOff>55348</xdr:rowOff>
    </xdr:from>
    <xdr:to>
      <xdr:col>6</xdr:col>
      <xdr:colOff>486250</xdr:colOff>
      <xdr:row>181</xdr:row>
      <xdr:rowOff>35719</xdr:rowOff>
    </xdr:to>
    <xdr:graphicFrame macro="">
      <xdr:nvGraphicFramePr>
        <xdr:cNvPr id="79" name="Gráfico 78">
          <a:extLst>
            <a:ext uri="{FF2B5EF4-FFF2-40B4-BE49-F238E27FC236}">
              <a16:creationId xmlns:a16="http://schemas.microsoft.com/office/drawing/2014/main" id="{99A74228-81C0-4A45-A4C4-F798DA1959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18</xdr:col>
      <xdr:colOff>466726</xdr:colOff>
      <xdr:row>157</xdr:row>
      <xdr:rowOff>47625</xdr:rowOff>
    </xdr:from>
    <xdr:to>
      <xdr:col>30</xdr:col>
      <xdr:colOff>238126</xdr:colOff>
      <xdr:row>181</xdr:row>
      <xdr:rowOff>16566</xdr:rowOff>
    </xdr:to>
    <xdr:graphicFrame macro="">
      <xdr:nvGraphicFramePr>
        <xdr:cNvPr id="80" name="Gráfico 79">
          <a:extLst>
            <a:ext uri="{FF2B5EF4-FFF2-40B4-BE49-F238E27FC236}">
              <a16:creationId xmlns:a16="http://schemas.microsoft.com/office/drawing/2014/main" id="{29FB1FFA-7754-4D4B-8BFE-F53F19FEFF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587375</xdr:colOff>
      <xdr:row>157</xdr:row>
      <xdr:rowOff>47625</xdr:rowOff>
    </xdr:from>
    <xdr:to>
      <xdr:col>18</xdr:col>
      <xdr:colOff>302100</xdr:colOff>
      <xdr:row>181</xdr:row>
      <xdr:rowOff>26091</xdr:rowOff>
    </xdr:to>
    <xdr:graphicFrame macro="">
      <xdr:nvGraphicFramePr>
        <xdr:cNvPr id="81" name="Gráfico 80">
          <a:extLst>
            <a:ext uri="{FF2B5EF4-FFF2-40B4-BE49-F238E27FC236}">
              <a16:creationId xmlns:a16="http://schemas.microsoft.com/office/drawing/2014/main" id="{B5B2E43D-F190-4148-B27A-5F7D684F03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7</xdr:col>
      <xdr:colOff>180975</xdr:colOff>
      <xdr:row>7</xdr:row>
      <xdr:rowOff>63803</xdr:rowOff>
    </xdr:from>
    <xdr:to>
      <xdr:col>14</xdr:col>
      <xdr:colOff>492199</xdr:colOff>
      <xdr:row>97</xdr:row>
      <xdr:rowOff>103921</xdr:rowOff>
    </xdr:to>
    <xdr:pic>
      <xdr:nvPicPr>
        <xdr:cNvPr id="82" name="Imagen 81">
          <a:extLst>
            <a:ext uri="{FF2B5EF4-FFF2-40B4-BE49-F238E27FC236}">
              <a16:creationId xmlns:a16="http://schemas.microsoft.com/office/drawing/2014/main" id="{C3ECBBC2-0450-44D4-88E6-B8C16E91EA56}"/>
            </a:ext>
          </a:extLst>
        </xdr:cNvPr>
        <xdr:cNvPicPr>
          <a:picLocks noChangeAspect="1"/>
        </xdr:cNvPicPr>
      </xdr:nvPicPr>
      <xdr:blipFill>
        <a:blip xmlns:r="http://schemas.openxmlformats.org/officeDocument/2006/relationships" r:embed="rId26"/>
        <a:stretch>
          <a:fillRect/>
        </a:stretch>
      </xdr:blipFill>
      <xdr:spPr>
        <a:xfrm>
          <a:off x="11249025" y="1330628"/>
          <a:ext cx="5597599" cy="20689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514347</xdr:colOff>
      <xdr:row>2</xdr:row>
      <xdr:rowOff>57150</xdr:rowOff>
    </xdr:from>
    <xdr:to>
      <xdr:col>6</xdr:col>
      <xdr:colOff>759547</xdr:colOff>
      <xdr:row>6</xdr:row>
      <xdr:rowOff>20533</xdr:rowOff>
    </xdr:to>
    <xdr:grpSp>
      <xdr:nvGrpSpPr>
        <xdr:cNvPr id="2" name="Grupo 1">
          <a:extLst>
            <a:ext uri="{FF2B5EF4-FFF2-40B4-BE49-F238E27FC236}">
              <a16:creationId xmlns:a16="http://schemas.microsoft.com/office/drawing/2014/main" id="{32A6C682-6DE8-44C0-B62D-8F168016ECD9}"/>
            </a:ext>
          </a:extLst>
        </xdr:cNvPr>
        <xdr:cNvGrpSpPr/>
      </xdr:nvGrpSpPr>
      <xdr:grpSpPr>
        <a:xfrm>
          <a:off x="8346014" y="438150"/>
          <a:ext cx="2213700" cy="725383"/>
          <a:chOff x="9020178" y="739686"/>
          <a:chExt cx="2674428" cy="797962"/>
        </a:xfrm>
      </xdr:grpSpPr>
      <xdr:grpSp>
        <xdr:nvGrpSpPr>
          <xdr:cNvPr id="3" name="Grupo 2">
            <a:extLst>
              <a:ext uri="{FF2B5EF4-FFF2-40B4-BE49-F238E27FC236}">
                <a16:creationId xmlns:a16="http://schemas.microsoft.com/office/drawing/2014/main" id="{AEDA9B7C-2D85-45F2-8602-340A4D6B7CA4}"/>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D248FD2E-F60A-41B5-8769-DD6870246D83}"/>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85A25F6B-1C43-4505-9219-D30128C461F5}"/>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20F3FCB3-DF5A-417D-93C6-2B951FB93EE6}"/>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4FAE9599-37A3-4497-B0D1-A489F3C0B7CA}"/>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9A175B3A-7536-442E-A6A6-196F1FC1D7F5}"/>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B8ED0D6F-487A-4471-8932-33708058037B}"/>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CF0346FF-D65B-4251-AB33-839F5EAB1EB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79818261-1F08-41FE-B40D-D2566591841F}"/>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FE531738-9ECB-456D-BDF3-F5F0D12B3EEB}"/>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658BDCAA-23CD-438C-AFFA-DDD1DA1DEF7E}"/>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966333E9-19FB-4D29-B307-218338B7977E}"/>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A85A38A7-4F7B-4AB2-8D18-795627FE17B1}"/>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FA407D9E-B290-44E6-B96F-3486A47D3164}"/>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D8E45FE3-0725-4189-BEDE-74342BBFC75E}"/>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E749E3D2-0258-4E3F-98AF-F55679FD8BEC}"/>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19E5D0FC-1A54-4E44-8BA8-DC3958F8BE6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67BA33B2-FDB4-40A8-98DE-62C72D45E3E6}"/>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C2FF5C4D-580A-482E-9719-2459C59D6507}"/>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C50EFC58-C6EB-4886-B3B9-BAF1F6D954C3}"/>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4F241C95-6494-4733-9FC5-ED1017361D6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29B34BF9-DA17-45D4-AC4E-F5AE2FB2DF5C}"/>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C5A74949-CDE6-4C43-A862-5F6FD597165F}"/>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DCC52D72-116B-443E-BC64-76EF5C46AF23}"/>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2D4CD771-23E5-4BC5-AB15-AAB853EF59A5}"/>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46ED237B-CD59-47EC-BF54-13AF96CC45B7}"/>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1CFF485-40D8-4FD7-9B90-017476C8B745}"/>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4E6BB2D0-1699-442B-B901-6E2D4C137E23}"/>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7DDA93CA-111A-4031-944B-74A49A0CD755}"/>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6E4BEFC3-29FF-4B49-B3B4-8BA1F5CCEE3B}"/>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12EDFB36-D0B1-408A-939D-B820B60820DC}"/>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2D494846-6AC0-493E-BFED-602A68EFEB49}"/>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F9517A8F-8F02-415C-AA01-C4AAD15CC669}"/>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89C31791-E4BB-4C5A-9E4D-A556CA098149}"/>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74620CF1-AA2C-41EB-8554-C302D84DE3F2}"/>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35E1AD4A-5A95-4641-8499-09015597FE9D}"/>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E426C989-562D-4EFC-9049-BCFDCB3E4C92}"/>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6F7EB4A-9AE2-4A58-AD85-15C8CA7DD994}"/>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195FE7D0-8EAA-42B1-963D-E4DD12A995D4}"/>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7F491F58-11AC-4B7F-BD46-CEB6ACC53FBD}"/>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C07BDDD7-7F79-4000-9362-422E8F19A183}"/>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C19B03F-9EBB-4D14-AA5D-99D46422F257}"/>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A458A349-D61C-44E2-8734-2C81E3A2A4C8}"/>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42DA0AF9-0C2E-4ED3-B0ED-1DA605E41DBB}"/>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3329452E-2400-455B-981A-B65FF244CB69}"/>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9FD2710D-93D4-46FA-A3BF-5E259F29E582}"/>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95D4F219-01B2-4BA7-A79C-29386ECC9AAC}"/>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A64397AA-6C4E-4F17-8142-C9CFED65154A}"/>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97BC21E4-C7C3-46F7-B3A1-A2FA9F78CFF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CF9466CF-109A-43F2-AFFB-8B9E0D16C314}"/>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B785DD01-15C3-414A-902D-FF434E407569}"/>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B69FAC4B-052B-46C0-BCBD-A5A75395F6FB}"/>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859970D4-96F5-4C42-9B22-22C2BCF63EB3}"/>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CEA18194-F055-4732-AC6C-3C360E3AAE77}"/>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DED4B4AE-BBAD-4C4A-9576-E72CD327D9E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668902F6-87DC-4DDD-BD8D-E6AD6C32D55E}"/>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B673D5FF-A695-4FF2-B42D-E75D22FBF95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E8BFFB7B-B817-4C1C-8893-485CBBF2FC56}"/>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7D75E1FA-693B-4EA6-BF25-5FE3CA3847AD}"/>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16D252EF-90E3-4F63-8086-16FBC9AF2C6A}"/>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923FC8A3-94F0-43BE-A36F-B874C4EB6D34}"/>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5AD87047-DBE1-4CB2-922B-C07981560F5E}"/>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9FD63501-A84D-44C2-8EB2-0249A7E158B1}"/>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A9B3B2E5-0AF0-4B9C-9617-5F43508CF84E}"/>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247A63F1-50AC-408E-A889-5D75E712FBC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A5402234-6679-4212-A636-68F45B475F1B}"/>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2588E944-7979-4559-BC10-08F0B200101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A07614E9-C1CA-4132-920A-3EF24FBDF1A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5C071CFC-88C1-4D14-8A64-EDB2310AA815}"/>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A80F562B-B687-4F37-8DEF-2D5BC93DA76C}"/>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C7E92C54-9E29-49E0-9C23-E39862E135E7}"/>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9C9ED487-3963-41D4-8CA9-4EE3E3BA96F9}"/>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4D146EC6-3F62-45B8-9557-408DFC06BB77}"/>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7ED66638-85BB-45F0-A8DB-28A0811BB5B4}"/>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4C6A417B-4425-4AC2-BF62-110D07810FEA}"/>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55B43C91-F1F7-4136-926C-AF58B1C5A64C}"/>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93345</xdr:colOff>
      <xdr:row>157</xdr:row>
      <xdr:rowOff>102974</xdr:rowOff>
    </xdr:from>
    <xdr:to>
      <xdr:col>2</xdr:col>
      <xdr:colOff>4105275</xdr:colOff>
      <xdr:row>179</xdr:row>
      <xdr:rowOff>161926</xdr:rowOff>
    </xdr:to>
    <xdr:graphicFrame macro="">
      <xdr:nvGraphicFramePr>
        <xdr:cNvPr id="79" name="Gráfico 78">
          <a:extLst>
            <a:ext uri="{FF2B5EF4-FFF2-40B4-BE49-F238E27FC236}">
              <a16:creationId xmlns:a16="http://schemas.microsoft.com/office/drawing/2014/main" id="{4DF6E1C5-BFE1-4A1D-9C1D-5F103A7078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2</xdr:col>
      <xdr:colOff>4206240</xdr:colOff>
      <xdr:row>157</xdr:row>
      <xdr:rowOff>102870</xdr:rowOff>
    </xdr:from>
    <xdr:to>
      <xdr:col>9</xdr:col>
      <xdr:colOff>581025</xdr:colOff>
      <xdr:row>179</xdr:row>
      <xdr:rowOff>167640</xdr:rowOff>
    </xdr:to>
    <xdr:graphicFrame macro="">
      <xdr:nvGraphicFramePr>
        <xdr:cNvPr id="80" name="Gráfico 79">
          <a:extLst>
            <a:ext uri="{FF2B5EF4-FFF2-40B4-BE49-F238E27FC236}">
              <a16:creationId xmlns:a16="http://schemas.microsoft.com/office/drawing/2014/main" id="{D745530C-4DF0-4601-A7BC-FD433483B0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7</xdr:col>
      <xdr:colOff>612322</xdr:colOff>
      <xdr:row>7</xdr:row>
      <xdr:rowOff>149678</xdr:rowOff>
    </xdr:from>
    <xdr:to>
      <xdr:col>15</xdr:col>
      <xdr:colOff>154742</xdr:colOff>
      <xdr:row>155</xdr:row>
      <xdr:rowOff>51457</xdr:rowOff>
    </xdr:to>
    <xdr:pic>
      <xdr:nvPicPr>
        <xdr:cNvPr id="81" name="Imagen 80">
          <a:extLst>
            <a:ext uri="{FF2B5EF4-FFF2-40B4-BE49-F238E27FC236}">
              <a16:creationId xmlns:a16="http://schemas.microsoft.com/office/drawing/2014/main" id="{30D57016-DA81-40A0-AC22-1903D0B3D618}"/>
            </a:ext>
          </a:extLst>
        </xdr:cNvPr>
        <xdr:cNvPicPr>
          <a:picLocks noChangeAspect="1"/>
        </xdr:cNvPicPr>
      </xdr:nvPicPr>
      <xdr:blipFill>
        <a:blip xmlns:r="http://schemas.openxmlformats.org/officeDocument/2006/relationships" r:embed="rId25"/>
        <a:stretch>
          <a:fillRect/>
        </a:stretch>
      </xdr:blipFill>
      <xdr:spPr>
        <a:xfrm>
          <a:off x="11389179" y="1483178"/>
          <a:ext cx="5407099" cy="2119743"/>
        </a:xfrm>
        <a:prstGeom prst="rect">
          <a:avLst/>
        </a:prstGeom>
      </xdr:spPr>
    </xdr:pic>
    <xdr:clientData/>
  </xdr:twoCellAnchor>
  <xdr:twoCellAnchor>
    <xdr:from>
      <xdr:col>10</xdr:col>
      <xdr:colOff>81642</xdr:colOff>
      <xdr:row>157</xdr:row>
      <xdr:rowOff>57151</xdr:rowOff>
    </xdr:from>
    <xdr:to>
      <xdr:col>19</xdr:col>
      <xdr:colOff>285750</xdr:colOff>
      <xdr:row>180</xdr:row>
      <xdr:rowOff>54429</xdr:rowOff>
    </xdr:to>
    <xdr:graphicFrame macro="">
      <xdr:nvGraphicFramePr>
        <xdr:cNvPr id="83" name="Gráfico 82">
          <a:extLst>
            <a:ext uri="{FF2B5EF4-FFF2-40B4-BE49-F238E27FC236}">
              <a16:creationId xmlns:a16="http://schemas.microsoft.com/office/drawing/2014/main" id="{73D26A02-86E8-4528-B567-2357D4D5B42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16723</xdr:rowOff>
    </xdr:to>
    <xdr:grpSp>
      <xdr:nvGrpSpPr>
        <xdr:cNvPr id="2" name="Grupo 1">
          <a:extLst>
            <a:ext uri="{FF2B5EF4-FFF2-40B4-BE49-F238E27FC236}">
              <a16:creationId xmlns:a16="http://schemas.microsoft.com/office/drawing/2014/main" id="{908C5C75-BBF7-4054-8B97-574A1C002EC5}"/>
            </a:ext>
          </a:extLst>
        </xdr:cNvPr>
        <xdr:cNvGrpSpPr/>
      </xdr:nvGrpSpPr>
      <xdr:grpSpPr>
        <a:xfrm>
          <a:off x="8349824" y="434340"/>
          <a:ext cx="2209890" cy="725383"/>
          <a:chOff x="9020178" y="739686"/>
          <a:chExt cx="2674428" cy="797962"/>
        </a:xfrm>
      </xdr:grpSpPr>
      <xdr:grpSp>
        <xdr:nvGrpSpPr>
          <xdr:cNvPr id="3" name="Grupo 2">
            <a:extLst>
              <a:ext uri="{FF2B5EF4-FFF2-40B4-BE49-F238E27FC236}">
                <a16:creationId xmlns:a16="http://schemas.microsoft.com/office/drawing/2014/main" id="{2034C293-C6B8-451D-A9D4-0E4A5075B4B2}"/>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B042E479-7319-41A7-94F6-F7EEF122CF37}"/>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80DFB47F-B2D6-4D7D-B051-7D51DF88FA81}"/>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1B2414C3-CF3E-4E1E-BA99-B35E3054AB0F}"/>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C23E3FA6-2378-4A1E-9E66-13A0BA302D0E}"/>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7C770B8A-B36C-4BBD-BE6C-F5932F5D0BD4}"/>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6347FB81-3E54-4776-B7AE-546400CF07EC}"/>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22477ECA-C82E-42EA-8344-736A0E6C10C9}"/>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7F8B1C70-32A5-4908-8D69-F60B3D498B91}"/>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6C22CC65-2485-4F36-8A55-EE22F02D0F26}"/>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CD7CF875-4892-43FE-B9E0-8A4A571460CD}"/>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A8B0875D-C07F-4099-9F69-59F93ACCBB5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574EA9B6-EDF1-42B8-B80C-AAA66CE88203}"/>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4331FDB6-4588-49F4-9E25-6D945F9593A5}"/>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B4FE7781-B864-4C2C-9F2F-6FFBC459C44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8A276C1F-B691-4CFF-82DC-EA3861849DA5}"/>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95B1DE02-8BD7-4C40-8995-9FFBA8E93086}"/>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E11D7278-9439-4F9B-AD79-A5006C59526D}"/>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DFD769E8-A7EA-45CC-AC1A-41AD91321596}"/>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33F7D2A7-B34F-47B6-BD5D-F753C62866CB}"/>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1288863F-47DD-4553-8262-CF1D84AE9675}"/>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A9BF6399-F478-4228-8133-AD7B9E3AE4BA}"/>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772B55A8-77AF-4A10-8907-38D24730900B}"/>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C2005C46-5DFD-4C35-94BF-6F3593BA9BEB}"/>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2D11ED5-BF1D-41CF-A99E-15106076D91E}"/>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BBF8D349-C523-4839-A740-475BB66C6FF1}"/>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27EC0FBE-EEA9-4A7A-A074-35632CC06BED}"/>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2C240B3E-6DCE-4BDB-A292-5882261AD7E7}"/>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34D008FD-4411-4303-A22E-57D9DE42EC7B}"/>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99893979-25CE-4E58-9720-A82C1F1080BC}"/>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43CFA78E-F4B7-4CBD-94FE-4D2F5F9C6CB3}"/>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984C9C12-96D1-49CF-8A5A-7BCAF6819E4E}"/>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501FB7F6-133B-404E-84CF-EEBBF3ADFE37}"/>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3745C5DE-CA6E-42BE-B71D-E4E33DEB580D}"/>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6DF211BE-A3EE-4F73-9116-8B8C56B74681}"/>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F7F1BF9F-3B88-43BB-B3C6-18B99A1C9B1D}"/>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DE05C3F6-2F81-4388-871A-DFC2368844BE}"/>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7774DB24-2A9B-4693-899D-C939EE3961BA}"/>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E2F9D6AB-FC63-4E52-8F6D-EA6915C74EEB}"/>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E58C3E86-5078-4F81-B9EE-FD9DD67F0A3F}"/>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2AB84196-B4F3-4943-A76D-301E96F16FA7}"/>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AD11B195-AA72-4CC5-92AE-BFFC518E3759}"/>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7DD49783-017E-46BF-A567-98214878107A}"/>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24DDCBF1-09B2-47E2-9EB1-78B51592ED4E}"/>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F5DAC18F-68C5-475B-A255-3619A345B9DB}"/>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EF6810E5-2DAE-489A-AF6A-CC80A1CB5981}"/>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9F4F4E78-7461-4BFE-8949-7614CC401105}"/>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6C782C7D-9298-4588-BF2A-CBFB0B893953}"/>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94FEE94D-4285-44EC-841B-3CA4BA13C6BF}"/>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C620B2C5-0FED-42F2-94DE-3358F2D62109}"/>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804FCBA-2187-4AA3-87AA-AD3D0082251E}"/>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84649729-AC01-438B-BD26-429892214F7E}"/>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F2A440DC-84D0-4D6E-BB5E-90D788A64021}"/>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90A95DB6-FB44-46EB-98F3-8FE43CC387AE}"/>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EE97B0BA-8166-4780-B2F6-D09E4ECA6488}"/>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2D17073B-FC8F-42D8-A5FE-40B4CB2C0392}"/>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EEC91CA6-F92E-44AB-B4AC-E8F1BEB54CF6}"/>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25A4F5AD-4799-4A27-841B-50138231E218}"/>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21C2D1F3-6E7C-4685-A2EB-AF8897E767F5}"/>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3ECA029-D330-411D-8725-9D13691B6CF2}"/>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E817CE29-16B6-4EBE-86A2-82E5AF6905AD}"/>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2164E7AF-F2F6-4E2A-87EC-C28E98083CE4}"/>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9218F6CE-DFCA-4CFA-A2E5-8F16896DF50A}"/>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5DD0DDD0-6AE8-4964-96FB-56D8FDAEB40F}"/>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F06C5CDC-1369-46EB-A130-067DFA70314F}"/>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AA196A95-D7EC-4CB4-A628-78EA9C76481B}"/>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F550CA90-188D-4243-A8B0-A233821BF351}"/>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3AF38C49-1245-46F1-8179-A559B785660C}"/>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EFC35BB5-8C36-4A09-87CE-D7211A6FE172}"/>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9369E83B-B0FC-4520-ADB0-933EA20F155F}"/>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38F5902C-1187-4B4D-A116-BA282853BC2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8519D336-2AD4-426F-9E79-6A0861468911}"/>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27B222DC-770F-48C2-99D2-1E6DF393F665}"/>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2281597C-9377-4A85-9B81-C03BFC45B1CF}"/>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5EEC9E7A-0330-4A0A-AE46-FFE24D43209B}"/>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B1570FC0-B38C-40E2-A77A-9056D3D7ED66}"/>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445227</xdr:colOff>
      <xdr:row>157</xdr:row>
      <xdr:rowOff>59158</xdr:rowOff>
    </xdr:from>
    <xdr:to>
      <xdr:col>5</xdr:col>
      <xdr:colOff>342900</xdr:colOff>
      <xdr:row>183</xdr:row>
      <xdr:rowOff>21227</xdr:rowOff>
    </xdr:to>
    <xdr:graphicFrame macro="">
      <xdr:nvGraphicFramePr>
        <xdr:cNvPr id="79" name="Gráfico 78">
          <a:extLst>
            <a:ext uri="{FF2B5EF4-FFF2-40B4-BE49-F238E27FC236}">
              <a16:creationId xmlns:a16="http://schemas.microsoft.com/office/drawing/2014/main" id="{A856FA80-39E3-459E-B474-D3EEF26C1C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15</xdr:col>
      <xdr:colOff>307975</xdr:colOff>
      <xdr:row>157</xdr:row>
      <xdr:rowOff>47625</xdr:rowOff>
    </xdr:from>
    <xdr:to>
      <xdr:col>28</xdr:col>
      <xdr:colOff>338637</xdr:colOff>
      <xdr:row>182</xdr:row>
      <xdr:rowOff>188764</xdr:rowOff>
    </xdr:to>
    <xdr:graphicFrame macro="">
      <xdr:nvGraphicFramePr>
        <xdr:cNvPr id="80" name="Gráfico 79">
          <a:extLst>
            <a:ext uri="{FF2B5EF4-FFF2-40B4-BE49-F238E27FC236}">
              <a16:creationId xmlns:a16="http://schemas.microsoft.com/office/drawing/2014/main" id="{514C296D-F41B-4FCA-B360-A0ED90BF2D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5</xdr:col>
      <xdr:colOff>666751</xdr:colOff>
      <xdr:row>157</xdr:row>
      <xdr:rowOff>56515</xdr:rowOff>
    </xdr:from>
    <xdr:to>
      <xdr:col>15</xdr:col>
      <xdr:colOff>25400</xdr:colOff>
      <xdr:row>183</xdr:row>
      <xdr:rowOff>2074</xdr:rowOff>
    </xdr:to>
    <xdr:graphicFrame macro="">
      <xdr:nvGraphicFramePr>
        <xdr:cNvPr id="81" name="Gráfico 80">
          <a:extLst>
            <a:ext uri="{FF2B5EF4-FFF2-40B4-BE49-F238E27FC236}">
              <a16:creationId xmlns:a16="http://schemas.microsoft.com/office/drawing/2014/main" id="{BE947D12-9A9A-4047-8935-82864BB82B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61367</xdr:colOff>
      <xdr:row>9</xdr:row>
      <xdr:rowOff>22190</xdr:rowOff>
    </xdr:to>
    <xdr:sp macro="" textlink="">
      <xdr:nvSpPr>
        <xdr:cNvPr id="2" name="EsriDoNotEdit">
          <a:extLst>
            <a:ext uri="{FF2B5EF4-FFF2-40B4-BE49-F238E27FC236}">
              <a16:creationId xmlns:a16="http://schemas.microsoft.com/office/drawing/2014/main" id="{40722A17-AC08-44EC-8280-1FE489587D25}"/>
            </a:ext>
          </a:extLst>
        </xdr:cNvPr>
        <xdr:cNvSpPr/>
      </xdr:nvSpPr>
      <xdr:spPr>
        <a:xfrm>
          <a:off x="0" y="0"/>
          <a:ext cx="7967117" cy="1650965"/>
        </a:xfrm>
        <a:prstGeom prst="rect">
          <a:avLst/>
        </a:prstGeom>
        <a:noFill/>
      </xdr:spPr>
      <xdr:txBody>
        <a:bodyPr wrap="none" lIns="91440" tIns="45720" rIns="91440" bIns="45720">
          <a:spAutoFit/>
        </a:bodyPr>
        <a:lstStyle/>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NO EDITAR </a:t>
          </a:r>
        </a:p>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Solo para uso de Esri</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ESCARGAS2019\PLAN%20DE%20ACCION\SEPTIEMBRE\YORLINS%20SEPTIEMBRE\6%20INTERIOR%20-%20FORMATO%20REPORYTE%20DE%20INFORMACION%20DE%20INTERIOR%20(1)%20%20CORTE%20%20SEPT%20%203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OS%202021\SEGUIMIENTO%20AL%20PLAN%20DE%20DESARROLLO%20BOLIVAR%20PRIMERO%202020%20-%202023\copia%20de%20seguridad%20MATRIZ%20PLAN%20DE%20ACCION%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Plan de Accion final"/>
      <sheetName val="PI_Ejec"/>
    </sheetNames>
    <sheetDataSet>
      <sheetData sheetId="0">
        <row r="3">
          <cell r="G3" t="str">
            <v>1. Fin de la pobreza</v>
          </cell>
          <cell r="K3" t="str">
            <v>Mantenimiento</v>
          </cell>
        </row>
        <row r="4">
          <cell r="B4" t="str">
            <v>Educación</v>
          </cell>
          <cell r="C4" t="str">
            <v>A.1</v>
          </cell>
          <cell r="G4" t="str">
            <v>2. Hambre cero</v>
          </cell>
          <cell r="K4" t="str">
            <v>Reducción</v>
          </cell>
        </row>
        <row r="5">
          <cell r="B5" t="str">
            <v>Salud</v>
          </cell>
          <cell r="C5" t="str">
            <v>A.2</v>
          </cell>
          <cell r="G5" t="str">
            <v>3. Salud y bienestar</v>
          </cell>
          <cell r="K5" t="str">
            <v>Incremento</v>
          </cell>
        </row>
        <row r="6">
          <cell r="B6" t="str">
            <v>APSB</v>
          </cell>
          <cell r="C6" t="str">
            <v>A.3</v>
          </cell>
          <cell r="G6" t="str">
            <v>4. Educación de calidad</v>
          </cell>
        </row>
        <row r="7">
          <cell r="B7" t="str">
            <v>Deporte y Recreación</v>
          </cell>
          <cell r="C7" t="str">
            <v>A.4</v>
          </cell>
          <cell r="G7" t="str">
            <v>5. Igualdad de género</v>
          </cell>
        </row>
        <row r="8">
          <cell r="B8" t="str">
            <v>Cultura</v>
          </cell>
          <cell r="C8" t="str">
            <v>A.5</v>
          </cell>
          <cell r="G8" t="str">
            <v>6. Agua limpia y saneamiento</v>
          </cell>
        </row>
        <row r="9">
          <cell r="B9" t="str">
            <v>Servicios Públicos</v>
          </cell>
          <cell r="C9" t="str">
            <v>A.6</v>
          </cell>
          <cell r="G9" t="str">
            <v>7. Energía Asequible y no contaminante</v>
          </cell>
        </row>
        <row r="10">
          <cell r="B10" t="str">
            <v>Vivienda</v>
          </cell>
          <cell r="C10" t="str">
            <v>A.7</v>
          </cell>
          <cell r="G10" t="str">
            <v>8. Trabajo decente y crecimiento económico</v>
          </cell>
        </row>
        <row r="11">
          <cell r="B11" t="str">
            <v>Agropecuario</v>
          </cell>
          <cell r="C11" t="str">
            <v>A.8</v>
          </cell>
          <cell r="G11" t="str">
            <v>9. Industria, innovación e infraestructura</v>
          </cell>
        </row>
        <row r="12">
          <cell r="B12" t="str">
            <v>Transporte</v>
          </cell>
          <cell r="C12" t="str">
            <v>A.9</v>
          </cell>
          <cell r="G12" t="str">
            <v>10. Reducción de las desigualdades</v>
          </cell>
        </row>
        <row r="13">
          <cell r="B13" t="str">
            <v>Ambiental</v>
          </cell>
          <cell r="C13" t="str">
            <v>A.10</v>
          </cell>
          <cell r="G13" t="str">
            <v>11. Ciudades y comunidades sostenibles</v>
          </cell>
        </row>
        <row r="14">
          <cell r="B14" t="str">
            <v>Centros de Reclusión</v>
          </cell>
          <cell r="C14" t="str">
            <v>A.11</v>
          </cell>
          <cell r="G14" t="str">
            <v>12. Producción y consumo responsables</v>
          </cell>
        </row>
        <row r="15">
          <cell r="B15" t="str">
            <v>Prevención y atención de desastres</v>
          </cell>
          <cell r="C15" t="str">
            <v>A.12</v>
          </cell>
          <cell r="G15" t="str">
            <v>13. Acción por el clima</v>
          </cell>
        </row>
        <row r="16">
          <cell r="B16" t="str">
            <v>Promoción del desarrollo</v>
          </cell>
          <cell r="C16" t="str">
            <v>A.13</v>
          </cell>
          <cell r="G16" t="str">
            <v>14. Vida Submarina</v>
          </cell>
        </row>
        <row r="17">
          <cell r="B17" t="str">
            <v>Atención a grupos vulnerables - promoción social</v>
          </cell>
          <cell r="C17" t="str">
            <v>A.14</v>
          </cell>
          <cell r="G17" t="str">
            <v>15. Vida de ecosistemas terrestres</v>
          </cell>
        </row>
        <row r="18">
          <cell r="B18" t="str">
            <v xml:space="preserve">Equipamiento </v>
          </cell>
          <cell r="C18" t="str">
            <v>A.15</v>
          </cell>
          <cell r="G18" t="str">
            <v>16. Paz, justicia e instituciones sólidas</v>
          </cell>
        </row>
        <row r="19">
          <cell r="B19" t="str">
            <v>Desarrollo comunitario</v>
          </cell>
          <cell r="C19" t="str">
            <v>A.16</v>
          </cell>
          <cell r="G19" t="str">
            <v>17. Alianzas para lograr los objetivos</v>
          </cell>
        </row>
        <row r="20">
          <cell r="B20" t="str">
            <v>Fortalecimiento institucional</v>
          </cell>
          <cell r="C20" t="str">
            <v>A.17</v>
          </cell>
        </row>
        <row r="21">
          <cell r="B21" t="str">
            <v>Justicia y seguridad</v>
          </cell>
          <cell r="C21" t="str">
            <v>A.18</v>
          </cell>
        </row>
      </sheetData>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ente"/>
      <sheetName val="RESUMEN"/>
      <sheetName val="tabladincumpli"/>
      <sheetName val="CUMPLIMIENTO "/>
      <sheetName val="METAS POR AÑO"/>
      <sheetName val="CUMPLIMIENTO_TOTAL"/>
      <sheetName val="CUMPLIMIENTO_EJE1"/>
      <sheetName val="CUMPLIMIENTO_EJE2"/>
      <sheetName val="CUMPLIMIENTO_EJE3"/>
      <sheetName val="CUMPLIMIENTO_EJE4"/>
      <sheetName val="CUMPLIMIENTO_EJE5"/>
      <sheetName val="CUMPLIMIENTO_EJE6"/>
      <sheetName val="ESRI_MAPINFO_SHEET"/>
    </sheetNames>
    <sheetDataSet>
      <sheetData sheetId="0">
        <row r="307">
          <cell r="AB307" t="str">
            <v>SECRETARÍA DE PLANEACIÓN</v>
          </cell>
        </row>
        <row r="311">
          <cell r="AM311">
            <v>5.0000000000000001E-3</v>
          </cell>
          <cell r="AT311">
            <v>1</v>
          </cell>
          <cell r="AU311"/>
          <cell r="AV311"/>
          <cell r="AW311"/>
          <cell r="AY311">
            <v>50</v>
          </cell>
          <cell r="BD311">
            <v>0</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me" refreshedDate="44122.565348032411" createdVersion="6" refreshedVersion="6" minRefreshableVersion="3" recordCount="561" xr:uid="{9E692BAF-0EC4-4E97-A4A7-8F63BDDDF637}">
  <cacheSource type="worksheet">
    <worksheetSource ref="A13:CC567" sheet="Fuente"/>
  </cacheSource>
  <cacheFields count="38">
    <cacheField name="Cod EJE" numFmtId="0">
      <sharedItems containsSemiMixedTypes="0" containsString="0" containsNumber="1" containsInteger="1" minValue="1" maxValue="6" count="6">
        <n v="1"/>
        <n v="2"/>
        <n v="3"/>
        <n v="4"/>
        <n v="5"/>
        <n v="6"/>
      </sharedItems>
    </cacheField>
    <cacheField name="Eje" numFmtId="0">
      <sharedItems count="6">
        <s v="BOLIVAR PROGRESA, SUPERACIÓN DE LA POBREZA"/>
        <s v="BOLÍVAR COMPETITIVO PARA LA INCLUSIÓN SOCIAL"/>
        <s v="GESTIÓN AMBIENTAL Y ORDENAMIENTO TERRITORIAL_x000a_"/>
        <s v="BOLÍVAR PRIMERO EN FORTALECIMIENTO INSTITUCIONAL Y SEGURIDAD EFECTIVA PARA TODOS"/>
        <s v="BOLÍVAR PRIMERO EN RURALIDAD"/>
        <s v="GRUPOS POBLACIONALES"/>
      </sharedItems>
    </cacheField>
    <cacheField name="EVALUACION EJE CUATRINIO" numFmtId="9">
      <sharedItems containsString="0" containsBlank="1" containsNumber="1" minValue="5.7971014492753631E-2" maxValue="0.299210390168822"/>
    </cacheField>
    <cacheField name="EVALUACION EJE 2020" numFmtId="9">
      <sharedItems containsString="0" containsBlank="1" containsNumber="1" minValue="0.42199436042040506" maxValue="0.77633333333333332"/>
    </cacheField>
    <cacheField name="Cod Linea" numFmtId="0">
      <sharedItems containsBlank="1" count="38">
        <s v="1.1 "/>
        <s v="1.2 "/>
        <s v="1.3"/>
        <s v="1.4"/>
        <s v="1.5"/>
        <s v="1.6"/>
        <s v="2.1"/>
        <s v="2.2"/>
        <s v="2.3"/>
        <s v="2.4"/>
        <s v="2.5"/>
        <s v="2.6"/>
        <s v="2.7"/>
        <s v="2.8"/>
        <s v="2.9"/>
        <s v="2.10"/>
        <s v="3.1"/>
        <s v="3.2"/>
        <s v="3.3"/>
        <s v="3.4"/>
        <s v="4.1"/>
        <s v="4.2"/>
        <s v="4.3"/>
        <s v="4.4"/>
        <s v="4.5"/>
        <s v="4.6"/>
        <s v="5.1"/>
        <s v="6.1"/>
        <s v="6.2"/>
        <s v="6.3"/>
        <s v="6.4"/>
        <s v="6.5"/>
        <s v="6.6"/>
        <s v="6.7"/>
        <s v="6.8"/>
        <s v="6.9"/>
        <s v="6.10"/>
        <m u="1"/>
      </sharedItems>
    </cacheField>
    <cacheField name="Lineas Estrategica" numFmtId="0">
      <sharedItems containsBlank="1" count="53">
        <s v="Plan Departamental de Emergencia Social Para la_x000a_Igualdad y la Inclusión"/>
        <s v="Bolívar Primero Educa"/>
        <s v="Bolivar Primero en Salud"/>
        <s v="Hábitat"/>
        <s v="Bolívar Primero en Recreacion y Deportes"/>
        <s v="Bolívar Promueve el Ate, la Cultura y Salvaguarda su Patrimonio"/>
        <s v="Bolívar Primero en Infraestructura y Transporte"/>
        <s v="Bolívar Primero en Movilidad"/>
        <s v="Bolívar Primero en Tecnologias de la Información y las Comunicaciones"/>
        <s v="Bolívar Primero en Desarrollo Economico"/>
        <s v="Bolívar Primero en agricultura, Explotaciones Pecuarias, Pesca Forestal y Seguridad Alimentaria"/>
        <s v="Bolivar Primero en Productividad y Competitividad Minero Energetica"/>
        <s v="Bolivar Primero en Turismo"/>
        <s v="Trabajo Decente y Sosytenibilidad del Empleo en Escenarios de Amenazas"/>
        <s v="Bolivar Primero en Ciencia Tecnologia e Innvacion"/>
        <s v="Formacion para el Trabajo"/>
        <s v="Bolivar Primero Gestión Ambientaly Desarrollo Territorial "/>
        <s v="Bolívar Primero en Conservacion Ambiental"/>
        <s v="Bolivar Primero en Adaptación y Mitigación del Cambio Climatico"/>
        <s v="Gestión Del Riesgo"/>
        <s v="Bolívar Seguro"/>
        <s v="BOLÍVAR PRIMERO EN DERECHOS HUMANOS"/>
        <s v="BOLÍVAR CON SISTEMA INTEGRAL DE PLANIFICACIÓN DEPARTAMENTAL"/>
        <s v="BOLÍVAR CON INSTITUCIONALIDAD AL SERVICIO DE LA CIUDADANÍA. "/>
        <s v="BOLÍVAR CONTROLA LAS FINANZAS PÚBLICAS. "/>
        <s v="4.6. BOLÍVAR PRIMERO PROPICIA LA PARTICIPACIÓN CIUDADANA."/>
        <s v="5.1 Bolívar al campo: plan de atención rural integral y prioritaria - PARIP "/>
        <s v="CAPITULO ATENCIÓN A VÍCTIMAS, CONSTRUCCIÓN DE PAZ Y RECONCILIACIÓN "/>
        <s v="CAPITULO DE MINORÍAS ÉTNICAS."/>
        <s v="CAPITULO NIÑOS Y NIÑAS EN SU PRIMERA INFANCIA, INFANCIA Y ADOLESCENCIA."/>
        <s v="JUVENTUD"/>
        <s v="BOLÍVAR GARANTIZA DERECHOS Y CUBRE LAS NECESIDADES DE ENVEJECIMIENTO Y VEJEZ. "/>
        <s v="BOLÍVAR PRIMERO GARANTIZA LA EQUIDAD DE GÉNERO Y LA AUTONOMÍA DE LA MUJER BOLIVARENSE."/>
        <s v="CAPITULO LGTBIQ"/>
        <s v="CAPITULO POBLACIÓN EN SITUACIÓN DE DISCAPACIDAD"/>
        <s v="ASUNTOS RELIGIOSOS"/>
        <s v="SISTEMA PENITENCIARIO"/>
        <m u="1"/>
        <s v="6.10. SISTEMA PENITENCIARIO" u="1"/>
        <s v="6.8. CAPITULO POBLACIÓN EN SITUACIÓN DE DISCAPACIDAD" u="1"/>
        <s v="6.1.  CAPITULO ATENCIÓN A VÍCTIMAS, CONSTRUCCIÓN DE PAZ Y RECONCILIACIÓN " u="1"/>
        <s v="6.6. BOLÍVAR PRIMERO GARANTIZA LA EQUIDAD DE GÉNERO Y LA AUTONOMÍA DE LA MUJER BOLIVARENSE." u="1"/>
        <s v="4.3. BOLÍVAR CON SISTEMA INTEGRAL DE PLANIFICACION DEPARTAMENTAL" u="1"/>
        <s v="4.3. BOLÍVAR CON SISTEMA INTEGRAL DE PLANIFICACIÓN DEPARTAMENTAL" u="1"/>
        <s v="6.7. CAPITULO LGTBIQ" u="1"/>
        <s v="4.4. BOLÍVAR CON INSTITUCIONALIDAD AL SERVICIO DE LA CIUDADANÍA. " u="1"/>
        <s v="6.2. CAPITULO DE MINORÍAS ÉTNICAS." u="1"/>
        <s v="4.2. BOLÍVAR PRIMERO EN DERECHOS HUMANOS" u="1"/>
        <s v="6.3. CAPITULO NIÑOS Y NIÑAS EN SU PRIMERA INFANCIA, INFANCIA Y ADOLESCENCIA." u="1"/>
        <s v="Eje Transversal, Grupos Poblacionales" u="1"/>
        <s v="4.5. BOLÍVAR CONTROLA LAS FINANZAS PÚBLICAS. " u="1"/>
        <s v="6.9. ASUNTOS RELIGIOSOS" u="1"/>
        <s v="6.4. JUVENTUD" u="1"/>
      </sharedItems>
    </cacheField>
    <cacheField name="EVALUACION LINEA ESTRATEGICA CUATRENIO" numFmtId="9">
      <sharedItems containsString="0" containsBlank="1" containsNumber="1" minValue="0" maxValue="0.61904761904761896"/>
    </cacheField>
    <cacheField name="EVALUAICON LINEA ESTRATEGICA AÑO 2020" numFmtId="9">
      <sharedItems containsBlank="1" containsMixedTypes="1" containsNumber="1" minValue="0" maxValue="1"/>
    </cacheField>
    <cacheField name="Cod- Prog" numFmtId="0">
      <sharedItems count="102">
        <s v="1.1.1"/>
        <s v="1.2.1"/>
        <s v="1.2.2"/>
        <s v="1.2.3"/>
        <s v="1.3.1 "/>
        <s v="1.3.2"/>
        <s v="1.3.3"/>
        <s v="1.3.4"/>
        <s v="1.3.5"/>
        <s v="1.3.6"/>
        <s v="1.3.7"/>
        <s v="1.3.8"/>
        <s v="1.3.9"/>
        <s v="1.3.10"/>
        <s v="1.4.1"/>
        <s v="1.4.2"/>
        <s v="1.5.1"/>
        <s v="1.5.2"/>
        <s v="1.5.3"/>
        <s v="1.5.4"/>
        <s v="1.5.5"/>
        <s v="1.5.6"/>
        <s v="1.6.1"/>
        <s v="1.6.2"/>
        <s v="2.1.1"/>
        <s v="2.1.2 "/>
        <s v="2.2.1"/>
        <s v="2.2.2 "/>
        <s v="2.3.1"/>
        <s v="2.4.1"/>
        <s v="2.4.2"/>
        <s v="2.5.1"/>
        <s v="2.5.2"/>
        <s v="2.5.3"/>
        <s v="2.5.4"/>
        <s v="2.5.5 "/>
        <s v="2.5.6"/>
        <s v="2.6.1"/>
        <s v="2.6.2"/>
        <s v="2.6.3"/>
        <s v="2.6.4"/>
        <s v="2.6.5"/>
        <s v="2.7.1 "/>
        <s v="2.8.1 "/>
        <s v="2.8.2"/>
        <s v="2.9.1"/>
        <s v="2.9.2"/>
        <s v="2.9.3"/>
        <s v="2.9.4"/>
        <s v="2.10.1"/>
        <s v="3.1.1 "/>
        <s v="3.2.1"/>
        <s v="3.3.1"/>
        <s v="3.4.1 "/>
        <s v="3.4.2 "/>
        <s v="3.4.3"/>
        <s v="4.1.1"/>
        <s v="4.2.1"/>
        <s v="4.3.1"/>
        <s v="4.3.2"/>
        <s v="4.4.1"/>
        <s v="4.4.2"/>
        <s v="4.4.3"/>
        <s v="4.4.4"/>
        <s v="4.4.5"/>
        <s v="4.4.6"/>
        <s v="4.4.7"/>
        <s v="4.4.8"/>
        <s v="4.5.1"/>
        <s v="4.6.1"/>
        <s v="4.6.2 "/>
        <s v="4.6.3"/>
        <s v="4.6.4"/>
        <s v="5.1.1"/>
        <s v="5.1.2"/>
        <s v="5.1.3"/>
        <s v="5.1.4"/>
        <s v="5.1.5"/>
        <s v="5.1.6"/>
        <s v="6.1.1"/>
        <s v="6.1.2"/>
        <s v="6.1.3 "/>
        <s v="6.1.4 "/>
        <s v="6.1.5 "/>
        <s v="6.1.6"/>
        <s v="6.1.7"/>
        <s v="6,2,1"/>
        <s v="6.2.2"/>
        <s v="6.2.3"/>
        <s v="6,2,4"/>
        <s v="6,2,5"/>
        <s v="6.2.6"/>
        <s v="6.2.7"/>
        <s v="6.2.8"/>
        <s v="6.3.1"/>
        <s v="6.4.1"/>
        <s v="6.5.1"/>
        <s v="6.6.1"/>
        <s v="6.7.1"/>
        <s v="6.8.1"/>
        <s v="6.9.1"/>
        <s v="6.10.1"/>
      </sharedItems>
    </cacheField>
    <cacheField name="Programa" numFmtId="0">
      <sharedItems count="144">
        <s v="Bolívar primero plan departamental de emergencia social para la igualdad y la inclusión PLADES."/>
        <s v="Bolívar Primero en calidad educativa."/>
        <s v="Bolívar primero en cobertura."/>
        <s v="Bolívar primero en eficiencia y fortalecimiento institucional de la educación"/>
        <s v="Salud Ambiental"/>
        <s v="Vida Saludables y Condiciones no Transmisibles"/>
        <s v="Convivencia Social y Salud Mental "/>
        <s v="Seguridad Alimentaria y Nutricional"/>
        <s v="Sexualidad, Derechos Sexuales y Reproductivos"/>
        <s v="Vida Saludable y Enfermedades Gtransmisibles"/>
        <s v="Salud Publica en Emergencias y Desastres"/>
        <s v="Salud y Ambito Laboral"/>
        <s v="Gestión Diferencial de las Poblaciones Vulnerables"/>
        <s v="Fortalecimiento de la Autoridad Sanitaria en Salud"/>
        <s v="Primero la vivienda"/>
        <s v="Primero el Agua"/>
        <s v="Infraestructura Deportiva"/>
        <s v="Altos logros y liderazgo deportivo Bolívar en los juegos nacionales 2023"/>
        <s v="Deporte formativo escuelas para todos  y  Deporte formativo supérate Intercolegiados"/>
        <s v="Deporte social Comunitario"/>
        <s v="Las escuelas recreativas…un espacio lúdico del Bolívar primero"/>
        <s v="Hábitos y estilos de vida saludable “Bolívar primero…por tú salud ponte pilas"/>
        <s v="Bolívar primero en arte y patrimonio"/>
        <s v="Bolívar primero en cultura"/>
        <s v="Plan de conectividad para Bolívar"/>
        <s v="Bolívar se desarrolla por el Río"/>
        <s v="Bolívar Primero con Movilidad Segura."/>
        <s v="Bolívar Primero con Infraestructura y Transporte y Movilidad Activa"/>
        <s v="TIC’s para la competitividad y la inclusión social"/>
        <s v="2.4.1._x0009_Promoción del Departamento para la competitividad"/>
        <s v="Bolivar Primero en emprendimiento y encadenamientos productivos"/>
        <s v="Tecnología al campo"/>
        <s v="Bolívar fomenta la agroindustria"/>
        <s v="Del campo al mercado"/>
        <s v="Apoyo a los municipios en el ordenamiento social de la propiedad."/>
        <s v="Bancarización "/>
        <s v="Seguridad alimentaria "/>
        <s v="Minería responsable y segura"/>
        <s v="Minería productiva y competitiva. "/>
        <s v="Ambiente y Minería de la mano, bajo el marco de la legalidad."/>
        <s v="Minería y el desarrollo social participativo "/>
        <s v="Bolívar primero en gas y energía para todos "/>
        <s v="Bolívar primero en turismo, destinos mágicos"/>
        <s v="Empleo y trabajo decente"/>
        <s v="Bolívar Primero en beneficios BEPS y desempleo"/>
        <s v="Fortalecimiento del sistema territorial del CTI."/>
        <s v="Apropiación social del CTEI y vocaciones para la consolidación de una sociedad del conocimiento."/>
        <s v="Formación del capital humano de alto nivel del CTEI"/>
        <s v="Innovación para el desarrollo sostenible"/>
        <s v="Bolívar primero facilita el acceso a la educación superior, la educación para el trabajo y el desarrollo humano"/>
        <s v="Ordenamiento territorial y para un bolívar primero en institucionalidad"/>
        <s v="Ambiente por un Bolívar primero en conservación"/>
        <s v="Cambio Climatico"/>
        <s v="Conocimiento del Riesgo"/>
        <s v="Disminución y/o Elimicación del Riesgo"/>
        <s v="Atencion de Desastre"/>
        <s v="Fortalecimiento integral de la seguridad y convivencia"/>
        <s v="Garantía integral de los derechos humanos."/>
        <s v="Fortalecimiento al sistema de Planeación departamental."/>
        <s v="Programa Descentralización y planeación territorial"/>
        <s v="Atención y servicios al ciudadano de calidad al alcance de todos."/>
        <s v="Gestión Documental"/>
        <s v="Gobierno Digital"/>
        <s v="Infraestructura física para todos"/>
        <s v="Asistencia Municipal"/>
        <s v="Programa: Cuerpos Bomberos"/>
        <s v="Mejores funcionarios, mejor gobierno"/>
        <s v="Bolívar primero en el territorio: diálogo y acción"/>
        <s v="Fortalecimiento financiero administrativo y fiscal de la secretaria de hacienda "/>
        <s v="Participación Ciudadana"/>
        <s v="Organismos comunales"/>
        <s v="Procesos electorales"/>
        <s v="Construcción de Cultura Ciudadana"/>
        <s v="Bolívar garantiza derechos sociales en el campo.  "/>
        <s v="Bolívar Educa en el campo"/>
        <s v="Bolívar lleva Servicios Públicos al campo."/>
        <s v="Ingreso, trabajo y productividad en el campo. "/>
        <s v="Infraestructura rural."/>
        <s v="Cultura, deporte y recreación en el campo."/>
        <s v="Atención y Asistencia"/>
        <s v="Prevención y Protección"/>
        <s v="Reparación Colectiva, retornos y reubicaciones "/>
        <s v="Participación efectiva"/>
        <s v="Fortalecimiento para la Gestión institucional y Sistemas de Información "/>
        <s v="Restitución de tierras"/>
        <s v="Programa: Inclusión y reincorporación comunitaria para la consolidación de la paz"/>
        <s v="Fortalecimiento de los procesos organizacionales de la población NARP. "/>
        <s v="Mujer y género en población negra, afrocolombiana, raizal, palenquera, indígena y rom"/>
        <s v="Arte, cultura y patrimonio"/>
        <s v="Recreación y deporte."/>
        <s v="Desarrollo económico"/>
        <s v="Educación"/>
        <s v="Derechos Humanos"/>
        <s v="Atención a población indígena."/>
        <s v="Niños y niñas en su primera infancia, infancia y adolescencia"/>
        <s v="Juventud"/>
        <s v="Bolívar garantiza derechos y cubre las necesidades de envejecimiento y vejez."/>
        <s v="Mujer Bolivarense"/>
        <s v="LGTBIQ"/>
        <s v="Población en situación de discapacidad"/>
        <s v="Asuntos religiosos"/>
        <s v="Sistema Penitenciario"/>
        <s v="6.2.2 Mujer y género en población negra, afrocolombiana, raizal, palenquera, indígena y rom" u="1"/>
        <s v="4.4.4. Infraestructura física para todos" u="1"/>
        <s v="6.2.3 Arte, cultura y patrimonio" u="1"/>
        <s v="4.6.3. Procesos electorales" u="1"/>
        <s v="6.2.4. Recreación y deporte." u="1"/>
        <s v="6.1.4. Participación efectiva" u="1"/>
        <s v="4.6.4. Construcción de Cultura Ciudadana" u="1"/>
        <s v="6.2.7 Derechos Humanos" u="1"/>
        <s v="4.3.1. Fortalecimiento al sistema de Planeación departamental." u="1"/>
        <s v="6.2.6 Educación" u="1"/>
        <s v="6.2.1. Fortalecimiento de los procesos organizacionales de la población NARP. " u="1"/>
        <s v="4.4.7. Mejores funcionarios, mejor gobierno" u="1"/>
        <s v="4.4.1. Atención y servicios al ciudadano de calidad al alcance de todos." u="1"/>
        <s v="6.1.7. Programa: Inclusión y reincorporación comunitaria para la consolidación de la paz" u="1"/>
        <s v="4.6.2. Organismos comunales" u="1"/>
        <s v="6.1.1. Atención y Asistencia" u="1"/>
        <s v="6.1.5. Fortalecimiento para la Gestión institucional y Sistemas de Información " u="1"/>
        <s v="4.4.6. Programa: Cuerpos Bomberos" u="1"/>
        <s v="6.3.1. Niños y niñas en su primera infancia, infancia y adolescencia" u="1"/>
        <s v="4.4.8 Bolívar primero en el territorio: diálogo y acción" u="1"/>
        <s v="6.1.2. Prevención y Protección" u="1"/>
        <s v="4.2.1. Garantía integral de los derechos humanos." u="1"/>
        <s v="6.8. Población en situación de discapacidad" u="1"/>
        <s v="6.2.8. Atención a población indígena." u="1"/>
        <s v="Promoción del Departamento para la competitividad" u="1"/>
        <s v="6.6.1. Mujer Bolivarense" u="1"/>
        <s v="4.4.2. Gestión Documental" u="1"/>
        <s v="BOLÍVAR GARANTIZA DERECHOS Y CUBRE LAS NECESIDADES DE ENVEJECIMIENTO Y VEJEZ. " u="1"/>
        <s v="4.5.1. Fortalecimiento financiero administrativo y fiscal de la secretaria de hacienda " u="1"/>
        <s v="4.6.1. Participación Ciudadana" u="1"/>
        <s v="4.4.3. Gobierno Digital" u="1"/>
        <s v="6.7.  LGTBIQ" u="1"/>
        <s v="4.4.5. Asistencia Municipal" u="1"/>
        <s v="6.1.6. Restitución de tierras" u="1"/>
        <s v="4.1.1. Fortalecimiento integral de la seguridad y convivencia" u="1"/>
        <s v="6.2.5. Desarrollo económico" u="1"/>
        <s v="6.10. Sistema Penitenciario" u="1"/>
        <s v="6.2.7. Derechos humanos." u="1"/>
        <s v="6.1.3 Reparación Colectiva, retornos y reubicaciones " u="1"/>
        <s v="6.4. Juventud" u="1"/>
        <s v="6.9. Asuntos religiosos" u="1"/>
        <s v="4.3.2. Programa Descentralización y planeación territorial" u="1"/>
      </sharedItems>
    </cacheField>
    <cacheField name="EVALUACION PROGRAMA CUATRENIO" numFmtId="9">
      <sharedItems containsString="0" containsBlank="1" containsNumber="1" minValue="0" maxValue="0.66767676767676754"/>
    </cacheField>
    <cacheField name="EVALUACION PROGRAMA AÑO 2020" numFmtId="9">
      <sharedItems containsBlank="1" containsMixedTypes="1" containsNumber="1" minValue="0" maxValue="1"/>
    </cacheField>
    <cacheField name="Cod MR" numFmtId="0">
      <sharedItems containsBlank="1"/>
    </cacheField>
    <cacheField name="Descripción Meta Resultado Principal" numFmtId="0">
      <sharedItems longText="1"/>
    </cacheField>
    <cacheField name="Indicador de Resultado" numFmtId="0">
      <sharedItems longText="1"/>
    </cacheField>
    <cacheField name="Línea Base  Resultado" numFmtId="0">
      <sharedItems containsBlank="1" containsMixedTypes="1" containsNumber="1" minValue="0" maxValue="4216540"/>
    </cacheField>
    <cacheField name="Meta  Resultado Cuatrenio 2023" numFmtId="0">
      <sharedItems containsBlank="1" containsMixedTypes="1" containsNumber="1" minValue="0" maxValue="5500000"/>
    </cacheField>
    <cacheField name="Cod MP" numFmtId="0">
      <sharedItems containsBlank="1"/>
    </cacheField>
    <cacheField name="Descripción Meta Producto" numFmtId="0">
      <sharedItems longText="1"/>
    </cacheField>
    <cacheField name="Indicador de Producto" numFmtId="0">
      <sharedItems longText="1"/>
    </cacheField>
    <cacheField name="Línea Base Producto" numFmtId="0">
      <sharedItems containsBlank="1" containsMixedTypes="1" containsNumber="1" minValue="0" maxValue="325000"/>
    </cacheField>
    <cacheField name="Meta Producto Cuatrenio" numFmtId="0">
      <sharedItems containsSemiMixedTypes="0" containsString="0" containsNumber="1" minValue="0" maxValue="400000000"/>
    </cacheField>
    <cacheField name="AVANCE META PRODUCTO CUATRIENIO JUNIO 30 DE 2020" numFmtId="0">
      <sharedItems containsBlank="1" containsMixedTypes="1" containsNumber="1" minValue="0" maxValue="212000"/>
    </cacheField>
    <cacheField name="AVANCE META PRODUCTO CUATRIENIO SEPTIEMBRE 30 DE 2020" numFmtId="0">
      <sharedItems containsString="0" containsBlank="1" containsNumber="1" minValue="0" maxValue="212000"/>
    </cacheField>
    <cacheField name="% de Avance cuatrienio Meta Producto" numFmtId="9">
      <sharedItems containsSemiMixedTypes="0" containsString="0" containsNumber="1" minValue="0" maxValue="1"/>
    </cacheField>
    <cacheField name="Valor esperado 2020" numFmtId="0">
      <sharedItems containsString="0" containsBlank="1" containsNumber="1" minValue="0" maxValue="219505"/>
    </cacheField>
    <cacheField name="AVANCE META PRODUCTO 2020 JUNIO 30 DE 2020" numFmtId="0">
      <sharedItems containsBlank="1" containsMixedTypes="1" containsNumber="1" minValue="0" maxValue="212000"/>
    </cacheField>
    <cacheField name="AVANCE META PRODUCTO 2020 SEPTIEMBRE 30 DE 2020" numFmtId="0">
      <sharedItems containsString="0" containsBlank="1" containsNumber="1" minValue="0" maxValue="212000"/>
    </cacheField>
    <cacheField name="% de Avance años meta producto 2020" numFmtId="9">
      <sharedItems containsMixedTypes="1" containsNumber="1" minValue="0" maxValue="1"/>
    </cacheField>
    <cacheField name="Orientación de la meta de producto" numFmtId="0">
      <sharedItems containsBlank="1"/>
    </cacheField>
    <cacheField name="Proyecto" numFmtId="0">
      <sharedItems containsBlank="1" containsMixedTypes="1" containsNumber="1" containsInteger="1" minValue="0" maxValue="10"/>
    </cacheField>
    <cacheField name="Sector" numFmtId="0">
      <sharedItems containsBlank="1" containsMixedTypes="1" containsNumber="1" containsInteger="1" minValue="0" maxValue="200"/>
    </cacheField>
    <cacheField name="CodSec" numFmtId="0">
      <sharedItems containsBlank="1" containsMixedTypes="1" containsNumber="1" containsInteger="1" minValue="0" maxValue="300"/>
    </cacheField>
    <cacheField name="ODS de Producto" numFmtId="0">
      <sharedItems containsBlank="1" containsMixedTypes="1" containsNumber="1" minValue="0" maxValue="100" longText="1"/>
    </cacheField>
    <cacheField name="Responsable" numFmtId="0">
      <sharedItems containsBlank="1"/>
    </cacheField>
    <cacheField name="Fuentes de Financiaciòn" numFmtId="0">
      <sharedItems containsBlank="1" containsMixedTypes="1" containsNumber="1" containsInteger="1" minValue="0" maxValue="0"/>
    </cacheField>
    <cacheField name="Rubro" numFmtId="0">
      <sharedItems containsBlank="1" containsMixedTypes="1" containsNumber="1" containsInteger="1" minValue="0" maxValue="0"/>
    </cacheField>
    <cacheField name="Total" numFmtId="0">
      <sharedItems containsBlank="1" containsMixedTypes="1" containsNumber="1" containsInteger="1" minValue="0" maxValue="8000000000"/>
    </cacheField>
  </cacheFields>
  <extLst>
    <ext xmlns:x14="http://schemas.microsoft.com/office/spreadsheetml/2009/9/main" uri="{725AE2AE-9491-48be-B2B4-4EB974FC3084}">
      <x14:pivotCacheDefinition pivotCacheId="6473023"/>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me" refreshedDate="44335.568731712963" createdVersion="6" refreshedVersion="7" minRefreshableVersion="3" recordCount="555" xr:uid="{5A060FE5-C534-436E-A127-A812631A2820}">
  <cacheSource type="worksheet">
    <worksheetSource ref="A13:CC567" sheet="Fuente"/>
  </cacheSource>
  <cacheFields count="81">
    <cacheField name="Cod EJE" numFmtId="0">
      <sharedItems containsSemiMixedTypes="0" containsString="0" containsNumber="1" containsInteger="1" minValue="1" maxValue="6"/>
    </cacheField>
    <cacheField name="Eje" numFmtId="0">
      <sharedItems/>
    </cacheField>
    <cacheField name="EVALUACION EJE CUATRINIO" numFmtId="9">
      <sharedItems containsString="0" containsBlank="1" containsNumber="1" minValue="0.11365974625144175" maxValue="0.35962502005446145"/>
    </cacheField>
    <cacheField name="EVALUACION EJE PRODUCTO" numFmtId="9">
      <sharedItems containsString="0" containsBlank="1" containsNumber="1" minValue="0.16124820788530467" maxValue="0.90440000000000009"/>
    </cacheField>
    <cacheField name="Cod Linea" numFmtId="0">
      <sharedItems count="37">
        <s v="1.1 "/>
        <s v="1.2 "/>
        <s v="1.3"/>
        <s v="1.4"/>
        <s v="1.5"/>
        <s v="1.6"/>
        <s v="2.1"/>
        <s v="2.2"/>
        <s v="2.3"/>
        <s v="2.4"/>
        <s v="2.5"/>
        <s v="2.6"/>
        <s v="2.7"/>
        <s v="2.8"/>
        <s v="2.9"/>
        <s v="2.10"/>
        <s v="3.1"/>
        <s v="3.2"/>
        <s v="3.3"/>
        <s v="3.4"/>
        <s v="4.1"/>
        <s v="4.2"/>
        <s v="4.3"/>
        <s v="4.4"/>
        <s v="4.5"/>
        <s v="4.6"/>
        <s v="5.1"/>
        <s v="6.1"/>
        <s v="6.2"/>
        <s v="6.3"/>
        <s v="6.4"/>
        <s v="6.5"/>
        <s v="6.6"/>
        <s v="6.7"/>
        <s v="6.8"/>
        <s v="6.9"/>
        <s v="6.10"/>
      </sharedItems>
    </cacheField>
    <cacheField name="Lineas Estrategica" numFmtId="0">
      <sharedItems count="37">
        <s v="Plan Departamental de Emergencia Social Para la_x000a_Igualdad y la Inclusión"/>
        <s v="Bolívar Primero Educa"/>
        <s v="Bolivar Primero en Salud"/>
        <s v="Hábitat"/>
        <s v="Bolívar Primero en Recreacion y Deportes"/>
        <s v="Bolívar Promueve el Ate, la Cultura y Salvaguarda su Patrimonio"/>
        <s v="Bolívar Primero en Infraestructura y Transporte"/>
        <s v="Bolívar Primero en Movilidad"/>
        <s v="Bolívar Primero en Tecnologias de la Información y las Comunicaciones"/>
        <s v="Bolívar Primero en Desarrollo Economico"/>
        <s v="Bolívar Primero en agricultura, Explotaciones Pecuarias, Pesca Forestal y Seguridad Alimentaria"/>
        <s v="Bolivar Primero en Productividad y Competitividad Minero Energetica"/>
        <s v="Bolivar Primero en Turismo"/>
        <s v="Trabajo Decente y Sosytenibilidad del Empleo en Escenarios de Amenazas"/>
        <s v="Bolivar Primero en Ciencia Tecnologia e Innvacion"/>
        <s v="Formacion para el Trabajo"/>
        <s v="Bolivar Primero Gestión Ambientaly Desarrollo Territorial "/>
        <s v="Bolívar Primero en Conservacion Ambiental"/>
        <s v="Bolivar Primero en Adaptación y Mitigación del Cambio Climatico"/>
        <s v="Gestión Del Riesgo"/>
        <s v="Bolívar Seguro"/>
        <s v="BOLÍVAR PRIMERO EN DERECHOS HUMANOS"/>
        <s v="BOLÍVAR CON SISTEMA INTEGRAL DE PLANIFICACIÓN DEPARTAMENTAL"/>
        <s v="BOLÍVAR CON INSTITUCIONALIDAD AL SERVICIO DE LA CIUDADANÍA. "/>
        <s v="BOLÍVAR CONTROLA LAS FINANZAS PÚBLICAS. "/>
        <s v="4.6. BOLÍVAR PRIMERO PROPICIA LA PARTICIPACIÓN CIUDADANA."/>
        <s v="5.1 Bolívar al campo: plan de atención rural integral y prioritaria - PARIP "/>
        <s v="CAPITULO ATENCIÓN A VÍCTIMAS, CONSTRUCCIÓN DE PAZ Y RECONCILIACIÓN "/>
        <s v="CAPITULO DE MINORÍAS ÉTNICAS."/>
        <s v="CAPITULO NIÑOS Y NIÑAS EN SU PRIMERA INFANCIA, INFANCIA Y ADOLESCENCIA."/>
        <s v="JUVENTUD"/>
        <s v="BOLÍVAR GARANTIZA DERECHOS Y CUBRE LAS NECESIDADES DE ENVEJECIMIENTO Y VEJEZ. "/>
        <s v="BOLÍVAR PRIMERO GARANTIZA LA EQUIDAD DE GÉNERO Y LA AUTONOMÍA DE LA MUJER BOLIVARENSE."/>
        <s v="CAPITULO LGTBIQ"/>
        <s v="CAPITULO POBLACIÓN EN SITUACIÓN DE DISCAPACIDAD"/>
        <s v="ASUNTOS RELIGIOSOS"/>
        <s v="SISTEMA PENITENCIARIO"/>
      </sharedItems>
    </cacheField>
    <cacheField name="EVALUACION LINEA ESTRATEGICA CUATRENIO" numFmtId="9">
      <sharedItems containsBlank="1" containsMixedTypes="1" containsNumber="1" minValue="0" maxValue="0.86790123456790136"/>
    </cacheField>
    <cacheField name="EVALUAICON LINEA ESTRATEGICA AÑO 2020" numFmtId="9">
      <sharedItems containsBlank="1" containsMixedTypes="1" containsNumber="1" minValue="0" maxValue="0.53"/>
    </cacheField>
    <cacheField name="Cod- Prog" numFmtId="0">
      <sharedItems containsMixedTypes="1" containsNumber="1" containsInteger="1" minValue="0" maxValue="0" count="104">
        <s v="1.1.1"/>
        <s v="1.2.1"/>
        <s v="1.2.2"/>
        <s v="1.2.3"/>
        <s v="1.3.1 "/>
        <s v="1.3.2"/>
        <s v="1.3.3"/>
        <s v="1.3.4"/>
        <s v="1.3.5"/>
        <s v="1.3.6"/>
        <s v="1.3.7"/>
        <s v="1.3.8"/>
        <s v="1.3.9"/>
        <s v="1.3.10"/>
        <s v="1.4.1"/>
        <s v="1.4.2"/>
        <s v="1.5.1"/>
        <s v="1.5.2"/>
        <s v="1.5.3"/>
        <s v="1.5.4"/>
        <s v="1.5.5"/>
        <s v="1.5.6"/>
        <s v="1.6.1"/>
        <s v="1.6.2"/>
        <s v="1.6.3"/>
        <s v="2.1.1"/>
        <s v="2.1.2 "/>
        <s v="2.2.1"/>
        <s v="2.2.2 "/>
        <s v="2.3.1"/>
        <s v="2.4.1"/>
        <s v="2.4.2"/>
        <s v="2.5.1"/>
        <s v="2.5.2"/>
        <s v="2.5.3"/>
        <s v="2.5.4"/>
        <s v="2.5.5 "/>
        <s v="2.5.6"/>
        <s v="2.6.1"/>
        <s v="2.6.2"/>
        <s v="2.6.3"/>
        <s v="2.6.4"/>
        <s v="2.6.5"/>
        <s v="2.7.1 "/>
        <s v="2.8.1 "/>
        <s v="2.8.2"/>
        <s v="2.9.1"/>
        <s v="2.9.2"/>
        <s v="2.9.3"/>
        <s v="2.9.4"/>
        <s v="2.10.1"/>
        <s v="3.1.1 "/>
        <s v="3.2.1"/>
        <s v="3.3.1"/>
        <s v="3.4.1 "/>
        <s v="3.4.2 "/>
        <s v="3.4.3"/>
        <s v="4.1.1"/>
        <s v="4.2.1"/>
        <s v="4.3.1"/>
        <s v="4.3.2"/>
        <s v="4.4.1"/>
        <s v="4.4.2"/>
        <s v="4.4.3"/>
        <s v="4.4.4"/>
        <s v="4.4.5"/>
        <s v="4.4.6"/>
        <s v="4.4.7"/>
        <s v="4.4.8"/>
        <s v="4.5.1"/>
        <s v="4.6.1"/>
        <s v="4.6.2 "/>
        <s v="4.6.3"/>
        <s v="4.6.4"/>
        <s v="5.1.1"/>
        <s v="5.1.2"/>
        <s v="5.1.3"/>
        <s v="5.1.4"/>
        <s v="5.1.5"/>
        <s v="5.1.6"/>
        <s v="6.1.1"/>
        <s v="6.1.2"/>
        <s v="6.1.3 "/>
        <s v="6.1.4 "/>
        <s v="6.1.5 "/>
        <s v="6.1.6"/>
        <s v="6.1.7"/>
        <s v="6.2.1"/>
        <s v="6.2.2"/>
        <s v="6.2.3"/>
        <s v="6.2.4"/>
        <s v="6.2.5"/>
        <s v="6.2.6"/>
        <s v="6.2.7"/>
        <s v="6.2.8"/>
        <s v="6.3.1"/>
        <s v="6.4.1"/>
        <s v="6.5.1"/>
        <s v="6.6.1"/>
        <n v="0"/>
        <s v="6.7.1"/>
        <s v="6.8.1"/>
        <s v="6.9.1"/>
        <s v="6.10.1"/>
      </sharedItems>
    </cacheField>
    <cacheField name="Programa" numFmtId="0">
      <sharedItems count="103">
        <s v="Plan departamental de emergencia social para la igualdad y la inclusión PLADES."/>
        <s v="Bolívar Primero en calidad educativa."/>
        <s v="Bolívar primero en cobertura."/>
        <s v="Bolívar primero en eficiencia y fortalecimiento institucional de la educación"/>
        <s v="Salud Ambiental"/>
        <s v="Vida Saludables y Condiciones no Transmisibles"/>
        <s v="Convivencia Social y Salud Mental "/>
        <s v="Seguridad Alimentaria y Nutricional"/>
        <s v="Sexualidad, Derechos Sexuales y Reproductivos"/>
        <s v="Vida Saludable y Enfermedades transmisibles"/>
        <s v="Salud Publica en Emergencias y Desastres"/>
        <s v="Salud y Ambito Laboral"/>
        <s v="Gestión Diferencial de las Poblaciones Vulnerables"/>
        <s v="Fortalecimiento de la Autoridad Sanitaria en Salud"/>
        <s v="Primero la vivienda"/>
        <s v="Primero el Agua"/>
        <s v="Infraestructura Deportiva"/>
        <s v="Altos logros y liderazgo deportivo Bolívar en los juegos nacionales 2023"/>
        <s v="Deporte formativo escuelas para todos  y  Deporte formativo supérate Intercolegiados"/>
        <s v="Deporte social Comunitario"/>
        <s v="Las escuelas recreativas…un espacio lúdico del Bolívar primero"/>
        <s v="Hábitos y estilos de vida saludable “Bolívar primero…por tú salud ponte pilas"/>
        <s v="Bolívar primero en arte y patrimonio"/>
        <s v="Bolívar primero en cultura"/>
        <s v="Plan de conectividad para Bolívar"/>
        <s v="Bolívar se desarrolla por el Río"/>
        <s v="Bolívar Primero con Movilidad Segura."/>
        <s v="Bolívar Primero con Infraestructura y Transporte y Movilidad Activa"/>
        <s v="TIC’s para la competitividad y la inclusión social"/>
        <s v="2.4.1._x0009_Promoción del Departamento para la competitividad"/>
        <s v="Bolivar Primero en emprendimiento y encadenamientos productivos"/>
        <s v="Tecnología al campo"/>
        <s v="Bolívar fomenta la agroindustria"/>
        <s v="Del campo al mercado"/>
        <s v="Apoyo a los municipios en el ordenamiento social de la propiedad."/>
        <s v="Bancarización "/>
        <s v="Seguridad alimentaria "/>
        <s v="Minería responsable y segura"/>
        <s v="Minería productiva y competitiva. "/>
        <s v="Ambiente y Minería de la mano, bajo el marco de la legalidad."/>
        <s v="Minería y el desarrollo social participativo "/>
        <s v="Bolívar primero en gas y energía para todos "/>
        <s v="Bolívar primero en turismo, destinos mágicos"/>
        <s v="Empleo y trabajo decente"/>
        <s v="Bolívar Primero en beneficios BEPS y desempleo"/>
        <s v="Fortalecimiento del sistema territorial del CTI."/>
        <s v="Apropiación social del CTEI y vocaciones para la consolidación de una sociedad del conocimiento."/>
        <s v="Formación del capital humano de alto nivel del CTEI"/>
        <s v="Innovación para el desarrollo sostenible"/>
        <s v="Bolívar primero facilita el acceso a la educación superior, la educación para el trabajo y el desarrollo humano"/>
        <s v="Ordenamiento territorial y para un bolívar primero en institucionalidad"/>
        <s v="Ambiente por un Bolívar primero en conservación"/>
        <s v="Cambio Climatico"/>
        <s v="Conocimiento del Riesgo"/>
        <s v="Disminución y/o Elimicación del Riesgo"/>
        <s v="Atencion de Desastre"/>
        <s v="Fortalecimiento integral de la seguridad y convivencia"/>
        <s v="Garantía integral de los derechos humanos."/>
        <s v="Fortalecimiento al sistema de Planeación departamental."/>
        <s v="Programa Descentralización y planeación territorial"/>
        <s v="Atención y servicios al ciudadano de calidad al alcance de todos."/>
        <s v="Gestión Documental"/>
        <s v="Gobierno Digital"/>
        <s v="Infraestructura física para todos"/>
        <s v="Asistencia Municipal"/>
        <s v="Programa: Cuerpos Bomberos"/>
        <s v="Mejores funcionarios, mejor gobierno"/>
        <s v="Bolívar primero en el territorio: diálogo y acción"/>
        <s v="Fortalecimiento financiero administrativo y fiscal de la secretaria de hacienda "/>
        <s v="Participación Ciudadana"/>
        <s v="Organismos comunales"/>
        <s v="Procesos electorales"/>
        <s v="Construcción de Cultura Ciudadana"/>
        <s v="Bolívar garantiza derechos sociales en el campo.  "/>
        <s v="Bolívar Educa en el campo"/>
        <s v="Bolívar lleva Servicios Públicos al campo."/>
        <s v="Ingreso, trabajo y productividad en el campo. "/>
        <s v="Infraestructura rural."/>
        <s v="Cultura, deporte y recreación en el campo."/>
        <s v="Atención y Asistencia"/>
        <s v="Prevención y Protección"/>
        <s v="Reparación Colectiva, retornos y reubicaciones "/>
        <s v="Participación efectiva"/>
        <s v="Fortalecimiento para la Gestión institucional y Sistemas de Información "/>
        <s v="Restitución de tierras"/>
        <s v="Programa: Inclusión y reincorporación comunitaria para la consolidación de la paz"/>
        <s v="Fortalecimiento de los procesos organizacionales de la población NARP. "/>
        <s v="Mujer y género en población negra, afrocolombiana, raizal, palenquera, indígena y rom"/>
        <s v="Arte, cultura y patrimonio"/>
        <s v="Recreación y deporte."/>
        <s v="Desarrollo económico"/>
        <s v="Educación"/>
        <s v="Derechos Humanos"/>
        <s v="Atención a población indígena."/>
        <s v="Niños y niñas en su primera infancia, infancia y adolescencia"/>
        <s v="Juventud"/>
        <s v="Bolívar garantiza derechos y cubre las necesidades de envejecimiento y vejez."/>
        <s v="Mujer Bolivarense"/>
        <s v="LGTBIQ"/>
        <s v="Población en situación de discapacidad"/>
        <s v="Asuntos religiosos"/>
        <s v="Sistema Penitenciario"/>
        <s v="Vida Saludable y Enfermedades Gtransmisibles" u="1"/>
      </sharedItems>
    </cacheField>
    <cacheField name="EVALUACION PROGRAMA CUATRENIO" numFmtId="9">
      <sharedItems containsBlank="1" containsMixedTypes="1" containsNumber="1" minValue="0" maxValue="1.439433551198257"/>
    </cacheField>
    <cacheField name="EVALUACION PROGRAMA AÑO PRODUCTO" numFmtId="9">
      <sharedItems containsBlank="1" containsMixedTypes="1" containsNumber="1" minValue="0" maxValue="1"/>
    </cacheField>
    <cacheField name="Cod MR" numFmtId="0">
      <sharedItems containsBlank="1"/>
    </cacheField>
    <cacheField name="Descripción Meta Resultado Principal" numFmtId="0">
      <sharedItems containsBlank="1" longText="1"/>
    </cacheField>
    <cacheField name="Indicador de Resultado" numFmtId="0">
      <sharedItems containsBlank="1" longText="1"/>
    </cacheField>
    <cacheField name="Línea Base  Resultado" numFmtId="0">
      <sharedItems containsBlank="1" containsMixedTypes="1" containsNumber="1" minValue="0" maxValue="4216540"/>
    </cacheField>
    <cacheField name="Meta  Resultado Cuatrenio 2023" numFmtId="0">
      <sharedItems containsBlank="1" containsMixedTypes="1" containsNumber="1" minValue="0" maxValue="5500000"/>
    </cacheField>
    <cacheField name="Cod MP" numFmtId="0">
      <sharedItems containsBlank="1"/>
    </cacheField>
    <cacheField name="Descripción Meta Producto" numFmtId="0">
      <sharedItems longText="1"/>
    </cacheField>
    <cacheField name="Indicador de Producto" numFmtId="0">
      <sharedItems longText="1"/>
    </cacheField>
    <cacheField name="Línea Base Producto" numFmtId="0">
      <sharedItems containsBlank="1" containsMixedTypes="1" containsNumber="1" minValue="0" maxValue="325000"/>
    </cacheField>
    <cacheField name="Meta Producto Cuatrenio" numFmtId="0">
      <sharedItems containsSemiMixedTypes="0" containsString="0" containsNumber="1" minValue="2.3999999999999998E-3" maxValue="400000000"/>
    </cacheField>
    <cacheField name="Orientación de la meta de producto" numFmtId="0">
      <sharedItems containsBlank="1"/>
    </cacheField>
    <cacheField name="Proyecto" numFmtId="0">
      <sharedItems containsBlank="1" containsMixedTypes="1" containsNumber="1" containsInteger="1" minValue="0" maxValue="10"/>
    </cacheField>
    <cacheField name="Sector" numFmtId="0">
      <sharedItems containsBlank="1" containsMixedTypes="1" containsNumber="1" containsInteger="1" minValue="0" maxValue="200"/>
    </cacheField>
    <cacheField name="CodSec" numFmtId="0">
      <sharedItems containsBlank="1" containsMixedTypes="1" containsNumber="1" containsInteger="1" minValue="0" maxValue="300"/>
    </cacheField>
    <cacheField name="ODS de Producto" numFmtId="0">
      <sharedItems containsBlank="1" containsMixedTypes="1" containsNumber="1" minValue="0" maxValue="100" longText="1"/>
    </cacheField>
    <cacheField name="Responsable" numFmtId="0">
      <sharedItems/>
    </cacheField>
    <cacheField name="Valor esperado 2020" numFmtId="0">
      <sharedItems containsString="0" containsBlank="1" containsNumber="1" minValue="0" maxValue="219505"/>
    </cacheField>
    <cacheField name="Valor esperado 2021" numFmtId="0">
      <sharedItems containsString="0" containsBlank="1" containsNumber="1" minValue="0.1" maxValue="219505"/>
    </cacheField>
    <cacheField name="Valor esperado 2022" numFmtId="0">
      <sharedItems containsString="0" containsBlank="1" containsNumber="1" minValue="0" maxValue="219505"/>
    </cacheField>
    <cacheField name="Valor esperado 2023" numFmtId="0">
      <sharedItems containsString="0" containsBlank="1" containsNumber="1" minValue="0" maxValue="219505"/>
    </cacheField>
    <cacheField name="TOTAL" numFmtId="0">
      <sharedItems containsString="0" containsBlank="1" containsNumber="1" minValue="0" maxValue="878020"/>
    </cacheField>
    <cacheField name="PRUEBA" numFmtId="0">
      <sharedItems containsBlank="1"/>
    </cacheField>
    <cacheField name="AVANCE META PRODUCTO CUATRIENIO JUNIO 30 DE 2020" numFmtId="0">
      <sharedItems containsBlank="1" containsMixedTypes="1" containsNumber="1" minValue="0" maxValue="212000"/>
    </cacheField>
    <cacheField name="AVANCE META PRODUCTO CUATRIENIO SEPTIEMBRE 30 DE 2020" numFmtId="0">
      <sharedItems containsString="0" containsBlank="1" containsNumber="1" minValue="0" maxValue="212000"/>
    </cacheField>
    <cacheField name="AVANCE META PRODUCTO CUATRIENIO NOVIEMBRE  30 DE 2020" numFmtId="0">
      <sharedItems containsString="0" containsBlank="1" containsNumber="1" minValue="0" maxValue="213562"/>
    </cacheField>
    <cacheField name="AVANCE META PRODUCTO CUATRIENIO DICIEMBRE 30 DE 2020" numFmtId="0">
      <sharedItems containsString="0" containsBlank="1" containsNumber="1" minValue="0" maxValue="50000000"/>
    </cacheField>
    <cacheField name="% de Avance cuatrienio Meta Producto" numFmtId="0">
      <sharedItems containsString="0" containsBlank="1" containsNumber="1" minValue="0" maxValue="1"/>
    </cacheField>
    <cacheField name="Valor esperado 20202" numFmtId="0">
      <sharedItems containsString="0" containsBlank="1" containsNumber="1" minValue="1.8E-3" maxValue="219505"/>
    </cacheField>
    <cacheField name="AVANCE META PRODUCTO 2020 JUNIO 30 DE 2020" numFmtId="0">
      <sharedItems containsBlank="1" containsMixedTypes="1" containsNumber="1" minValue="0" maxValue="212000"/>
    </cacheField>
    <cacheField name="AVANCE META PRODUCTO 2020 SEPTIEMBRE 30 DE 2020" numFmtId="0">
      <sharedItems containsString="0" containsBlank="1" containsNumber="1" minValue="0" maxValue="212000"/>
    </cacheField>
    <cacheField name="AVANCE META PRODUCTO 2020 NOVIEMBRE DE 2020" numFmtId="0">
      <sharedItems containsString="0" containsBlank="1" containsNumber="1" minValue="0" maxValue="0.18"/>
    </cacheField>
    <cacheField name="AVANCE META PRODUCTO 2020 DICIEMBRE DE 2020" numFmtId="0">
      <sharedItems containsString="0" containsBlank="1" containsNumber="1" minValue="0" maxValue="213562"/>
    </cacheField>
    <cacheField name="% de Avance años meta producto 2020" numFmtId="9">
      <sharedItems containsBlank="1" containsMixedTypes="1" containsNumber="1" minValue="0" maxValue="1"/>
    </cacheField>
    <cacheField name="AVANCE META PRODUCTO CUATRIENIO MARZO 30 DE 2021" numFmtId="0">
      <sharedItems containsMixedTypes="1" containsNumber="1" minValue="0" maxValue="50000000"/>
    </cacheField>
    <cacheField name="AVANCE META PRODUCTO CUATRIENIO JUNIO 30 DE 2021" numFmtId="9">
      <sharedItems containsNonDate="0" containsString="0" containsBlank="1"/>
    </cacheField>
    <cacheField name="AVANCE META PRODUCTO CUATRIENIO SEPTIEMBRE 30 DE 2021" numFmtId="9">
      <sharedItems containsNonDate="0" containsString="0" containsBlank="1"/>
    </cacheField>
    <cacheField name="AVANCE META PRODUCTO CUATRIENIO DICIEMBREE 30 DE 2021" numFmtId="9">
      <sharedItems containsNonDate="0" containsString="0" containsBlank="1"/>
    </cacheField>
    <cacheField name="% de Avance cuatrienio Meta Producto2" numFmtId="9">
      <sharedItems containsMixedTypes="1" containsNumber="1" minValue="0" maxValue="3.3"/>
    </cacheField>
    <cacheField name="Valor esperado 20212" numFmtId="0">
      <sharedItems containsMixedTypes="1" containsNumber="1" minValue="0.1" maxValue="219505"/>
    </cacheField>
    <cacheField name="AVANCE META PRODUCTO  MARZO 30 DE 2021" numFmtId="0">
      <sharedItems containsBlank="1" containsMixedTypes="1" containsNumber="1" minValue="0" maxValue="113324"/>
    </cacheField>
    <cacheField name="AVANCE META PRODUCTO 2021 JUNIO 30 DE 2021" numFmtId="9">
      <sharedItems containsNonDate="0" containsString="0" containsBlank="1"/>
    </cacheField>
    <cacheField name="AVANCE META PRODUCTO 2021 SEPTIEMBRE 30 DE 2021" numFmtId="9">
      <sharedItems containsBlank="1"/>
    </cacheField>
    <cacheField name="AVANCE META PRODUCTO 2021 DICIEMBRE DE 2021" numFmtId="0">
      <sharedItems containsNonDate="0" containsString="0" containsBlank="1"/>
    </cacheField>
    <cacheField name="% de Avance años meta producto 2021" numFmtId="9">
      <sharedItems containsMixedTypes="1" containsNumber="1" minValue="0" maxValue="1"/>
    </cacheField>
    <cacheField name="AVANCE META PRODUCTO CUATRIENIO MARZO 30 DE 2022" numFmtId="9">
      <sharedItems containsNonDate="0" containsString="0" containsBlank="1"/>
    </cacheField>
    <cacheField name="AVANCE META PRODUCTO CUATRIENIO JUNIO 30 DE 2022" numFmtId="9">
      <sharedItems containsNonDate="0" containsString="0" containsBlank="1"/>
    </cacheField>
    <cacheField name="AVANCE META PRODUCTO CUATRIENIO SEPTIEMBRE 30 DE 2022" numFmtId="9">
      <sharedItems containsNonDate="0" containsString="0" containsBlank="1"/>
    </cacheField>
    <cacheField name="AVANCE META PRODUCTO CUATRIENIO DICIEMBREE 30 DE 2022" numFmtId="9">
      <sharedItems containsNonDate="0" containsString="0" containsBlank="1"/>
    </cacheField>
    <cacheField name="% de Avance cuatrienio Meta Producto3" numFmtId="9">
      <sharedItems containsNonDate="0" containsString="0" containsBlank="1"/>
    </cacheField>
    <cacheField name="Valor esperado 20222" numFmtId="9">
      <sharedItems containsNonDate="0" containsString="0" containsBlank="1"/>
    </cacheField>
    <cacheField name="AVANCE META PRODUCTO 2022 MARZO 30 DE 2022" numFmtId="9">
      <sharedItems containsNonDate="0" containsString="0" containsBlank="1"/>
    </cacheField>
    <cacheField name="AVANCE META PRODUCTO 2022 JUNIO 30 DE 2022" numFmtId="9">
      <sharedItems containsNonDate="0" containsString="0" containsBlank="1"/>
    </cacheField>
    <cacheField name="AVANCE META PRODUCTO 2022 SEPTIEMBRE 30 DE 2022" numFmtId="9">
      <sharedItems containsNonDate="0" containsString="0" containsBlank="1"/>
    </cacheField>
    <cacheField name="AVANCE META PRODUCTO 2022 DICIEMBRE DE 2022" numFmtId="9">
      <sharedItems containsNonDate="0" containsString="0" containsBlank="1"/>
    </cacheField>
    <cacheField name="% de Avance años meta producto 2022" numFmtId="9">
      <sharedItems containsNonDate="0" containsString="0" containsBlank="1"/>
    </cacheField>
    <cacheField name="AVANCE META PRODUCTO CUATRIENIO MAEZO 30 DE 2023" numFmtId="9">
      <sharedItems containsNonDate="0" containsString="0" containsBlank="1"/>
    </cacheField>
    <cacheField name="AVANCE META PRODUCTO CUATRIENIO JUNIO 30 DE 2023" numFmtId="9">
      <sharedItems containsNonDate="0" containsString="0" containsBlank="1"/>
    </cacheField>
    <cacheField name="AVANCE META PRODUCTO CUATRIENIO SEPTIEMBRE 30 DE 2023" numFmtId="9">
      <sharedItems containsNonDate="0" containsString="0" containsBlank="1"/>
    </cacheField>
    <cacheField name="AVANCE META PRODUCTO CUATRIENIO DICIEMBREE 30 DE 2023" numFmtId="9">
      <sharedItems containsNonDate="0" containsString="0" containsBlank="1"/>
    </cacheField>
    <cacheField name="% de Avance cuatrienio Meta Producto4" numFmtId="9">
      <sharedItems containsNonDate="0" containsString="0" containsBlank="1"/>
    </cacheField>
    <cacheField name="Valor esperado 20232" numFmtId="9">
      <sharedItems containsNonDate="0" containsString="0" containsBlank="1"/>
    </cacheField>
    <cacheField name="AVANCE META PRODUCTO 2023 MARZO 30 DE 2023" numFmtId="9">
      <sharedItems containsNonDate="0" containsString="0" containsBlank="1"/>
    </cacheField>
    <cacheField name="AVANCE META PRODUCTO 2023 JUNIO 30 DE 2023" numFmtId="9">
      <sharedItems containsNonDate="0" containsString="0" containsBlank="1"/>
    </cacheField>
    <cacheField name="AVANCE META PRODUCTO 2023 SEPTIEMBRE 30 DE 2023" numFmtId="9">
      <sharedItems containsNonDate="0" containsString="0" containsBlank="1"/>
    </cacheField>
    <cacheField name="AVANCE META PRODUCTO 2023 DICIEMBRE DE 2023" numFmtId="9">
      <sharedItems containsNonDate="0" containsString="0" containsBlank="1"/>
    </cacheField>
    <cacheField name="% de Avance años meta producto 2023" numFmtId="9">
      <sharedItems containsNonDate="0" containsString="0" containsBlank="1"/>
    </cacheField>
    <cacheField name="Fuentes de Financiaciòn" numFmtId="0">
      <sharedItems containsBlank="1" containsMixedTypes="1" containsNumber="1" containsInteger="1" minValue="0" maxValue="0"/>
    </cacheField>
    <cacheField name="Rubro" numFmtId="0">
      <sharedItems containsBlank="1" containsMixedTypes="1" containsNumber="1" containsInteger="1" minValue="0" maxValue="0"/>
    </cacheField>
    <cacheField name="Total2" numFmtId="0">
      <sharedItems containsBlank="1" containsMixedTypes="1" containsNumber="1" containsInteger="1" minValue="0" maxValue="80000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61">
  <r>
    <x v="0"/>
    <x v="0"/>
    <n v="0.299210390168822"/>
    <n v="0.55461946185617905"/>
    <x v="0"/>
    <x v="0"/>
    <n v="1.8333333333333333E-2"/>
    <n v="0.26666666666666666"/>
    <x v="0"/>
    <x v="0"/>
    <n v="1.8333333333333333E-2"/>
    <n v="0.26666666666666666"/>
    <s v="1.1.1.1"/>
    <s v="100% de hogares acompañados priorizados de acuerdo a la estrategia Red Unidos"/>
    <s v="Porcentaje de hogares acompañados priorizados de acuerdo a la estrategia Red Unidos"/>
    <n v="1"/>
    <n v="1"/>
    <s v="1.1.1.1.1"/>
    <s v="1 alianza estratégica para disminuir la pobreza en el departamento de Bolívar"/>
    <s v="Número de alianzas estratégicas para disminuir la pobreza en el departamento de Bolívar"/>
    <n v="0"/>
    <n v="1"/>
    <m/>
    <m/>
    <n v="0"/>
    <m/>
    <m/>
    <m/>
    <s v="NP"/>
    <s v="Incremento"/>
    <s v="NA"/>
    <s v="NA"/>
    <n v="41"/>
    <s v="ODS1"/>
    <s v="SECRETARÍA DE LA MUJER"/>
    <m/>
    <m/>
    <m/>
  </r>
  <r>
    <x v="0"/>
    <x v="0"/>
    <m/>
    <m/>
    <x v="0"/>
    <x v="0"/>
    <m/>
    <m/>
    <x v="0"/>
    <x v="0"/>
    <m/>
    <m/>
    <s v="1.1.1.1"/>
    <s v="100% de hogares acompañados priorizados de acuerdo a la estrategia Red Unidos"/>
    <s v="Porcentaje de hogares acompañados priorizados de acuerdo a la estrategia Red Unidos"/>
    <n v="1"/>
    <n v="1"/>
    <s v="1.1.1.1.2"/>
    <s v="12  jornadas de identificación para población pobre y vulnerable"/>
    <s v="No. De jornadas de identificación para población pobre y vulnerable"/>
    <s v="ND"/>
    <n v="12"/>
    <m/>
    <m/>
    <n v="0"/>
    <m/>
    <m/>
    <m/>
    <s v="NP"/>
    <s v="Incremento"/>
    <s v="NA"/>
    <s v="NA"/>
    <n v="41"/>
    <s v="ODS1"/>
    <s v="SECRETARÍA DE LA MUJER"/>
    <m/>
    <m/>
    <m/>
  </r>
  <r>
    <x v="0"/>
    <x v="0"/>
    <m/>
    <m/>
    <x v="0"/>
    <x v="0"/>
    <m/>
    <m/>
    <x v="0"/>
    <x v="0"/>
    <m/>
    <m/>
    <s v="1.1.1.1"/>
    <s v="100% de hogares acompañados priorizados de acuerdo a la estrategia Red Unidos"/>
    <s v="Porcentaje de hogares acompañados priorizados de acuerdo a la estrategia Red Unidos"/>
    <n v="1"/>
    <n v="1"/>
    <s v="1.1.1.1.3"/>
    <s v="% de Personas vinculadas al sistema de seguridad social en salud en el departamento"/>
    <s v="% de Personas vinculadas al sistema de seguridad social en salud en el departamento"/>
    <n v="0.879"/>
    <n v="0.92"/>
    <n v="0"/>
    <n v="0"/>
    <n v="0"/>
    <n v="1"/>
    <n v="0"/>
    <n v="0"/>
    <n v="0"/>
    <s v="Incremento"/>
    <m/>
    <m/>
    <m/>
    <m/>
    <s v="SECRETARÍA DE SALUD"/>
    <m/>
    <m/>
    <m/>
  </r>
  <r>
    <x v="0"/>
    <x v="0"/>
    <m/>
    <m/>
    <x v="0"/>
    <x v="0"/>
    <m/>
    <m/>
    <x v="0"/>
    <x v="0"/>
    <m/>
    <m/>
    <s v="1.1.1.1"/>
    <s v="100% de hogares acompañados priorizados de acuerdo a la estrategia Red Unidos"/>
    <s v="Porcentaje de hogares acompañados priorizados de acuerdo a la estrategia Red Unidos"/>
    <n v="1"/>
    <n v="1"/>
    <s v="1.1.1.1.4"/>
    <s v="Número de municipios apoyados en la atención de niños menores de 10 años de familias en condición de pobreza con problemas de crecimiento y nutrición "/>
    <s v="Número de municipios apoyados en la atención de niños menores de 10 años de familias en condición de pobreza con problemas de crecimiento y nutrición "/>
    <s v="86.55"/>
    <n v="25"/>
    <m/>
    <m/>
    <n v="0"/>
    <m/>
    <m/>
    <m/>
    <s v="NP"/>
    <s v="Incremento"/>
    <m/>
    <m/>
    <m/>
    <m/>
    <s v="SECRETARÍA DE SALUD"/>
    <m/>
    <m/>
    <m/>
  </r>
  <r>
    <x v="0"/>
    <x v="0"/>
    <m/>
    <m/>
    <x v="0"/>
    <x v="0"/>
    <m/>
    <m/>
    <x v="0"/>
    <x v="0"/>
    <m/>
    <m/>
    <s v="1.1.1.1"/>
    <s v="100% de hogares acompañados priorizados de acuerdo a la estrategia Red Unidos"/>
    <s v="Porcentaje de hogares acompañados priorizados de acuerdo a la estrategia Red Unidos"/>
    <n v="1"/>
    <n v="1"/>
    <s v="1.1.1.1.5"/>
    <s v="% de niños y jóvenes en edad escolar de hogares en pobreza y pobreza extrema atendido por el sistema educativo."/>
    <s v="% de niños y jóvenes en edad escolar de hogares en pobreza y pobreza extrema atendido por el sistema educativo."/>
    <n v="0.86529999999999996"/>
    <n v="0.9"/>
    <m/>
    <m/>
    <n v="0"/>
    <m/>
    <m/>
    <m/>
    <s v="NP"/>
    <s v="Incremento"/>
    <m/>
    <m/>
    <m/>
    <m/>
    <s v="SECRETARÍA DE EDUCACIÓN"/>
    <m/>
    <m/>
    <m/>
  </r>
  <r>
    <x v="0"/>
    <x v="0"/>
    <m/>
    <m/>
    <x v="0"/>
    <x v="0"/>
    <m/>
    <m/>
    <x v="0"/>
    <x v="0"/>
    <m/>
    <m/>
    <s v="1.1.1.1"/>
    <s v="100% de hogares acompañados priorizados de acuerdo a la estrategia Red Unidos"/>
    <s v="Porcentaje de hogares acompañados priorizados de acuerdo a la estrategia Red Unidos"/>
    <n v="1"/>
    <n v="1"/>
    <s v="1.1.1.1.6"/>
    <s v="Alfabetizar a Los adultos de las familias en condición de pobreza extrema o en situación de desplazamiento entre 18 y 65 años "/>
    <s v="Alfabetizar a Los adultos de las familias en condición de pobreza extrema o en situación de desplazamiento entre 18 y 65 años "/>
    <n v="0.875"/>
    <n v="0.88500000000000001"/>
    <m/>
    <m/>
    <n v="0"/>
    <m/>
    <m/>
    <m/>
    <s v="NP"/>
    <s v="Incremento"/>
    <m/>
    <m/>
    <m/>
    <m/>
    <s v="SECRETARÍA DE EDUCACIÓN"/>
    <m/>
    <m/>
    <m/>
  </r>
  <r>
    <x v="0"/>
    <x v="0"/>
    <m/>
    <m/>
    <x v="0"/>
    <x v="0"/>
    <m/>
    <m/>
    <x v="0"/>
    <x v="0"/>
    <m/>
    <m/>
    <s v="1.1.1.1"/>
    <s v="100% de hogares acompañados priorizados de acuerdo a la estrategia Red Unidos"/>
    <s v="Porcentaje de hogares acompañados priorizados de acuerdo a la estrategia Red Unidos"/>
    <n v="1"/>
    <n v="1"/>
    <s v="1.1.1.1.7"/>
    <s v="Capacitar a 400 personas con énfasis en la Educación para el Trabajo y el Emprendimiento "/>
    <s v="Capacitar a 400 personas con énfasis en la Educación para el Trabajo y el Emprendimiento "/>
    <s v="ND"/>
    <n v="400"/>
    <n v="10"/>
    <n v="30"/>
    <n v="7.4999999999999997E-2"/>
    <n v="50"/>
    <n v="10"/>
    <n v="30"/>
    <n v="0.6"/>
    <s v="Incremento"/>
    <m/>
    <s v="Atención a grupos vulnerables - Promoción Social"/>
    <s v="A.14"/>
    <s v="Poner fin a la pobreza en todas sus formas en todo el mundo  -  Promover el crecimiento económico sostenido, inclusivo y sostenible, el empleo pleno y productivo y el trabajo decente para todos"/>
    <s v="SECRETARÍA DE PLANEACIÓN"/>
    <m/>
    <m/>
    <m/>
  </r>
  <r>
    <x v="0"/>
    <x v="0"/>
    <m/>
    <m/>
    <x v="0"/>
    <x v="0"/>
    <m/>
    <m/>
    <x v="0"/>
    <x v="0"/>
    <m/>
    <m/>
    <s v="1.1.1.1"/>
    <s v="100% de hogares acompañados priorizados de acuerdo a la estrategia Red Unidos"/>
    <s v="Porcentaje de hogares acompañados priorizados de acuerdo a la estrategia Red Unidos"/>
    <n v="1"/>
    <n v="1"/>
    <s v="1.1.1.1.8"/>
    <s v="4 actividades y/o proyectos apoyados para la Productividad, el Empleo y el Emprendimiento de la población bolivarense"/>
    <s v="Número de actividades y/o proyectos apoyados para la Productividad, el Empleo y el Emprendimiento de la población bolivarense"/>
    <n v="1"/>
    <n v="4"/>
    <n v="0"/>
    <n v="0"/>
    <n v="0"/>
    <n v="1"/>
    <n v="0"/>
    <n v="0"/>
    <n v="0"/>
    <s v="Incremento"/>
    <s v="SI"/>
    <s v="NA"/>
    <n v="41"/>
    <s v="ODS1"/>
    <s v="SECRETARÍA DE LA MUJER"/>
    <s v="ICLD"/>
    <s v="12.6.10.01.01.03"/>
    <n v="120000000"/>
  </r>
  <r>
    <x v="0"/>
    <x v="0"/>
    <m/>
    <m/>
    <x v="0"/>
    <x v="0"/>
    <m/>
    <m/>
    <x v="0"/>
    <x v="0"/>
    <m/>
    <m/>
    <s v="1.1.1.1"/>
    <s v="100% de hogares acompañados priorizados de acuerdo a la estrategia Red Unidos"/>
    <s v="Porcentaje de hogares acompañados priorizados de acuerdo a la estrategia Red Unidos"/>
    <n v="1"/>
    <n v="1"/>
    <s v="1.1.1.1.9"/>
    <s v="Promover la actualización de la política pública de seguridad alimentaria "/>
    <s v="Promover la actualización de la política pública de seguridad alimentaria "/>
    <n v="1"/>
    <n v="1"/>
    <m/>
    <m/>
    <n v="0"/>
    <m/>
    <m/>
    <m/>
    <s v="NP"/>
    <s v="Mantenimiento"/>
    <m/>
    <m/>
    <m/>
    <m/>
    <s v="SECRETARÍA DE SALUD"/>
    <m/>
    <m/>
    <m/>
  </r>
  <r>
    <x v="0"/>
    <x v="0"/>
    <m/>
    <m/>
    <x v="0"/>
    <x v="0"/>
    <m/>
    <m/>
    <x v="0"/>
    <x v="0"/>
    <m/>
    <m/>
    <s v="1.1.1.1"/>
    <s v="100% de hogares acompañados priorizados de acuerdo a la estrategia Red Unidos"/>
    <s v="Porcentaje de hogares acompañados priorizados de acuerdo a la estrategia Red Unidos"/>
    <s v="ND"/>
    <n v="1"/>
    <s v="1.1.1.1.10"/>
    <s v="Viviendas nuevas Iniciadas para hogares en condición de pobreza."/>
    <s v="Viviendas nuevas Iniciadas para hogares en condición de pobreza."/>
    <n v="48962"/>
    <n v="1000"/>
    <n v="0"/>
    <n v="200"/>
    <n v="0.2"/>
    <n v="200"/>
    <n v="0"/>
    <n v="200"/>
    <n v="1"/>
    <s v="Incremento"/>
    <m/>
    <s v="Vivienda"/>
    <n v="40"/>
    <s v="11 Ciudades y comunidades sostenibles"/>
    <s v="SECRETARÍA DE HÁBITAT"/>
    <m/>
    <m/>
    <m/>
  </r>
  <r>
    <x v="0"/>
    <x v="0"/>
    <m/>
    <m/>
    <x v="0"/>
    <x v="0"/>
    <m/>
    <m/>
    <x v="0"/>
    <x v="0"/>
    <m/>
    <m/>
    <s v="1.1.1.1"/>
    <s v="100% de hogares acompañados priorizados de acuerdo a la estrategia Red Unidos"/>
    <s v="Porcentaje de hogares acompañados priorizados de acuerdo a la estrategia Red Unidos"/>
    <s v="ND"/>
    <n v="1"/>
    <s v="1.1.1.1.11"/>
    <s v="Mejoramientos de vivienda iniciados para hogares en condición de pobreza."/>
    <s v="Mejoramientos de vivienda iniciados para hogares en condición de pobreza."/>
    <n v="179570"/>
    <n v="2600"/>
    <m/>
    <m/>
    <n v="0"/>
    <m/>
    <m/>
    <m/>
    <s v="NP"/>
    <s v="Incremento"/>
    <m/>
    <s v="Vivienda"/>
    <n v="40"/>
    <s v="11 Ciudades y comunidades sostenibles"/>
    <s v="SECRETARÍA DE HÁBITAT"/>
    <m/>
    <m/>
    <m/>
  </r>
  <r>
    <x v="0"/>
    <x v="0"/>
    <m/>
    <m/>
    <x v="0"/>
    <x v="0"/>
    <m/>
    <m/>
    <x v="0"/>
    <x v="0"/>
    <m/>
    <m/>
    <s v="1.1.1.1"/>
    <s v="100% de hogares acompañados priorizados de acuerdo a la estrategia Red Unidos"/>
    <s v="Porcentaje de hogares acompañados priorizados de acuerdo a la estrategia Red Unidos"/>
    <n v="1"/>
    <n v="1"/>
    <s v="1.1.1.1.12"/>
    <s v="500 personas en pobreza y pobreza extrema con asistencia técnica para fortalecer sus unidades productivas"/>
    <s v="Número de personas en pobreza y pobreza extrema con asistencia técnica para fortalecer sus unidades productivas"/>
    <n v="0"/>
    <n v="500"/>
    <n v="0"/>
    <n v="0"/>
    <n v="0"/>
    <n v="50"/>
    <n v="0"/>
    <n v="0"/>
    <n v="0"/>
    <s v="Incremento"/>
    <s v="NO"/>
    <s v="GESTIÓN"/>
    <n v="41"/>
    <s v="ODS1"/>
    <s v="SECRETARÍA DE LA MUJER"/>
    <s v="NA"/>
    <s v="12.6.10.01.01.04"/>
    <s v="NA"/>
  </r>
  <r>
    <x v="0"/>
    <x v="0"/>
    <m/>
    <m/>
    <x v="0"/>
    <x v="0"/>
    <m/>
    <m/>
    <x v="0"/>
    <x v="0"/>
    <m/>
    <m/>
    <s v="1.1.1.1"/>
    <s v="100% de hogares acompañados priorizados de acuerdo a la estrategia Red Unidos"/>
    <s v="Porcentaje de hogares acompañados priorizados de acuerdo a la estrategia Red Unidos"/>
    <n v="1"/>
    <n v="1"/>
    <s v="1.1.1.1.13"/>
    <s v="Número de actividades y/o proyectos apoyados para la Productividad, el Empleo y el Emprendimiento de la población bolivarense"/>
    <s v="Número de actividades y/o proyectos apoyados para la Productividad, el Empleo y el Emprendimiento de la población bolivarense"/>
    <n v="1"/>
    <n v="4"/>
    <m/>
    <m/>
    <n v="0"/>
    <m/>
    <m/>
    <m/>
    <s v="NP"/>
    <s v="Incremento"/>
    <m/>
    <m/>
    <m/>
    <m/>
    <s v="SECRETARÍA DE LA MUJER"/>
    <m/>
    <m/>
    <m/>
  </r>
  <r>
    <x v="0"/>
    <x v="0"/>
    <m/>
    <m/>
    <x v="0"/>
    <x v="0"/>
    <m/>
    <m/>
    <x v="0"/>
    <x v="0"/>
    <m/>
    <m/>
    <s v="1.1.1.1"/>
    <s v="100% de hogares acompañados priorizados de acuerdo a la estrategia Red Unidos"/>
    <s v="Porcentaje de hogares acompañados priorizados de acuerdo a la estrategia Red Unidos"/>
    <n v="1"/>
    <n v="1"/>
    <s v="1.1.1.1.14"/>
    <s v="Número de apoyos técnicos y financiero a negocios familiares de población en condición de pobreza"/>
    <s v="Número de apoyos técnicos y financiero a negocios familiares de población en condición de pobreza"/>
    <n v="0"/>
    <n v="400"/>
    <m/>
    <m/>
    <n v="0"/>
    <m/>
    <m/>
    <m/>
    <s v="NP"/>
    <s v="Incremento"/>
    <m/>
    <m/>
    <m/>
    <m/>
    <s v="SECRETARÍA DE LA MUJER"/>
    <m/>
    <m/>
    <m/>
  </r>
  <r>
    <x v="0"/>
    <x v="0"/>
    <m/>
    <m/>
    <x v="0"/>
    <x v="0"/>
    <m/>
    <m/>
    <x v="0"/>
    <x v="0"/>
    <m/>
    <m/>
    <s v="1.1.1.1"/>
    <s v="100 % de Población rural bolivarense a la que se le garantiza el goce y disfrute de sus derechos sociales."/>
    <s v="Porcentaje de hogares acompañados priorizados de acuerdo a la estrategia Red Unidos"/>
    <n v="1"/>
    <n v="1"/>
    <s v="1.1.1.1.15"/>
    <s v="500 familias_x000a_capacitadas acerca las_x000a_características de los_x000a_distintos servicios_x000a_financieros y accediendo_x000a_a ellos"/>
    <s v="Número de familias_x000a_capacitadas acerca las_x000a_características de los_x000a_distintos servicios_x000a_financieros y accediendo_x000a_a ellos"/>
    <n v="0"/>
    <n v="500"/>
    <n v="0"/>
    <n v="0"/>
    <n v="0"/>
    <n v="100"/>
    <n v="0"/>
    <n v="0"/>
    <n v="0"/>
    <s v="Incremento"/>
    <s v="NO"/>
    <s v="GESTIÓN"/>
    <n v="41"/>
    <s v="ODS1"/>
    <s v="SECRETARÍA DE LA MUJER"/>
    <s v="NA"/>
    <s v="12.6.10.01.01.05"/>
    <s v="NA"/>
  </r>
  <r>
    <x v="0"/>
    <x v="0"/>
    <m/>
    <m/>
    <x v="1"/>
    <x v="1"/>
    <n v="0.30053725916719914"/>
    <n v="0.5916005606503153"/>
    <x v="1"/>
    <x v="1"/>
    <n v="0.31537623697408296"/>
    <n v="0.5916005606503153"/>
    <s v="1.2.1.1"/>
    <s v="Mejorar en las Instituciones Educativas Oficiales porcentualmente   los Resultados de Prueba Saber 11"/>
    <s v="Instituciones_x000a_Educativas oficiales que alcanzan_x000a_niveles destacados_x000a_de calificación (A+, A, B y C) en_x000a_pruebas saber 11."/>
    <n v="16.399999999999999"/>
    <n v="30"/>
    <s v="1.2.1.1.1"/>
    <s v="Implementar  la Jornada Única en los Establecimientos Educativos Oficiales  que cumplan con los Lineamientos del MEN"/>
    <s v="Establecimientos educativos con_x000a_jornada única"/>
    <n v="6"/>
    <n v="26"/>
    <n v="9"/>
    <n v="9"/>
    <n v="0.34615384615384615"/>
    <n v="9"/>
    <n v="9"/>
    <n v="9"/>
    <n v="1"/>
    <s v="Incremento"/>
    <m/>
    <s v="A.1.1.2.1"/>
    <n v="22"/>
    <m/>
    <s v="SECRETARÍA DE EDUCACIÓN"/>
    <m/>
    <m/>
    <m/>
  </r>
  <r>
    <x v="0"/>
    <x v="0"/>
    <m/>
    <m/>
    <x v="1"/>
    <x v="1"/>
    <m/>
    <m/>
    <x v="1"/>
    <x v="1"/>
    <m/>
    <m/>
    <s v="1.2.1.2"/>
    <s v="Mejorar el Indicador  numérico del ISCE de la Básica Primaria"/>
    <s v="Índice Sintético de Calidad Educativa_x000a_– ISCE Primaria"/>
    <n v="4.83"/>
    <n v="4.8499999999999996"/>
    <s v="1.2.1.2.1"/>
    <s v="Instituciones Educativas Oficiales  Construidas"/>
    <s v="Espacios pedagógicos Nuevos"/>
    <n v="555"/>
    <n v="420"/>
    <n v="0"/>
    <n v="139"/>
    <n v="0.33095238095238094"/>
    <n v="200"/>
    <n v="0"/>
    <n v="139"/>
    <n v="0.69499999999999995"/>
    <s v="Incremento"/>
    <m/>
    <s v="A.1.1.2.1 "/>
    <n v="22"/>
    <m/>
    <s v="SECRETARÍA DE EDUCACIÓN"/>
    <m/>
    <m/>
    <m/>
  </r>
  <r>
    <x v="0"/>
    <x v="0"/>
    <m/>
    <m/>
    <x v="1"/>
    <x v="1"/>
    <m/>
    <m/>
    <x v="1"/>
    <x v="1"/>
    <m/>
    <m/>
    <s v="1.2.1.3"/>
    <s v="Mejorar el Indicador  numérico del ISCE de la Básica Secundaria"/>
    <s v="Índice Sintético de Calidad Educativa_x000a_– ISCE Secundaria"/>
    <n v="4.74"/>
    <n v="4.75"/>
    <s v="1.2.1.3.1"/>
    <s v=" Ampliación y mejoramiento de_x000a_la infraestructura educativa por Ley 21 de 1982 "/>
    <s v="Espacios pedagógicos_x000a_mejorados"/>
    <n v="146"/>
    <n v="350"/>
    <n v="0"/>
    <n v="25"/>
    <n v="7.1428571428571425E-2"/>
    <n v="200"/>
    <n v="0"/>
    <n v="25"/>
    <n v="0.125"/>
    <s v="Incremento"/>
    <m/>
    <s v="A.1.1.2.1"/>
    <n v="22"/>
    <m/>
    <s v="SECRETARÍA DE EDUCACIÓN"/>
    <m/>
    <m/>
    <m/>
  </r>
  <r>
    <x v="0"/>
    <x v="0"/>
    <m/>
    <m/>
    <x v="1"/>
    <x v="1"/>
    <m/>
    <m/>
    <x v="1"/>
    <x v="1"/>
    <m/>
    <m/>
    <s v="1.2.1.4"/>
    <s v="Mejorar el Indicador  numérico del ISCE de la Media"/>
    <s v="Índice Sintético de Calidad Educativa_x000a_– ISCE Media."/>
    <n v="4.5999999999999996"/>
    <n v="5"/>
    <s v="1.2.1.4.1"/>
    <s v="Dotar  con  Mobiliario  Escalar a las Instituciones Educativas Técnicas Oficiales "/>
    <s v="Establecimientos educativos con_x000a_dotación básica"/>
    <n v="43"/>
    <n v="100"/>
    <n v="0"/>
    <n v="26"/>
    <n v="0.26"/>
    <n v="25"/>
    <n v="0"/>
    <n v="25"/>
    <n v="1"/>
    <s v="Incremento"/>
    <m/>
    <s v="A.1.1.2.1 "/>
    <n v="22"/>
    <m/>
    <s v="SECRETARÍA DE EDUCACIÓN"/>
    <m/>
    <m/>
    <m/>
  </r>
  <r>
    <x v="0"/>
    <x v="0"/>
    <m/>
    <m/>
    <x v="1"/>
    <x v="1"/>
    <m/>
    <m/>
    <x v="1"/>
    <x v="1"/>
    <m/>
    <m/>
    <s v="1.2.1.4"/>
    <s v="Mejorar el Indicador  numérico del ISCE de la Media"/>
    <s v="Índice Sintético de Calidad Educativa_x000a_– ISCE Media."/>
    <n v="4.5999999999999996"/>
    <n v="5"/>
    <s v="1.2.1.4.2"/>
    <s v="Dotar  con  Material Didáctico y Dispositivos  Electrónicos a las Instituciones Educativas  Técnicas Oficiales "/>
    <s v="Establecimiento educativo con_x000a_dotación especializada"/>
    <n v="4"/>
    <n v="50"/>
    <n v="0"/>
    <n v="0"/>
    <n v="0"/>
    <n v="20"/>
    <n v="0"/>
    <n v="0"/>
    <n v="0"/>
    <s v="Incremento"/>
    <m/>
    <s v="A.1.1.2.1"/>
    <n v="22"/>
    <m/>
    <s v="SECRETARÍA DE EDUCACIÓN"/>
    <m/>
    <m/>
    <m/>
  </r>
  <r>
    <x v="0"/>
    <x v="0"/>
    <m/>
    <m/>
    <x v="1"/>
    <x v="1"/>
    <m/>
    <m/>
    <x v="1"/>
    <x v="1"/>
    <m/>
    <m/>
    <s v="1.2.1.3"/>
    <s v="Aumentar el servicio  de  Asistencia Técnica en  Instituciones educativas oficiales_x000a_"/>
    <s v="Índice Sintético de Calidad Educativa_x000a_– ISCE Secundaria"/>
    <n v="4.74"/>
    <n v="4.75"/>
    <s v="1.2.1.3.2"/>
    <s v="Prestar Asistencias Técnicas   Instituciones  Educativas oficiales"/>
    <s v="Asistencias técnicas a I.E. en_x000a_referentes técnicos de_x000a_Educación inicial, preescolar y_x000a_Bases curriculares"/>
    <n v="50"/>
    <n v="226"/>
    <n v="226"/>
    <n v="226"/>
    <n v="1"/>
    <n v="226"/>
    <n v="226"/>
    <n v="226"/>
    <n v="1"/>
    <s v="Incremento"/>
    <m/>
    <s v="A.1.1.2.1 "/>
    <n v="22"/>
    <m/>
    <s v="SECRETARÍA DE EDUCACIÓN"/>
    <m/>
    <m/>
    <m/>
  </r>
  <r>
    <x v="0"/>
    <x v="0"/>
    <m/>
    <m/>
    <x v="1"/>
    <x v="1"/>
    <m/>
    <m/>
    <x v="1"/>
    <x v="1"/>
    <m/>
    <m/>
    <s v="1.2.1.3"/>
    <s v="Mejorar los Resultados de Prueba Saber  en las Instituciones Educativas Oficiales con la Intervención del PTA"/>
    <s v="Índice Sintético de Calidad Educativa_x000a_– ISCE Secundaria"/>
    <n v="4.74"/>
    <n v="4.75"/>
    <s v="1.2.1.3.3"/>
    <s v="Establecimientos Educativos  Oficiales Intervenidos con e l Programa Todos a Aprender  (PTA)"/>
    <s v="Establecimientos Educativos_x000a_que mejoraron los resultados en_x000a_las Pruebas Saber (PTA)"/>
    <n v="85"/>
    <n v="167"/>
    <n v="167"/>
    <n v="167"/>
    <n v="1"/>
    <n v="167"/>
    <n v="167"/>
    <n v="167"/>
    <n v="1"/>
    <s v="Incremento"/>
    <m/>
    <s v="A.1.1.2.1 "/>
    <n v="22"/>
    <m/>
    <s v="SECRETARÍA DE EDUCACIÓN"/>
    <m/>
    <m/>
    <m/>
  </r>
  <r>
    <x v="0"/>
    <x v="0"/>
    <m/>
    <m/>
    <x v="1"/>
    <x v="1"/>
    <m/>
    <m/>
    <x v="1"/>
    <x v="1"/>
    <m/>
    <m/>
    <s v="1.2.1.4"/>
    <s v="Establecimientos Educativos  oficiales que articulan la educación_x000a_media con programas de_x000a_formación complementaria a_x000a_través de alianzas con el Sena,_x000a_IES e IETDH "/>
    <s v="Índice Sintético de Calidad Educativa_x000a_– ISCE Media."/>
    <n v="4.5999999999999996"/>
    <n v="5"/>
    <s v="1.2.1.4.3"/>
    <s v="( Convenio con el SENA ) Instituciones  Educativas Técnicas Oficiales  Fortalecidas  a través del Programas de Educación para el Trabajo y el Desarrollo "/>
    <s v="Establecimientos educativos_x000a_que articulan la educación_x000a_media con programas de_x000a_formación complementaria a_x000a_través de alianzas con el Sena,_x000a_IES e IETDH"/>
    <n v="40"/>
    <n v="150"/>
    <n v="0"/>
    <n v="0"/>
    <n v="0"/>
    <n v="40"/>
    <n v="0"/>
    <n v="0"/>
    <n v="0"/>
    <s v="Incremento"/>
    <m/>
    <s v="A.1.1.2.1 "/>
    <n v="22"/>
    <m/>
    <s v="SECRETARÍA DE EDUCACIÓN"/>
    <m/>
    <m/>
    <m/>
  </r>
  <r>
    <x v="0"/>
    <x v="0"/>
    <m/>
    <m/>
    <x v="1"/>
    <x v="1"/>
    <m/>
    <m/>
    <x v="1"/>
    <x v="1"/>
    <m/>
    <m/>
    <s v="1.2.1.3"/>
    <s v=" Docentes y estudiantes  focalizados ,innovadores conociendo estrategias para generar el pensamiento crítico y creativo en el proceso de formación académica, ..."/>
    <s v="Índice Sintético de Calidad Educativa_x000a_– ISCE Secundaria"/>
    <n v="4.74"/>
    <n v="4.75"/>
    <s v="1.2.1.3.4"/>
    <s v=" Docentes y Estudiantes  focalizados empoderados con la innovación y la aplicación de  estrategias para generar el pensamiento crítico "/>
    <s v="Establecimientos focalizados_x000a_con Estrategias para el_x000a_fortalecimiento de las culturas_x000a_de la innovación y pensamiento_x000a_crítico."/>
    <n v="60"/>
    <n v="70"/>
    <m/>
    <m/>
    <n v="0"/>
    <m/>
    <m/>
    <m/>
    <s v="NP"/>
    <s v="Incremento"/>
    <m/>
    <s v="A.1.1.2.1 "/>
    <n v="22"/>
    <m/>
    <s v="SECRETARÍA DE EDUCACIÓN"/>
    <m/>
    <m/>
    <m/>
  </r>
  <r>
    <x v="0"/>
    <x v="0"/>
    <m/>
    <m/>
    <x v="1"/>
    <x v="1"/>
    <m/>
    <m/>
    <x v="1"/>
    <x v="1"/>
    <m/>
    <m/>
    <s v="1.2.1.3"/>
    <s v="Aplicación de los DBA basado en los  Lineamientos_x000a_Curriculares y los Estándares Básicos de_x000a_Competencias  (EBC)) "/>
    <s v="Índice Sintético de Calidad Educativa_x000a_– ISCE Secundaria"/>
    <n v="4.74"/>
    <n v="4.75"/>
    <s v="1.2.1.3.5"/>
    <s v="Comunidad Educativa Fortalecida de acuerdo a sus procesos  de diseño curricular_x000a_de área y de aulacon la incorporación de los DBA"/>
    <s v="Establecimientos educativos_x000a_fortalecidos en estándares y Derechos Básicos de_x000a_Aprendizaje."/>
    <n v="24"/>
    <n v="226"/>
    <n v="0"/>
    <n v="170"/>
    <n v="0.75221238938053092"/>
    <n v="226"/>
    <n v="0"/>
    <n v="170"/>
    <n v="0.75221238938053092"/>
    <s v="Incremento"/>
    <m/>
    <s v="A.1.1.2.1 "/>
    <n v="22"/>
    <m/>
    <s v="SECRETARÍA DE EDUCACIÓN"/>
    <m/>
    <m/>
    <m/>
  </r>
  <r>
    <x v="0"/>
    <x v="0"/>
    <m/>
    <m/>
    <x v="1"/>
    <x v="1"/>
    <m/>
    <m/>
    <x v="1"/>
    <x v="1"/>
    <m/>
    <m/>
    <s v="1.2.1.3"/>
    <s v="Mejorar la Calidad Educativa con la implementación de un Observatorio  que responda a las necesidades Educativas  y sirva de Apoyo a la investigación  "/>
    <s v="Índice Sintético de Calidad Educativa_x000a_– ISCE Secundaria"/>
    <n v="4.74"/>
    <n v="4.75"/>
    <s v="1.2.1.3.6"/>
    <s v="Establecimiento Educativo Oficial que mejoran su Calidad Educativa"/>
    <s v="Observatorios de Calidad_x000a_Educativa creados e_x000a_implementados."/>
    <n v="0"/>
    <n v="1"/>
    <m/>
    <m/>
    <n v="0"/>
    <m/>
    <m/>
    <m/>
    <s v="NP"/>
    <s v="Incremento"/>
    <m/>
    <s v="A.1.1.2.1"/>
    <n v="22"/>
    <m/>
    <s v="SECRETARÍA DE EDUCACIÓN"/>
    <m/>
    <m/>
    <m/>
  </r>
  <r>
    <x v="0"/>
    <x v="0"/>
    <m/>
    <m/>
    <x v="1"/>
    <x v="1"/>
    <m/>
    <m/>
    <x v="1"/>
    <x v="1"/>
    <m/>
    <m/>
    <s v="1.2.1.4"/>
    <s v="Implementar de manera prioritaria los Programas de Desarrollo con Enfoque Territorial (PDET) en la subregión Sur de Bolívar y Montes de María."/>
    <s v="Índice Sintético de Calidad Educativa_x000a_– ISCE Media."/>
    <n v="4.5999999999999996"/>
    <n v="5"/>
    <s v="1.2.1.4.4"/>
    <s v="Instituciones Educativas Oficiales Rurales  que disminuyen las Brechas de desigualdad"/>
    <s v="Municipios PDET aplicando_x000a_estrategias de cierre de brechas_x000a_en fortalecimiento de la_x000a_educación de emprendimiento y_x000a_desarrollo sostenible"/>
    <n v="0"/>
    <n v="13"/>
    <m/>
    <m/>
    <n v="0"/>
    <m/>
    <m/>
    <m/>
    <s v="NP"/>
    <s v="Incremento"/>
    <m/>
    <s v="A.1.1.2.1 "/>
    <n v="22"/>
    <m/>
    <s v="SECRETARÍA DE EDUCACIÓN"/>
    <m/>
    <m/>
    <m/>
  </r>
  <r>
    <x v="0"/>
    <x v="0"/>
    <m/>
    <m/>
    <x v="1"/>
    <x v="1"/>
    <m/>
    <m/>
    <x v="1"/>
    <x v="1"/>
    <m/>
    <m/>
    <s v="1.2.1.2"/>
    <s v="Ruta establecida como estrategia  para el mejoramiento continuo del Sistema Institucional de Evaluación de los Estudiantes (SIEE)"/>
    <s v="Índice Sintético de Calidad Educativa_x000a_– ISCE Primaria"/>
    <n v="4.83"/>
    <n v="4.8499999999999996"/>
    <s v="1.2.1.2.2"/>
    <s v="Instituciones Educativas Oficiales Evaluadas"/>
    <s v="Establecimientos Educativos con_x000a_Acuerdos por la Excelencia del_x000a_día E"/>
    <n v="89"/>
    <n v="226"/>
    <n v="0"/>
    <n v="0"/>
    <n v="0"/>
    <n v="226"/>
    <n v="0"/>
    <n v="0"/>
    <n v="0"/>
    <s v="Mantenimiento"/>
    <m/>
    <s v="A.1.1.2.1 "/>
    <n v="22"/>
    <m/>
    <s v="SECRETARÍA DE EDUCACIÓN"/>
    <m/>
    <m/>
    <m/>
  </r>
  <r>
    <x v="0"/>
    <x v="0"/>
    <m/>
    <m/>
    <x v="1"/>
    <x v="1"/>
    <m/>
    <m/>
    <x v="1"/>
    <x v="1"/>
    <m/>
    <m/>
    <s v="1.2.1.3"/>
    <s v="Prestar Asistencias Técnicas   como estrategia pedagógicas para fortalecer  las diferentes dimensiones del ser_x000a_(lúdicas, recreativas y culturales)"/>
    <s v="Índice Sintético de Calidad Educativa_x000a_– ISCE Secundaria"/>
    <n v="4.74"/>
    <n v="4.75"/>
    <s v="1.2.1.3.7"/>
    <s v="Establecimientos Educativos Oficiales  Fortalecidos  en el desarrollo de las aptitudes de los  estudiantes como base de formación integral"/>
    <s v="Establecimientos educativos con_x000a_asistencia técnica y apoyados en_x000a_actividades pedagógicas,_x000a_lúdicas, recreativas y culturales"/>
    <n v="225"/>
    <n v="226"/>
    <n v="170"/>
    <n v="170"/>
    <n v="0.75221238938053092"/>
    <n v="226"/>
    <n v="170"/>
    <n v="170"/>
    <n v="0.75221238938053092"/>
    <s v="Mantenimiento"/>
    <m/>
    <s v="A.1.1.2.1 "/>
    <n v="22"/>
    <m/>
    <s v="SECRETARÍA DE EDUCACIÓN"/>
    <m/>
    <m/>
    <m/>
  </r>
  <r>
    <x v="0"/>
    <x v="0"/>
    <m/>
    <m/>
    <x v="1"/>
    <x v="1"/>
    <m/>
    <m/>
    <x v="1"/>
    <x v="1"/>
    <m/>
    <m/>
    <s v="1.2.1.3"/>
    <s v="Docentes que mejoran sus competencias comunicativa en inglés nivel B2."/>
    <s v="Índice Sintético de Calidad Educativa_x000a_– ISCE Secundaria"/>
    <n v="4.74"/>
    <n v="4.75"/>
    <s v="1.2.1.3.8"/>
    <s v="Docentes con alta calidad de Acreditación"/>
    <s v="Docentes Capacitados y_x000a_certificados internacionalmente_x000a_en inglés nivel B2."/>
    <n v="65"/>
    <n v="96"/>
    <m/>
    <m/>
    <n v="0"/>
    <m/>
    <m/>
    <m/>
    <s v="NP"/>
    <s v="Incremento"/>
    <m/>
    <s v="A.1.1.2.1 "/>
    <n v="22"/>
    <m/>
    <s v="SECRETARÍA DE EDUCACIÓN"/>
    <m/>
    <m/>
    <m/>
  </r>
  <r>
    <x v="0"/>
    <x v="0"/>
    <m/>
    <m/>
    <x v="1"/>
    <x v="1"/>
    <m/>
    <m/>
    <x v="1"/>
    <x v="1"/>
    <m/>
    <m/>
    <s v="1.2.1.2"/>
    <s v="Inclusión de niños,niñas y jóvenes al Sistema educativo_x000a_ con necesidades educativas especiales"/>
    <s v="Índice Sintético de Calidad Educativa_x000a_– ISCE Primaria"/>
    <n v="4.83"/>
    <n v="4.8499999999999996"/>
    <s v="1.2.1.2.3"/>
    <s v="Estudiantes con limitaciones  físicas, sensoriales, psíquicas, cognoscitivas, emocIonales o con capacidades  excepcionales Atendidos_x000a_'intelectuales excepcionales_x000a_'intelectuales excepcionales_x000a_'intelectuales excepcionales,Atentidos"/>
    <s v="Estudiantes con necesidades_x000a_educativas especiales_x000a_atendidos."/>
    <n v="3031"/>
    <n v="3506"/>
    <n v="3254"/>
    <n v="3254"/>
    <n v="0.92812321734169989"/>
    <n v="3254"/>
    <n v="3254"/>
    <n v="3254"/>
    <n v="1"/>
    <s v="Incremento"/>
    <m/>
    <s v="A.1.1.2.1 "/>
    <n v="22"/>
    <m/>
    <s v="SECRETARÍA DE EDUCACIÓN"/>
    <m/>
    <m/>
    <m/>
  </r>
  <r>
    <x v="0"/>
    <x v="0"/>
    <m/>
    <m/>
    <x v="1"/>
    <x v="1"/>
    <m/>
    <m/>
    <x v="1"/>
    <x v="1"/>
    <m/>
    <m/>
    <s v="1.2.1.2"/>
    <s v="Estudiantes con  potencial  y talentos  excepcionales identificados"/>
    <s v="Índice Sintético de Calidad Educativa_x000a_– ISCE Primaria"/>
    <n v="4.83"/>
    <n v="4.8499999999999996"/>
    <s v="1.2.1.2.4"/>
    <s v="Estudiantes con  potencial  y talentos  excepcionales Atendidos"/>
    <s v="Estudiantes con talentos_x000a_excepcionales atendidos"/>
    <n v="252"/>
    <n v="252"/>
    <n v="252"/>
    <n v="252"/>
    <n v="1"/>
    <n v="252"/>
    <n v="252"/>
    <n v="252"/>
    <n v="1"/>
    <s v="Incremento"/>
    <m/>
    <s v="A.1.1.2.1"/>
    <n v="22"/>
    <m/>
    <s v="SECRETARÍA DE EDUCACIÓN"/>
    <m/>
    <m/>
    <m/>
  </r>
  <r>
    <x v="0"/>
    <x v="0"/>
    <m/>
    <m/>
    <x v="1"/>
    <x v="1"/>
    <m/>
    <m/>
    <x v="1"/>
    <x v="1"/>
    <m/>
    <m/>
    <s v="1.2.1.4"/>
    <s v="Revisión y Retroalimentación de los proyectos Etnoeducativos como estrategia de desarrollo y sostenibilidad que responda a la preservación de sus costumbres, creencias  y tradiciones lingüísticas"/>
    <s v="Índice Sintético de Calidad Educativa_x000a_– ISCE Media."/>
    <n v="4.5999999999999996"/>
    <n v="5"/>
    <s v="1.2.1.4.5"/>
    <s v="Instituciones Etnoeducativas oficiales  Fortalecidas"/>
    <s v="Instituciones educativas_x000a_focalizadas en su PEC como_x000a_etnoeducativas fortalecidos"/>
    <n v="0"/>
    <n v="11"/>
    <n v="1"/>
    <n v="2"/>
    <n v="0.18181818181818182"/>
    <n v="11"/>
    <n v="1"/>
    <n v="2"/>
    <n v="0.18181818181818182"/>
    <s v="Mantenimiento"/>
    <m/>
    <s v="A.1.1.2.1"/>
    <n v="22"/>
    <m/>
    <s v="SECRETARÍA DE EDUCACIÓN"/>
    <m/>
    <m/>
    <m/>
  </r>
  <r>
    <x v="0"/>
    <x v="0"/>
    <m/>
    <m/>
    <x v="1"/>
    <x v="1"/>
    <m/>
    <m/>
    <x v="1"/>
    <x v="1"/>
    <m/>
    <m/>
    <s v="1.2.1.2"/>
    <s v="Identificar las necesidades  educativas  y caracterización de Directivos Docente y Docentes por medio de los Planes Territoriales de Formación Docente(PTFD)"/>
    <s v="Índice Sintético de Calidad Educativa_x000a_– ISCE Primaria"/>
    <n v="4.83"/>
    <n v="4.8499999999999996"/>
    <s v="1.2.1.2.5"/>
    <s v="Directivos Docentes y Docentes Formados  con alta calidad de Acreditación"/>
    <s v="Docentes y directivos docentes_x000a_Vinculados a la planta educativa_x000a_en programas de alto nivel."/>
    <n v="358"/>
    <n v="500"/>
    <m/>
    <m/>
    <n v="0"/>
    <m/>
    <m/>
    <m/>
    <s v="NP"/>
    <s v="Incremento"/>
    <m/>
    <s v="A.1.1.2.1"/>
    <n v="22"/>
    <m/>
    <s v="SECRETARÍA DE EDUCACIÓN"/>
    <m/>
    <m/>
    <m/>
  </r>
  <r>
    <x v="0"/>
    <x v="0"/>
    <m/>
    <m/>
    <x v="1"/>
    <x v="1"/>
    <m/>
    <m/>
    <x v="1"/>
    <x v="1"/>
    <m/>
    <m/>
    <s v="1.2.1.4"/>
    <s v="Jóvenes  en el tránsito hacia la educación superior y/o con mejores  ofertas  laborales "/>
    <s v="Índice Sintético de Calidad Educativa_x000a_– ISCE Media."/>
    <n v="4.5999999999999996"/>
    <n v="5"/>
    <s v="1.2.1.4.6"/>
    <s v="Estudiantes graduados con doble titulación en la educación media "/>
    <s v="Estudiantes de educación media_x000a_con doble titulación"/>
    <n v="2000"/>
    <n v="2000"/>
    <n v="0"/>
    <n v="0"/>
    <n v="0"/>
    <n v="2000"/>
    <n v="0"/>
    <n v="0"/>
    <n v="0"/>
    <s v="Mantenimiento"/>
    <m/>
    <s v="A.1.1.2.1"/>
    <n v="22"/>
    <m/>
    <s v="SECRETARÍA DE EDUCACIÓN"/>
    <m/>
    <m/>
    <m/>
  </r>
  <r>
    <x v="0"/>
    <x v="0"/>
    <m/>
    <m/>
    <x v="1"/>
    <x v="1"/>
    <m/>
    <m/>
    <x v="1"/>
    <x v="1"/>
    <m/>
    <m/>
    <s v="1.2.1.2"/>
    <s v="Establecer Convenio  o Alianzas con Entidades no Gubernamentales e Interadministrativas que contribuyan a cerrar las brechas de inequidad.,asimismo  tenga la idoneidad sobre el conjunto de conocimientos y de habilidades cognitivas, emocionales y comunicativas, estrategia que busca formar a los educadores en el desarrollo de competencias ciudadanas"/>
    <s v="Índice Sintético de Calidad Educativa_x000a_– ISCE Primaria"/>
    <n v="4.83"/>
    <n v="4.8499999999999996"/>
    <s v="1.2.1.2.6"/>
    <s v="Implementación de Convenio o Alianzas para el desarrollo de Competencias Ciudadanas"/>
    <s v="Convenios implementados para_x000a_desarrollar programas de_x000a_fortalecimiento de_x000a_competencias en educación_x000a_para la paz, convivencia y_x000a_democracia"/>
    <n v="10"/>
    <n v="10"/>
    <m/>
    <m/>
    <n v="0"/>
    <m/>
    <m/>
    <m/>
    <s v="NP"/>
    <s v="Incremento"/>
    <m/>
    <s v="A.1.1.2.1"/>
    <n v="22"/>
    <m/>
    <s v="SECRETARÍA DE EDUCACIÓN"/>
    <m/>
    <m/>
    <m/>
  </r>
  <r>
    <x v="0"/>
    <x v="0"/>
    <m/>
    <m/>
    <x v="1"/>
    <x v="1"/>
    <m/>
    <m/>
    <x v="2"/>
    <x v="2"/>
    <n v="0.16564022533180717"/>
    <n v="0.33688230021878229"/>
    <s v="1.2.2.1"/>
    <s v="Mayor numero de niños, niñas y jovenes en edad escolar accedan al sistema publico educativo, con el objetivo de aumentar las tasas de cobertura neta."/>
    <s v="Tasa de Cobertura Neta"/>
    <s v="86.53"/>
    <n v="90"/>
    <s v="1.2.2.1.1"/>
    <s v="Prestación del servicio educativo a niños, niñas y jovenes en edad escolar en los niveles de 0 a 13 Grado ."/>
    <s v="Estudiantes que acceden a_x000a_la educación"/>
    <n v="211987"/>
    <n v="219505"/>
    <n v="2463"/>
    <n v="2463"/>
    <n v="1.1220701122981253E-2"/>
    <n v="1880"/>
    <n v="2463"/>
    <m/>
    <n v="0"/>
    <s v="Incremento"/>
    <m/>
    <s v="A.1.1.2.2 "/>
    <n v="22"/>
    <m/>
    <s v="SECRETARÍA DE EDUCACIÓN"/>
    <m/>
    <m/>
    <m/>
  </r>
  <r>
    <x v="0"/>
    <x v="0"/>
    <m/>
    <m/>
    <x v="1"/>
    <x v="1"/>
    <m/>
    <m/>
    <x v="2"/>
    <x v="2"/>
    <m/>
    <m/>
    <s v="1.2.2.1"/>
    <s v="Mayor numero de niños, niñas y jovenes de las zonas rurarles en edad escolar accedan al sistema publico educativo ,con el objetivo de aumentar las tasas de cobertura neta. "/>
    <s v="Tasa de Cobertura Neta"/>
    <s v="86.53"/>
    <n v="90"/>
    <s v="1.2.2.1.2"/>
    <s v="Prestación del servicio educativo a niños, niñas y jovenes en edad escolar   en los niveles de 0 a 13 Grado en la zona rural"/>
    <s v="Estudiantes en zonas rurales_x000a_que acceden a la educación."/>
    <n v="9491"/>
    <n v="2500"/>
    <n v="280"/>
    <n v="280"/>
    <n v="0.112"/>
    <n v="625"/>
    <n v="280"/>
    <n v="280"/>
    <n v="0.44800000000000001"/>
    <s v="Incremento"/>
    <m/>
    <s v="A.1.1.2.2 "/>
    <n v="22"/>
    <m/>
    <s v="SECRETARÍA DE EDUCACIÓN"/>
    <m/>
    <m/>
    <m/>
  </r>
  <r>
    <x v="0"/>
    <x v="0"/>
    <m/>
    <m/>
    <x v="1"/>
    <x v="1"/>
    <m/>
    <m/>
    <x v="2"/>
    <x v="2"/>
    <m/>
    <m/>
    <s v="1.2.2.2"/>
    <s v="Mayor numero de personas accedan al ciclo de alfabetización, con el objetivo de disminuir la tasa de analfabetismo."/>
    <s v="Tasa de analfabetismo"/>
    <s v="12.5"/>
    <s v="11.5"/>
    <s v="1.2.2.2.1"/>
    <s v="Prestación del servicio educativo a jovenes y adultos en el ciclo de alfabetización "/>
    <s v="Personas Adultas con_x000a_modelos de alfabetización."/>
    <n v="1000"/>
    <n v="7000"/>
    <n v="0"/>
    <m/>
    <n v="0"/>
    <n v="1000"/>
    <n v="0"/>
    <m/>
    <n v="0"/>
    <s v="Mantenimiento"/>
    <m/>
    <s v="A.1.1.2.2 "/>
    <n v="22"/>
    <m/>
    <s v="SECRETARÍA DE EDUCACIÓN"/>
    <m/>
    <m/>
    <m/>
  </r>
  <r>
    <x v="0"/>
    <x v="0"/>
    <m/>
    <m/>
    <x v="1"/>
    <x v="1"/>
    <m/>
    <m/>
    <x v="2"/>
    <x v="2"/>
    <m/>
    <m/>
    <s v="1.2.2.3"/>
    <s v="Garantizar la  permanencia de niños, niñas y jovenes en el sistema publico educativo, para así disminuir la tasa de deserción."/>
    <s v="Tasas de deserción Global"/>
    <s v="2.44"/>
    <s v="2.00"/>
    <s v="1.2.2.3.1"/>
    <s v="Proveer de complementos alimentarios a estudientes en edad escolar"/>
    <s v="Estudiantes atendidos por el_x000a_PAE diariamente-Bolívar"/>
    <n v="104885"/>
    <n v="480000"/>
    <n v="113324"/>
    <n v="113324"/>
    <n v="0.23609166666666667"/>
    <n v="120000"/>
    <n v="113324"/>
    <n v="113324"/>
    <n v="0.94436666666666669"/>
    <s v="Mantenimi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2"/>
    <s v="Diseñar e implementar una politica publica de alimentaciómn escolar en el Departamento de Bolívar"/>
    <s v="Política departamental de_x000a_Alimentación Escolar"/>
    <n v="0"/>
    <n v="1"/>
    <m/>
    <m/>
    <n v="0"/>
    <m/>
    <m/>
    <m/>
    <s v="NP"/>
    <s v="Increm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3"/>
    <s v="Fortalecer las residencias escolares en el sector educativo."/>
    <s v="Residencias escolares_x000a_Fortalecidas y Cualificadas en_x000a_el servicio educativo."/>
    <n v="1"/>
    <n v="4"/>
    <n v="0"/>
    <n v="0"/>
    <n v="0"/>
    <n v="1"/>
    <n v="0"/>
    <n v="0"/>
    <n v="0"/>
    <s v="Mantenimi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4"/>
    <s v="Atender al 100% de los estudiantes matriculados en el sistema publico educativo a traves de los seguros escolares y ARL"/>
    <s v="Estudiantes cubiertos con_x000a_seguros escolares y ARL"/>
    <n v="211987"/>
    <n v="219505"/>
    <n v="212000"/>
    <n v="212000"/>
    <n v="0.96580943486480941"/>
    <n v="219505"/>
    <n v="212000"/>
    <n v="212000"/>
    <n v="0.96580943486480941"/>
    <s v="Increm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5"/>
    <s v="Atender al 100% de los estudiantes matriculados en la modalidad tecnica  a traves  Aseguradora de Riesgos Laborales."/>
    <s v="Estudiantes cubiertos con_x000a_Aseguradora de Riesgos_x000a_Laborales"/>
    <n v="1880"/>
    <n v="12120"/>
    <n v="0"/>
    <n v="0"/>
    <n v="0"/>
    <n v="1880"/>
    <n v="0"/>
    <n v="0"/>
    <n v="0"/>
    <s v="Incremento"/>
    <m/>
    <s v="A.1.1.2.2 "/>
    <n v="22"/>
    <m/>
    <s v="SECRETARÍA DE EDUCACIÓN"/>
    <m/>
    <m/>
    <m/>
  </r>
  <r>
    <x v="0"/>
    <x v="0"/>
    <m/>
    <m/>
    <x v="1"/>
    <x v="1"/>
    <m/>
    <m/>
    <x v="3"/>
    <x v="3"/>
    <n v="0.35536281179138324"/>
    <n v="0.77083333333333337"/>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1"/>
    <s v="Tener más cobertura con el acceso a internet para que los estudiantes, docentes puedan fortalecer el proceso de enseñanza y tener acceso a información educativa."/>
    <s v="Instituciones Educativas_x000a_accediendo a internet"/>
    <n v="226"/>
    <n v="226"/>
    <n v="0"/>
    <n v="226"/>
    <n v="1"/>
    <n v="226"/>
    <n v="0"/>
    <n v="226"/>
    <n v="1"/>
    <s v="Mantenimi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2"/>
    <s v="Permitir a los docentes mantener una visión amplia de su disciplina, incorporar nuevas metodologías de trabajo e incluir las TIC en la práctica educativa para alcanzar el aprendizaje significativo."/>
    <s v="Nuevos docentes formados en_x000a_uso y apropiación de Tics"/>
    <n v="1180"/>
    <n v="1200"/>
    <n v="0"/>
    <n v="240"/>
    <n v="0.2"/>
    <n v="300"/>
    <n v="0"/>
    <n v="240"/>
    <n v="0.8"/>
    <s v="Incremento"/>
    <m/>
    <s v="A.1 .1.2.3"/>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3"/>
    <s v="Estrategias para la construcción del conocimiento científico, capaces de conocer, comprender y transformar su propio desarrollo y su propio entorno social y cultural mediante la producción de conocimiento apoyado en las nuevas tecnologias."/>
    <s v="Nuevos Grupos de_x000a_investigaciones generando una_x000a_cultura que valora y gestiona el_x000a_conocimiento y la innovación."/>
    <n v="10"/>
    <n v="15"/>
    <m/>
    <m/>
    <n v="0"/>
    <m/>
    <m/>
    <m/>
    <s v="NP"/>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4"/>
    <s v="Favorecer la participación de los estudiantes, docentes creando espacios dedicados al trabajo en común y el intercambio de información. Normalmente se hace a través de chats, foros, correos electrónicos, intercambio de ficheros, etc.)."/>
    <s v="Establecimientos educativos_x000a_participando en proyectos_x000a_colaborativos en red de_x000a_conocimiento y la innovación."/>
    <n v="35"/>
    <n v="100"/>
    <n v="0"/>
    <n v="11"/>
    <n v="0.11"/>
    <n v="10"/>
    <n v="0"/>
    <n v="10"/>
    <n v="1"/>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5"/>
    <s v="Maximizar el uso de las herramientas digitales  en los procesos educativos, con el fin de volver más innovadoras los procrsos de aulas."/>
    <s v="Relación de estudiantes por_x000a_Terminales. = (equipos_x000a_tecnológicos por estudiante)"/>
    <n v="6"/>
    <n v="4"/>
    <n v="5.7"/>
    <n v="4"/>
    <n v="1"/>
    <n v="5.5"/>
    <n v="5.7"/>
    <n v="5.5"/>
    <n v="1"/>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6"/>
    <s v="Herramienta que permite la gestión y publicación de los contenidos utilizados en las escuelas, donde los estudiantes, docentes, personal administrativo, padres de familia y actores educativos, pueden tener accesos a la información y se realiza seguimiento de los progresos del alumno durante el tiempo que dure la formación."/>
    <s v="Plataforma tecnológica para_x000a_seguimiento de la calidad_x000a_educativa."/>
    <n v="0"/>
    <n v="1"/>
    <m/>
    <m/>
    <n v="0"/>
    <m/>
    <m/>
    <m/>
    <s v="NP"/>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7"/>
    <s v="identificar y administrar los diferfentes riesgos por el uso del internet, como  prevenirlos y los canales de comunciacions disponibles para atenderlos."/>
    <s v="Establecimientos educativos_x000a_participando en estrategia de_x000a_Identificación de riesgos_x000a_asociados al uso de las_x000a_tecnologías de la información y_x000a_las comunicaciones."/>
    <n v="0"/>
    <n v="100"/>
    <n v="0"/>
    <n v="20"/>
    <n v="0.2"/>
    <n v="20"/>
    <n v="0"/>
    <n v="20"/>
    <n v="1"/>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8"/>
    <s v="Fomentar la cultura científica de los estudiantes, no solo de comunicar sino también de despertar el amor por la Ciencia, las tecnologias e innovación y formar parte de esta."/>
    <s v="Ferias de innovación apropiadas_x000a_en los tics"/>
    <n v="0"/>
    <n v="4"/>
    <n v="0"/>
    <n v="0"/>
    <n v="0"/>
    <n v="1"/>
    <n v="0"/>
    <n v="0"/>
    <n v="0"/>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9"/>
    <s v="Incorporar los medios como objeto de estudio, que enseñe a los alumnos a analizar crítica y reflexivamente los textos mediáticos, incorporar los medios en la escuela, lo que significa también integrar, revalorizar y resignificar la cultura cotidiana de los alumnos, en la que la radio, el periódico, la revista, el cine y la televisión ocupan un lugar fundamental. "/>
    <s v="Establecimientos educativos_x000a_oficiales con dotación_x000a_especializada en dispositivos_x000a_tecnológicos y audiovisuales"/>
    <n v="35"/>
    <n v="35"/>
    <n v="0"/>
    <n v="5"/>
    <n v="0.14285714285714285"/>
    <n v="3"/>
    <n v="0"/>
    <n v="3"/>
    <n v="1"/>
    <s v="Incremento"/>
    <m/>
    <s v="A.1.1.2.3 "/>
    <n v="22"/>
    <m/>
    <s v="SECRETARÍA DE EDUCACIÓN"/>
    <m/>
    <m/>
    <m/>
  </r>
  <r>
    <x v="0"/>
    <x v="0"/>
    <m/>
    <m/>
    <x v="1"/>
    <x v="1"/>
    <m/>
    <m/>
    <x v="3"/>
    <x v="3"/>
    <m/>
    <m/>
    <s v="1.2.3.2"/>
    <s v="Fortalecimiento del Sistema o Modelo de Gestión de la Secretaría de Educación de Bolívar"/>
    <s v="Implementación del Modelo Integrado de_x000a_Planeación y Gestión (MIPG) en la Secretaría_x000a_de Educación de Bolívar Nivel Central"/>
    <n v="0"/>
    <n v="100"/>
    <s v="1.2.3.2.1 "/>
    <s v="Apropiación  del Modelo Estándar de Control Interno - MECI en todas las áreas de la SED, como herramienta que proporcione  orientación hacia el cumplimiento de objetivos institucionales."/>
    <s v="Fortalecimiento de las áreas de_x000a_Gestión de la Secretaría de_x000a_Educación de Bolívar en el marco_x000a_del Modelo Estándar de Control_x000a_Interno (MECI)"/>
    <n v="30"/>
    <n v="100"/>
    <n v="10"/>
    <n v="5"/>
    <n v="0.05"/>
    <n v="20"/>
    <n v="10"/>
    <n v="5"/>
    <n v="0.25"/>
    <s v="Incremento"/>
    <m/>
    <s v="A.1.1.2.3 "/>
    <n v="22"/>
    <m/>
    <s v="SECRETARÍA DE EDUCACIÓN"/>
    <m/>
    <m/>
    <m/>
  </r>
  <r>
    <x v="0"/>
    <x v="0"/>
    <m/>
    <m/>
    <x v="1"/>
    <x v="1"/>
    <m/>
    <m/>
    <x v="3"/>
    <x v="3"/>
    <m/>
    <m/>
    <s v="1.2.3.3"/>
    <s v="Seguimiento al manejo administrativo eficiente de las Instituciones Educativas que acceden a los Fondos de Servicios Educativos"/>
    <s v="Seguimiento al manejo administrativo_x000a_eficiente de las Instituciones Educativas que_x000a_acceden a los Fondos de Servicios_x000a_Educativos"/>
    <n v="1"/>
    <n v="1"/>
    <s v="1.2.3.3.1 "/>
    <s v="Seguimiento anual sobre el manejo de sus recursos recibidos por gratuidad educativa"/>
    <s v="Instituciones Educativas oficiales_x000a_en seguimiento anual sobre el_x000a_manejo de sus recursos recibidos_x000a_por gratuidad educativa"/>
    <n v="50"/>
    <n v="180"/>
    <n v="6"/>
    <n v="4"/>
    <n v="2.2222222222222223E-2"/>
    <n v="20"/>
    <n v="6"/>
    <n v="4"/>
    <n v="0.2"/>
    <s v="Incremento"/>
    <m/>
    <s v="A.1.2.3 "/>
    <n v="22"/>
    <m/>
    <s v="SECRETARÍA DE EDUCACIÓN"/>
    <m/>
    <m/>
    <m/>
  </r>
  <r>
    <x v="0"/>
    <x v="0"/>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2"/>
    <s v="Seguimiento financiero "/>
    <s v="Establecimientos Educativos_x000a_oficiales en seguimiento de_x000a_presentación de informes en_x000a_plataformas y métodos para tal_x000a_fin con asistencia técnica en la_x000a_ejecución de los recursos de_x000a_gratuidad y otros recibidos en el_x000a_Fondo de Servicios Educativos"/>
    <n v="224"/>
    <n v="226"/>
    <n v="226"/>
    <n v="226"/>
    <n v="1"/>
    <n v="226"/>
    <n v="226"/>
    <n v="226"/>
    <n v="1"/>
    <s v="Mantenimiento"/>
    <m/>
    <s v="A.1.1.2.3 "/>
    <n v="22"/>
    <m/>
    <s v="SECRETARÍA DE EDUCACIÓN"/>
    <m/>
    <m/>
    <m/>
  </r>
  <r>
    <x v="0"/>
    <x v="0"/>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3"/>
    <s v="Capacitación de rectores,_x000a_directores y administrativos de_x000a_las Instituciones Educativas, sea_x000a_virtual o presencial.."/>
    <s v="Capacitación de rectores,_x000a_directores y administrativos de_x000a_las Instituciones Educativas, sea_x000a_virtual o presencial.."/>
    <n v="0"/>
    <n v="0.5"/>
    <n v="1"/>
    <n v="0.5"/>
    <n v="1"/>
    <n v="0.5"/>
    <n v="0.5"/>
    <n v="0.5"/>
    <n v="1"/>
    <s v="Mantenimiento"/>
    <m/>
    <s v="A.1.1.2.3 "/>
    <n v="22"/>
    <m/>
    <s v="SECRETARÍA DE EDUCACIÓN"/>
    <m/>
    <m/>
    <m/>
  </r>
  <r>
    <x v="0"/>
    <x v="0"/>
    <m/>
    <m/>
    <x v="1"/>
    <x v="1"/>
    <m/>
    <m/>
    <x v="3"/>
    <x v="3"/>
    <m/>
    <m/>
    <s v="1.2.3.3"/>
    <s v="Implementación del Plan Dptal de Bienestar Laboral con el fin de mejorar la calidad  vida de los servidores del sistema educativo generando espacio de integración,capacitación y acompañamiento a los servidores"/>
    <s v="Seguimiento al manejo administrativo_x000a_eficiente de las Instituciones Educativas que_x000a_acceden a los Fondos de Servicios_x000a_Educativos"/>
    <n v="1"/>
    <n v="1"/>
    <s v="1.2.3.3.4"/>
    <s v="Plan Dptal de Bienestar Laboral de la SED Implementados"/>
    <s v="Plan departamental de bienestar_x000a_laboral de sed formulado y_x000a_ejecutado"/>
    <n v="4"/>
    <n v="4"/>
    <n v="1"/>
    <n v="1"/>
    <n v="0.25"/>
    <n v="1"/>
    <n v="1"/>
    <n v="1"/>
    <n v="1"/>
    <s v="Mantenimiento"/>
    <m/>
    <s v="A.1.1.2.3 "/>
    <n v="22"/>
    <m/>
    <s v="SECRETARÍA DE EDUCACIÓN"/>
    <m/>
    <m/>
    <m/>
  </r>
  <r>
    <x v="0"/>
    <x v="0"/>
    <m/>
    <m/>
    <x v="2"/>
    <x v="2"/>
    <n v="0.3631403754817597"/>
    <n v="0.51526349335964527"/>
    <x v="4"/>
    <x v="4"/>
    <n v="0.18062962962962961"/>
    <n v="0.18062962962962961"/>
    <s v="1.3.1.1 "/>
    <s v="Mantener la tasa de mortalidad por_x000a_EDA en 0,79 x 100.000 menores de_x000a_5 años"/>
    <s v="Mantener la tasa de mortalidad por_x000a_EDA en 0,79 x 100.000 menores de_x000a_5 años"/>
    <s v="0.79"/>
    <s v="0.79"/>
    <s v="1.3.1.1.1 "/>
    <s v="Porcentaje de establecimientos_x000a_de interés sanitario vigilados y_x000a_controlados cumpliendo con la_x000a_normatividad sanitaria vigente"/>
    <s v="Porcentaje de establecimientos_x000a_de interés sanitario vigilados y_x000a_controlados cumpliendo con la_x000a_normatividad sanitaria vigente"/>
    <m/>
    <n v="1"/>
    <n v="0.2"/>
    <n v="0.08"/>
    <n v="0.08"/>
    <n v="1"/>
    <n v="0.2"/>
    <n v="0.08"/>
    <n v="0.08"/>
    <s v="Mantenimiento"/>
    <m/>
    <s v="SALUD"/>
    <s v="A.2"/>
    <m/>
    <s v="SECRETARÍA DE SALUD"/>
    <m/>
    <m/>
    <m/>
  </r>
  <r>
    <x v="0"/>
    <x v="0"/>
    <m/>
    <m/>
    <x v="2"/>
    <x v="2"/>
    <m/>
    <m/>
    <x v="4"/>
    <x v="4"/>
    <m/>
    <m/>
    <s v="1.3.1.1 "/>
    <s v="Mantener la tasa de mortalidad por_x000a_EDA en 0,79 x 100.000 menores de_x000a_5 años"/>
    <s v="Mantener la tasa de mortalidad por_x000a_EDA en 0,79 x 100.000 menores de_x000a_5 años"/>
    <s v="0.80"/>
    <s v="0.80"/>
    <s v="1.3.1.1.2"/>
    <s v="Municipios vigilados en la_x000a_calidad del agua para consumo_x000a_humano"/>
    <s v="Municipios vigilados en la_x000a_calidad del agua para consumo_x000a_humano"/>
    <m/>
    <n v="45"/>
    <n v="0.17"/>
    <n v="0.17"/>
    <n v="3.7777777777777779E-3"/>
    <n v="45"/>
    <n v="0.17"/>
    <n v="0.17"/>
    <n v="3.7777777777777779E-3"/>
    <s v="Mantenimiento"/>
    <m/>
    <m/>
    <m/>
    <m/>
    <s v="SECRETARÍA DE SALUD"/>
    <m/>
    <m/>
    <m/>
  </r>
  <r>
    <x v="0"/>
    <x v="0"/>
    <m/>
    <m/>
    <x v="2"/>
    <x v="2"/>
    <m/>
    <m/>
    <x v="4"/>
    <x v="4"/>
    <m/>
    <m/>
    <s v="1.3.1.1 "/>
    <s v="Mantener la tasa de mortalidad por_x000a_EDA en 0,79 x 100.000 menores de_x000a_5 años"/>
    <s v="Mantener la tasa de mortalidad por_x000a_EDA en 0,79 x 100.000 menores de_x000a_5 años"/>
    <s v="0.81"/>
    <s v="0.81"/>
    <s v="1.3.1.1.3"/>
    <s v="Consejo territorial de Salud_x000a_ambiental funcionando con la_x000a_participación de todos los_x000a_actores"/>
    <s v="Consejo territorial de Salud_x000a_ambiental funcionando con la_x000a_participación de todos los_x000a_actores"/>
    <m/>
    <n v="1"/>
    <n v="0"/>
    <n v="1"/>
    <n v="1"/>
    <n v="1"/>
    <n v="0"/>
    <n v="1"/>
    <n v="1"/>
    <s v="Incremento"/>
    <m/>
    <m/>
    <m/>
    <m/>
    <s v="SECRETARÍA DE SALUD"/>
    <m/>
    <m/>
    <m/>
  </r>
  <r>
    <x v="0"/>
    <x v="0"/>
    <m/>
    <m/>
    <x v="2"/>
    <x v="2"/>
    <m/>
    <m/>
    <x v="4"/>
    <x v="4"/>
    <m/>
    <m/>
    <s v="1.3.1.2 "/>
    <s v="Disminuir la tasa de mortalidad por_x000a_IRA a 15,42x 100.000 menores de 5_x000a_años"/>
    <s v="Disminuir la tasa de mortalidad por_x000a_IRA a 15,42x 100.000 menores de 5_x000a_años"/>
    <s v="15.76"/>
    <s v="15.76"/>
    <s v="1.3.1.2.1 "/>
    <s v="Municipios priorizados_x000a_caracterizados y capacitados_x000a_para el desarrollo de acciones de_x000a_promoción y prevención de la_x000a_contaminación del aire"/>
    <s v="Municipios priorizados_x000a_caracterizados y capacitados_x000a_para el desarrollo de acciones de_x000a_promoción y prevención de la_x000a_contaminación del aire"/>
    <m/>
    <n v="7"/>
    <n v="0"/>
    <n v="0"/>
    <n v="0"/>
    <n v="3"/>
    <n v="0"/>
    <n v="0"/>
    <n v="0"/>
    <s v="Incremento"/>
    <m/>
    <s v="SALUD"/>
    <s v="A.2"/>
    <m/>
    <s v="SECRETARÍA DE SALUD"/>
    <m/>
    <m/>
    <m/>
  </r>
  <r>
    <x v="0"/>
    <x v="0"/>
    <m/>
    <m/>
    <x v="2"/>
    <x v="2"/>
    <m/>
    <m/>
    <x v="4"/>
    <x v="4"/>
    <m/>
    <m/>
    <s v="1.3.1.3"/>
    <s v="Mantener la tasa de incidencia de_x000a_dengue en 112,52 por 100.000_x000a_habitantes o menos_x000a_"/>
    <s v="Mantener la tasa de incidencia de_x000a_dengue en 112,52 por 100.000_x000a_habitantes o menos_x000a_"/>
    <s v="112.52"/>
    <s v="112.52"/>
    <s v="1.3.1.3.1"/>
    <s v="Municipios priorizados_x000a_capacitados en acciones de_x000a_promoción y prevención en el_x000a_marco de la estrategia de_x000a_entornos saludables"/>
    <s v="Municipios priorizados_x000a_capacitados en acciones de_x000a_promoción y prevención en el_x000a_marco de la estrategia de_x000a_entornos saludables"/>
    <m/>
    <n v="23"/>
    <n v="2"/>
    <n v="0"/>
    <n v="0"/>
    <n v="6"/>
    <n v="2"/>
    <n v="0"/>
    <n v="0"/>
    <s v="Incremento"/>
    <m/>
    <m/>
    <m/>
    <m/>
    <s v="SECRETARÍA DE SALUD"/>
    <m/>
    <m/>
    <m/>
  </r>
  <r>
    <x v="0"/>
    <x v="0"/>
    <m/>
    <m/>
    <x v="2"/>
    <x v="2"/>
    <m/>
    <m/>
    <x v="4"/>
    <x v="4"/>
    <m/>
    <m/>
    <s v="1.3.1.4"/>
    <s v="Mantener la tasa de incidencia de_x000a_intoxicación por plaguicidas en 5,02_x000a_x 100.000 habitantes o menos"/>
    <s v="Mantener la tasa de incidencia de_x000a_intoxicación por plaguicidas en 5,02_x000a_x 100.000 habitantes o menos"/>
    <s v="5.02"/>
    <s v="5.02"/>
    <s v="1.3.1.4.1"/>
    <s v="Municipios caracterizados y_x000a_capacitados para el desarrollo de_x000a_acciones de promoción y_x000a_prevención de la contaminación_x000a_por sustancias químicas_x000a_"/>
    <s v="Municipios caracterizados y_x000a_capacitados para el desarrollo de_x000a_acciones de promoción y_x000a_prevención de la contaminación_x000a_por sustancias químicas_x000a_"/>
    <m/>
    <n v="12"/>
    <n v="0"/>
    <n v="0"/>
    <n v="0"/>
    <n v="3"/>
    <n v="0"/>
    <n v="0"/>
    <n v="0"/>
    <s v="Incremento"/>
    <m/>
    <s v="SALUD"/>
    <s v="A.2"/>
    <m/>
    <s v="SECRETARÍA DE SALUD"/>
    <m/>
    <m/>
    <m/>
  </r>
  <r>
    <x v="0"/>
    <x v="0"/>
    <m/>
    <m/>
    <x v="2"/>
    <x v="2"/>
    <m/>
    <m/>
    <x v="5"/>
    <x v="5"/>
    <n v="0.22685185185185186"/>
    <n v="0.33333333333333331"/>
    <s v="1.3.2.1"/>
    <s v="Reducir a 43,20 por 100 mil_x000a_personas entre 30 y 70 años la tasa_x000a_de mortalidad prematura por_x000a_enfermedades del sistema_x000a_circulatorio"/>
    <s v="Reducir a 43,20 por 100 mil_x000a_personas entre 30 y 70 años la tasa_x000a_de mortalidad prematura por_x000a_enfermedades del sistema_x000a_circulatorio"/>
    <s v="46.58"/>
    <s v="SD"/>
    <s v="1.3.2.1.1"/>
    <s v="Municipios con la estrategia_x000a_nacional Conoce tu riesgo peso_x000a_saludable, socializada e_x000a_implementada._x000a_"/>
    <s v="Municipios con la estrategia_x000a_nacional Conoce tu riesgo peso_x000a_saludable, socializada e_x000a_implementada._x000a_"/>
    <m/>
    <n v="8"/>
    <n v="0"/>
    <n v="0"/>
    <n v="0"/>
    <n v="2"/>
    <n v="0"/>
    <n v="0"/>
    <n v="0"/>
    <s v="Incremento"/>
    <m/>
    <s v="SALUD"/>
    <s v="A.2"/>
    <m/>
    <s v="SECRETARÍA DE SALUD"/>
    <m/>
    <m/>
    <m/>
  </r>
  <r>
    <x v="0"/>
    <x v="0"/>
    <m/>
    <m/>
    <x v="2"/>
    <x v="2"/>
    <m/>
    <m/>
    <x v="5"/>
    <x v="5"/>
    <m/>
    <m/>
    <s v="1.3.2.2"/>
    <s v="Reducir a 6,18 por 100 mil_x000a_personas entre 30 y 70 años la tasa_x000a_de mortalidad prematura por_x000a_diabetes mellitus"/>
    <s v="Reducir a 6,18 por 100 mil_x000a_personas entre 30 y 70 años la tasa_x000a_de mortalidad prematura por_x000a_diabetes mellitus"/>
    <s v="6.38"/>
    <s v="SD"/>
    <s v="1.3.2.2.1"/>
    <s v="Prestadores de servicios de_x000a_salud públicos con ruta de_x000a_promoción y mantenimiento de_x000a_la salud para el componente de_x000a_cánceres priorizados_x000a_implementada"/>
    <s v="Prestadores de servicios de_x000a_salud públicos con ruta de_x000a_promoción y mantenimiento de_x000a_la salud para el componente de_x000a_cánceres priorizados_x000a_implementada"/>
    <m/>
    <n v="8"/>
    <n v="0"/>
    <n v="0"/>
    <n v="0"/>
    <n v="2"/>
    <n v="0"/>
    <n v="0"/>
    <n v="0"/>
    <s v="Incremento"/>
    <m/>
    <s v="SALUD"/>
    <s v="A.2"/>
    <m/>
    <s v="SECRETARÍA DE SALUD"/>
    <m/>
    <m/>
    <m/>
  </r>
  <r>
    <x v="0"/>
    <x v="0"/>
    <m/>
    <m/>
    <x v="2"/>
    <x v="2"/>
    <m/>
    <m/>
    <x v="5"/>
    <x v="5"/>
    <m/>
    <m/>
    <s v="1.3.2.3"/>
    <s v="Disminuir a 1,0 el Índice COP_x000a_promedio a la edad de 12 años"/>
    <s v="Disminuir a 1,0 el Índice COP_x000a_promedio a la edad de 12 años"/>
    <s v="1.54"/>
    <s v="2.8"/>
    <s v="1.3.2.3.1"/>
    <s v="Municipios con la estrategia_x000a_&quot;Soy generación más sonriente&quot;,_x000a_adoptada"/>
    <s v="Municipios con la estrategia_x000a_&quot;Soy generación más sonriente&quot;,_x000a_adoptada"/>
    <m/>
    <n v="45"/>
    <n v="0"/>
    <n v="35"/>
    <n v="0.77777777777777779"/>
    <n v="10"/>
    <n v="0"/>
    <n v="10"/>
    <n v="1"/>
    <s v="Incremento"/>
    <m/>
    <m/>
    <m/>
    <m/>
    <s v="SECRETARÍA DE SALUD"/>
    <m/>
    <m/>
    <m/>
  </r>
  <r>
    <x v="0"/>
    <x v="0"/>
    <m/>
    <m/>
    <x v="2"/>
    <x v="2"/>
    <m/>
    <m/>
    <x v="5"/>
    <x v="5"/>
    <m/>
    <m/>
    <s v="1.3.2.4"/>
    <s v="Disminuir a 1,0 el Índice COP_x000a_promedio a la edad de 12 años"/>
    <s v="Disminuir a 1,0 el Índice COP_x000a_promedio a la edad de 12 años"/>
    <s v="1.55"/>
    <s v="2.9"/>
    <s v="1.3.2.4.1"/>
    <s v="Personal del sector salud_x000a_instruido en guías y protocolos_x000a_de prevención y manejo de_x000a_enfermedades crónicas no_x000a_transmisibles, alteraciones de la_x000a_salud bucal, visual y auditiva."/>
    <s v="Personal del sector salud_x000a_instruido en guías y protocolos_x000a_de prevención y manejo de_x000a_enfermedades crónicas no_x000a_transmisibles, alteraciones de la_x000a_salud bucal, visual y auditiva."/>
    <m/>
    <n v="80"/>
    <n v="0"/>
    <n v="0"/>
    <n v="0"/>
    <n v="20"/>
    <n v="0"/>
    <n v="0"/>
    <n v="0"/>
    <s v="Incremento"/>
    <m/>
    <m/>
    <m/>
    <m/>
    <s v="SECRETARÍA DE SALUD"/>
    <m/>
    <m/>
    <m/>
  </r>
  <r>
    <x v="0"/>
    <x v="0"/>
    <m/>
    <m/>
    <x v="2"/>
    <x v="2"/>
    <m/>
    <m/>
    <x v="5"/>
    <x v="5"/>
    <m/>
    <m/>
    <s v="1.3.2.5"/>
    <s v="Mantener la tasa de mortalidad_x000a_ajustada por tumor maligno de_x000a_cuello uterino en 6,15 por 100.000_x000a_mujeres o menos_x000a_"/>
    <s v="Mantener la tasa de mortalidad_x000a_ajustada por tumor maligno de_x000a_cuello uterino en 6,15 por 100.000_x000a_mujeres o menos_x000a_"/>
    <s v="6.15"/>
    <s v="SD"/>
    <s v="1.3.2.5.1"/>
    <s v="Municipios con la estrategia_x000a_nacional 4x4, ampliada e_x000a_implementada."/>
    <s v="Municipios con la estrategia_x000a_nacional 4x4, ampliada e_x000a_implementada."/>
    <m/>
    <n v="24"/>
    <n v="0"/>
    <n v="14"/>
    <n v="0.58333333333333337"/>
    <n v="6"/>
    <n v="0"/>
    <n v="6"/>
    <n v="1"/>
    <s v="Incremento"/>
    <m/>
    <s v="SALUD"/>
    <s v="A.2"/>
    <m/>
    <s v="SECRETARÍA DE SALUD"/>
    <m/>
    <m/>
    <m/>
  </r>
  <r>
    <x v="0"/>
    <x v="0"/>
    <m/>
    <m/>
    <x v="2"/>
    <x v="2"/>
    <m/>
    <m/>
    <x v="5"/>
    <x v="5"/>
    <m/>
    <m/>
    <s v="1.3.2.5"/>
    <s v="Mantener la tasa de mortalidad_x000a_por leucemia aguda pediátrica_x000a_linfoide (menores de 15 años) en_x000a_1,63 por 100.000 menores de 15_x000a_años_x000a_"/>
    <s v="Mantener la tasa de mortalidad_x000a_por leucemia aguda pediátrica_x000a_linfoide (menores de 15 años) en_x000a_1,63 por 100.000 menores de 15_x000a_años_x000a_"/>
    <s v="1.63"/>
    <s v="SD"/>
    <s v="1.3.2.5.2"/>
    <s v="Prestadores de servicios de_x000a_salud Públicos con el módulo de_x000a_cáncer infantil de la Estrategia_x000a_AIEPI para la detección_x000a_temprana del cáncer en_x000a_menores de 18 años_x000a_implementado "/>
    <s v="Prestadores de servicios de_x000a_salud Públicos con el módulo de_x000a_cáncer infantil de la Estrategia_x000a_AIEPI para la detección_x000a_temprana del cáncer en_x000a_menores de 18 años_x000a_implementado "/>
    <m/>
    <n v="8"/>
    <n v="0"/>
    <n v="0"/>
    <n v="0"/>
    <n v="2"/>
    <n v="0"/>
    <n v="0"/>
    <n v="0"/>
    <s v="Incremento"/>
    <m/>
    <m/>
    <m/>
    <m/>
    <s v="SECRETARÍA DE SALUD"/>
    <m/>
    <m/>
    <m/>
  </r>
  <r>
    <x v="0"/>
    <x v="0"/>
    <m/>
    <m/>
    <x v="2"/>
    <x v="2"/>
    <m/>
    <m/>
    <x v="6"/>
    <x v="6"/>
    <n v="0.38472222222222219"/>
    <n v="0.71666666666666667"/>
    <s v="1.3.3.1"/>
    <s v="Mantener la tasa de mortalidad_x000a_ajustada por lesiones_x000a_autoinfligidas intencionalmente_x000a_en 4,70 por 100.000 habitantes o_x000a_menos"/>
    <s v="Mantener la tasa de mortalidad_x000a_ajustada por lesiones_x000a_autoinfligidas intencionalmente_x000a_en 4,70 por 100.000 habitantes o_x000a_menos"/>
    <s v="3.82"/>
    <s v="SD"/>
    <s v="1.3.3.1.1"/>
    <s v="Municipios con política de_x000a_salud mental y consumo de_x000a_sustancias psicoactivas_x000a_adoptada y adaptada_x000a_"/>
    <s v="Municipios con política de_x000a_salud mental y consumo de_x000a_sustancias psicoactivas_x000a_adoptada y adaptada_x000a_"/>
    <m/>
    <n v="45"/>
    <n v="0"/>
    <n v="0"/>
    <n v="0"/>
    <n v="15"/>
    <n v="0"/>
    <n v="0"/>
    <n v="0"/>
    <s v="Incremento"/>
    <m/>
    <s v="SALUD"/>
    <s v="A.2"/>
    <m/>
    <s v="SECRETARÍA DE SALUD"/>
    <m/>
    <m/>
    <m/>
  </r>
  <r>
    <x v="0"/>
    <x v="0"/>
    <m/>
    <m/>
    <x v="2"/>
    <x v="2"/>
    <m/>
    <m/>
    <x v="6"/>
    <x v="6"/>
    <m/>
    <m/>
    <s v="1.3.3.2"/>
    <s v="Reducir la tasa de incidencia de_x000a_violencia intrafamiliar a 19,80_x000a_por 100.000 habitantes"/>
    <s v="Reducir la tasa de incidencia de_x000a_violencia intrafamiliar a 19,80_x000a_por 100.000 habitantes"/>
    <s v="20.17"/>
    <s v="SD"/>
    <s v="1.3.3.2.1"/>
    <s v="ESE municipal con profesionales_x000a_de la salud y el área social_x000a_capacitados en guías y protocolos_x000a_asociados a la salud mental._x000a_"/>
    <s v="ESE municipal con profesionales_x000a_de la salud y el área social_x000a_capacitados en guías y protocolos_x000a_asociados a la salud mental._x000a_"/>
    <m/>
    <n v="45"/>
    <n v="0"/>
    <n v="13"/>
    <n v="0.28888888888888886"/>
    <n v="15"/>
    <n v="0"/>
    <n v="13"/>
    <n v="0.8666666666666667"/>
    <s v="Incremento"/>
    <m/>
    <s v="SALUD"/>
    <s v="A.2"/>
    <m/>
    <s v="SECRETARÍA DE SALUD"/>
    <m/>
    <m/>
    <m/>
  </r>
  <r>
    <x v="0"/>
    <x v="0"/>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8"/>
    <s v="SD"/>
    <s v="1.3.3.3.1"/>
    <s v="  Municipios priorizados con_x000a_estrategias para la prevención del_x000a_consumo de sustancias_x000a_psicoactivas implementado."/>
    <s v="  Municipios priorizados con_x000a_estrategias para la prevención del_x000a_consumo de sustancias_x000a_psicoactivas implementado."/>
    <m/>
    <n v="12"/>
    <n v="6"/>
    <n v="3"/>
    <n v="0.25"/>
    <n v="2"/>
    <n v="6"/>
    <n v="2"/>
    <n v="1"/>
    <s v="Incremento"/>
    <m/>
    <s v="SALUD"/>
    <s v="A.2"/>
    <m/>
    <s v="SECRETARÍA DE SALUD"/>
    <m/>
    <m/>
    <m/>
  </r>
  <r>
    <x v="0"/>
    <x v="0"/>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9"/>
    <s v="SD"/>
    <s v="1.3.3.3.2"/>
    <s v="Municipios asistidos_x000a_técnicamente a través de_x000a_estrategia de tele-orientación_x000a_para la atención psicológica_x000a_integral en el marco de la_x000a_pandemia de covid-19_x000a_"/>
    <s v="Municipios asistidos_x000a_técnicamente a través de_x000a_estrategia de tele-orientación_x000a_para la atención psicológica_x000a_integral en el marco de la_x000a_pandemia de covid-19_x000a_"/>
    <m/>
    <n v="45"/>
    <n v="45"/>
    <n v="45"/>
    <n v="1"/>
    <n v="45"/>
    <n v="45"/>
    <n v="45"/>
    <n v="1"/>
    <s v="Mantenimiento"/>
    <m/>
    <s v="SALUD"/>
    <s v="A.2"/>
    <m/>
    <s v="SECRETARÍA DE SALUD"/>
    <m/>
    <m/>
    <m/>
  </r>
  <r>
    <x v="0"/>
    <x v="0"/>
    <m/>
    <m/>
    <x v="2"/>
    <x v="2"/>
    <m/>
    <m/>
    <x v="7"/>
    <x v="7"/>
    <n v="0.25555555555555559"/>
    <n v="0.33750000000000002"/>
    <s v="1.3.4.1"/>
    <s v="Mantener el porcentaje de_x000a_nacidos vivos con bajo peso al_x000a_nacer en 7,4% o menos"/>
    <s v="Mantener el porcentaje de_x000a_nacidos vivos con bajo peso al_x000a_nacer en 7,4% o menos"/>
    <s v="7.0"/>
    <s v="7.4"/>
    <s v="1.3.4.1.1"/>
    <s v="Municipios con la Estrategia_x000a_Instituciones Amigas de la Mujer y_x000a_la Infancia (IAMI) y el método_x000a_madre canguro implementado y_x000a_certificado"/>
    <s v="Municipios con la Estrategia_x000a_Instituciones Amigas de la Mujer y_x000a_la Infancia (IAMI) y el método_x000a_madre canguro implementado y_x000a_certificado"/>
    <m/>
    <n v="5"/>
    <m/>
    <m/>
    <n v="0"/>
    <m/>
    <m/>
    <m/>
    <s v="NP"/>
    <s v="Incremento"/>
    <m/>
    <s v="SALUD"/>
    <s v="A.2"/>
    <m/>
    <s v="SECRETARÍA DE SALUD"/>
    <m/>
    <m/>
    <m/>
  </r>
  <r>
    <x v="0"/>
    <x v="0"/>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1"/>
    <s v="Municipios con Grupos_x000a_Participativos Locales (Redes,_x000a_Veedurías) con capacidades para la_x000a_promoción de la participación_x000a_social y comunitaria en la_x000a_formulación, ejecución, "/>
    <s v="Municipios con Grupos_x000a_Participativos Locales (Redes,_x000a_Veedurías) con capacidades para la_x000a_promoción de la participación_x000a_social y comunitaria en la_x000a_formulación, ejecución, "/>
    <m/>
    <n v="30"/>
    <n v="2"/>
    <n v="3"/>
    <n v="0.1"/>
    <n v="6"/>
    <n v="2"/>
    <n v="3"/>
    <n v="0.5"/>
    <s v="Incremento"/>
    <m/>
    <m/>
    <m/>
    <m/>
    <s v="SECRETARÍA DE SALUD"/>
    <m/>
    <m/>
    <m/>
  </r>
  <r>
    <x v="0"/>
    <x v="0"/>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2"/>
    <s v="Municipios con lineamientos y_x000a_rutas de seguridad alimentaria y_x000a_nutricional - SAN socializados e_x000a_implementados"/>
    <s v="Municipios con lineamientos y_x000a_rutas de seguridad alimentaria y_x000a_nutricional - SAN socializados e_x000a_implementados"/>
    <m/>
    <n v="45"/>
    <n v="45"/>
    <n v="45"/>
    <n v="1"/>
    <n v="45"/>
    <n v="45"/>
    <n v="45"/>
    <n v="1"/>
    <s v="Mantenimiento"/>
    <m/>
    <m/>
    <m/>
    <m/>
    <s v="SECRETARÍA DE SALUD"/>
    <m/>
    <m/>
    <m/>
  </r>
  <r>
    <x v="0"/>
    <x v="0"/>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3"/>
    <s v="Porcentaje de EAPB con_x000a_seguimiento en la disponibilidad y_x000a_capacidad resolutiva de la red de_x000a_prestadores de servicios para la_x000a_atención de la desnutrición en_x000a_población menor de 5 años y en las_x000a_gestantes._x000a_"/>
    <s v="Porcentaje de EAPB con_x000a_seguimiento en la disponibilidad y_x000a_capacidad resolutiva de la red de_x000a_prestadores de servicios para la_x000a_atención de la desnutrición en_x000a_población menor de 5 años y en las_x000a_gestantes._x000a_"/>
    <m/>
    <n v="100"/>
    <n v="0"/>
    <n v="80"/>
    <n v="0.8"/>
    <n v="100"/>
    <n v="0"/>
    <n v="80"/>
    <n v="0.8"/>
    <s v="Mantenimiento"/>
    <m/>
    <m/>
    <m/>
    <m/>
    <s v="SECRETARÍA DE SALUD"/>
    <m/>
    <m/>
    <m/>
  </r>
  <r>
    <x v="0"/>
    <x v="0"/>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1"/>
    <s v="Porcentaje de Instituciones_x000a_educativas públicas con la_x000a_estrategia tiendas escolares_x000a_saludables adoptada e_x000a_implementada."/>
    <s v="Porcentaje de Instituciones_x000a_educativas públicas con la_x000a_estrategia tiendas escolares_x000a_saludables adoptada e_x000a_implementada."/>
    <m/>
    <n v="25"/>
    <n v="0"/>
    <n v="0"/>
    <n v="0"/>
    <n v="7"/>
    <n v="0"/>
    <n v="0"/>
    <n v="0"/>
    <s v="Incremento"/>
    <m/>
    <s v="SALUD"/>
    <s v="A.2"/>
    <m/>
    <s v="SECRETARÍA DE SALUD"/>
    <m/>
    <m/>
    <m/>
  </r>
  <r>
    <x v="0"/>
    <x v="0"/>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2"/>
    <s v="Municipios con estrategia masiva_x000a_de desparasitación antihelmíntica_x000a_ejecutada."/>
    <s v="Municipios con estrategia masiva_x000a_de desparasitación antihelmíntica_x000a_ejecutada."/>
    <m/>
    <n v="12"/>
    <n v="0"/>
    <n v="0"/>
    <n v="0"/>
    <n v="3"/>
    <n v="0"/>
    <n v="0"/>
    <n v="0"/>
    <s v="Incremento"/>
    <m/>
    <s v="SALUD"/>
    <s v="A.2"/>
    <m/>
    <s v="SECRETARÍA DE SALUD"/>
    <m/>
    <m/>
    <m/>
  </r>
  <r>
    <x v="0"/>
    <x v="0"/>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1"/>
    <s v="Municipios (cabeceras y_x000a_corregimientos) con tiendas y_x000a_supermercados con acciones de_x000a_IVC bajo el enfoque de riesgo_x000a_ejecutadas."/>
    <s v="Municipios (cabeceras y_x000a_corregimientos) con tiendas y_x000a_supermercados con acciones de_x000a_IVC bajo el enfoque de riesgo_x000a_ejecutadas."/>
    <m/>
    <n v="45"/>
    <n v="9"/>
    <n v="9"/>
    <n v="0.2"/>
    <n v="45"/>
    <n v="9"/>
    <n v="9"/>
    <n v="0.2"/>
    <s v="Mantenimiento"/>
    <m/>
    <s v="SALUD"/>
    <s v="A.2"/>
    <m/>
    <s v="SECRETARÍA DE SALUD"/>
    <m/>
    <m/>
    <m/>
  </r>
  <r>
    <x v="0"/>
    <x v="0"/>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2"/>
    <s v="Municipios con acciones de IVC_x000a_para el transporte de alimentos_x000a_(puestos de control) bajo el_x000a_enfoque de riesgo ejecutadas"/>
    <s v="Municipios con acciones de IVC_x000a_para el transporte de alimentos_x000a_(puestos de control) bajo el_x000a_enfoque de riesgo ejecutadas"/>
    <m/>
    <n v="24"/>
    <n v="0"/>
    <n v="0"/>
    <n v="0"/>
    <n v="24"/>
    <n v="0"/>
    <n v="0"/>
    <n v="0"/>
    <s v="Mantenimiento"/>
    <m/>
    <s v="SALUD"/>
    <s v="A.2"/>
    <m/>
    <s v="SECRETARÍA DE SALUD"/>
    <m/>
    <m/>
    <m/>
  </r>
  <r>
    <x v="0"/>
    <x v="0"/>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3"/>
    <s v="Municipios con acciones de IVC a_x000a_los establecimientos_x000a_gastronómicos bajo el enfoque_x000a_de riesgo ejecutadas."/>
    <s v="Municipios con acciones de IVC a_x000a_los establecimientos_x000a_gastronómicos bajo el enfoque_x000a_de riesgo ejecutadas."/>
    <m/>
    <n v="45"/>
    <n v="9"/>
    <n v="9"/>
    <n v="0.2"/>
    <n v="45"/>
    <n v="9"/>
    <n v="9"/>
    <n v="0.2"/>
    <s v="Incremento"/>
    <m/>
    <s v="SALUD"/>
    <s v="A.2"/>
    <m/>
    <s v="SECRETARÍA DE SALUD"/>
    <m/>
    <m/>
    <m/>
  </r>
  <r>
    <x v="0"/>
    <x v="0"/>
    <m/>
    <m/>
    <x v="2"/>
    <x v="2"/>
    <m/>
    <m/>
    <x v="8"/>
    <x v="8"/>
    <n v="0.57500000000000007"/>
    <n v="0.6"/>
    <s v="1.3.5.1"/>
    <s v="Mantener la razón de_x000a_mortalidad materna a 42 días_x000a_en 45,29 muertes por 100.000_x000a_nacidos vivos o menos"/>
    <s v="Mantener la razón de_x000a_mortalidad materna a 42 días_x000a_en 45,29 muertes por 100.000_x000a_nacidos vivos o menos"/>
    <s v="41.58"/>
    <s v="41.58"/>
    <s v="1.3.5.1.1"/>
    <s v="Porcentaje de entidades_x000a_territoriales que cuenta con al_x000a_menos 1 espacio transectorial y_x000a_comunitario que coordinará la_x000a_promoción y garantía de los_x000a_derechos sexuales y_x000a_reproductivos"/>
    <s v="Porcentaje de entidades_x000a_territoriales que cuenta con al_x000a_menos 1 espacio transectorial y_x000a_comunitario que coordinará la_x000a_promoción y garantía de los_x000a_derechos sexuales y_x000a_reproductivos"/>
    <m/>
    <n v="36"/>
    <n v="31"/>
    <m/>
    <n v="0"/>
    <n v="31"/>
    <n v="31"/>
    <m/>
    <n v="0"/>
    <s v="Incremento"/>
    <m/>
    <s v="SALUD"/>
    <s v="A.2"/>
    <m/>
    <s v="SECRETARÍA DE SALUD"/>
    <m/>
    <m/>
    <m/>
  </r>
  <r>
    <x v="0"/>
    <x v="0"/>
    <m/>
    <m/>
    <x v="2"/>
    <x v="2"/>
    <m/>
    <m/>
    <x v="8"/>
    <x v="8"/>
    <m/>
    <m/>
    <s v="1.3.5.2"/>
    <s v="Disminuir la tasa de_x000a_mortalidad perinatal a 13,73_x000a_muertes por 1.000 nacidos_x000a_vivos"/>
    <s v="Disminuir la tasa de_x000a_mortalidad perinatal a 13,73_x000a_muertes por 1.000 nacidos_x000a_vivos"/>
    <s v="14.00"/>
    <s v="14.00"/>
    <s v="1.3.5.2.1"/>
    <s v="Porcentaje de entidades_x000a_territoriales que cuenta con al_x000a_menos 1 espacio transectorial y_x000a_comunitario que coordinará la_x000a_promoción y garantía de los_x000a_derechos sexuales y_x000a_reproductivos"/>
    <s v="Porcentaje de entidades_x000a_territoriales que cuenta con al_x000a_menos 1 espacio transectorial y_x000a_comunitario que coordinará la_x000a_promoción y garantía de los_x000a_derechos sexuales y_x000a_reproductivos"/>
    <m/>
    <n v="36"/>
    <n v="31"/>
    <m/>
    <n v="0"/>
    <n v="31"/>
    <n v="31"/>
    <m/>
    <n v="0"/>
    <s v="Mantenimiento"/>
    <m/>
    <s v="SALUD"/>
    <s v="A.2"/>
    <m/>
    <s v="SECRETARÍA DE SALUD"/>
    <m/>
    <m/>
    <m/>
  </r>
  <r>
    <x v="0"/>
    <x v="0"/>
    <m/>
    <m/>
    <x v="2"/>
    <x v="2"/>
    <m/>
    <m/>
    <x v="8"/>
    <x v="8"/>
    <m/>
    <m/>
    <s v="1.3.5.3"/>
    <s v="Disminuir el porcentaje de_x000a_embarazo adolescente de 15 a_x000a_19 años a 25% por nacidos_x000a_vivos"/>
    <s v="Disminuir el porcentaje de_x000a_embarazo adolescente de 15 a_x000a_19 años a 25% por nacidos_x000a_vivos"/>
    <s v="26.34"/>
    <s v="26.34"/>
    <s v="1.3.5.3.1"/>
    <s v="Municipios con servicios_x000a_integrales en salud sexual y_x000a_reproductiva dirigidos a la_x000a_población de adolescentes y_x000a_jóvenes (12 a 28 años)_x000a_implementados_x000a_"/>
    <s v="Municipios con servicios_x000a_integrales en salud sexual y_x000a_reproductiva dirigidos a la_x000a_población de adolescentes y_x000a_jóvenes (12 a 28 años)_x000a_implementados_x000a_"/>
    <m/>
    <n v="40"/>
    <n v="1"/>
    <n v="1"/>
    <n v="2.5000000000000001E-2"/>
    <n v="5"/>
    <n v="1"/>
    <n v="1"/>
    <n v="0.2"/>
    <s v="Incremento"/>
    <m/>
    <s v="SALUD"/>
    <s v="A.2"/>
    <m/>
    <s v="SECRETARÍA DE SALUD"/>
    <m/>
    <m/>
    <m/>
  </r>
  <r>
    <x v="0"/>
    <x v="0"/>
    <m/>
    <m/>
    <x v="2"/>
    <x v="2"/>
    <m/>
    <m/>
    <x v="8"/>
    <x v="8"/>
    <m/>
    <m/>
    <s v="1.3.5.4"/>
    <s v="Disminuir la tasa de_x000a_Fecundidad 10 a 14 Años a_x000a_2.11 nacidos vivos por cada_x000a_mil mujeres de 10 a 14 años"/>
    <s v="Disminuir la tasa de_x000a_Fecundidad 10 a 14 Años a_x000a_2.11 nacidos vivos por cada_x000a_mil mujeres de 10 a 14 años"/>
    <n v="3.87"/>
    <s v="3.87"/>
    <s v="1.3.5.4.1 "/>
    <s v="Municipios con la ruta de atención_x000a_integral a víctimas de la violencia_x000a_sexual establecida"/>
    <s v="Municipios con la ruta de atención_x000a_integral a víctimas de la violencia_x000a_sexual establecida"/>
    <m/>
    <n v="32"/>
    <n v="1"/>
    <n v="32"/>
    <n v="1"/>
    <n v="8"/>
    <n v="1"/>
    <n v="8"/>
    <n v="1"/>
    <s v="Incremento"/>
    <m/>
    <s v="SALUD"/>
    <s v="A.2"/>
    <m/>
    <s v="SECRETARÍA DE SALUD"/>
    <m/>
    <m/>
    <m/>
  </r>
  <r>
    <x v="0"/>
    <x v="0"/>
    <m/>
    <m/>
    <x v="2"/>
    <x v="2"/>
    <m/>
    <m/>
    <x v="8"/>
    <x v="8"/>
    <m/>
    <m/>
    <s v="1.3.5.5"/>
    <s v="Mantener la tasa de_x000a_incidencia de VIH notificado_x000a_en 14,45 por 100.000_x000a_habitantes o menos"/>
    <s v="Mantener la tasa de_x000a_incidencia de VIH notificado_x000a_en 14,45 por 100.000_x000a_habitantes o menos"/>
    <n v="14.45"/>
    <m/>
    <s v="1.3.5.5.1"/>
    <s v="45 Municipios asistidos y acompañados en la Estrategia para la prevención de las ITS-VIH/SIDA, funcionando de acuerdo con los criterios del Ministerio de Salud."/>
    <s v="45 Municipios asistidos y acompañados en la Estrategia para la prevención de las ITS-VIH/SIDA, funcionando de acuerdo con los criterios del Ministerio de Salud."/>
    <m/>
    <n v="45"/>
    <n v="45"/>
    <n v="45"/>
    <n v="1"/>
    <n v="45"/>
    <n v="45"/>
    <n v="45"/>
    <n v="1"/>
    <s v="Mantenimiento"/>
    <m/>
    <s v="SALUD"/>
    <s v="A.2"/>
    <m/>
    <s v="SECRETARÍA DE SALUD"/>
    <m/>
    <m/>
    <m/>
  </r>
  <r>
    <x v="0"/>
    <x v="0"/>
    <m/>
    <m/>
    <x v="2"/>
    <x v="2"/>
    <m/>
    <m/>
    <x v="8"/>
    <x v="8"/>
    <m/>
    <m/>
    <s v="1.3.5.6"/>
    <s v="Mantener el porcentaje de_x000a_transmisión materno infantil_x000a_de VIH igual e inferior 2%_x000a_"/>
    <s v="Mantener el porcentaje de_x000a_transmisión materno infantil_x000a_de VIH igual e inferior 2%_x000a_"/>
    <n v="0"/>
    <m/>
    <s v="1.3.5.6.1"/>
    <s v="45 Municipios asistidos y acompañados en la Estrategia para la prevención de transmisión materno-infantil del VIH, funcionando, de acuerdo con los criterios del Ministerio de Salud."/>
    <s v="45 Municipios asistidos y acompañados en la Estrategia para la prevención de transmisión materno-infantil del VIH, funcionando, de acuerdo con los criterios del Ministerio de Salud."/>
    <m/>
    <n v="45"/>
    <n v="45"/>
    <n v="45"/>
    <n v="1"/>
    <n v="10"/>
    <n v="45"/>
    <n v="10"/>
    <n v="1"/>
    <s v="Incremento"/>
    <m/>
    <s v="SALUD"/>
    <s v="A.2"/>
    <m/>
    <s v="SECRETARÍA DE SALUD"/>
    <m/>
    <m/>
    <m/>
  </r>
  <r>
    <x v="0"/>
    <x v="0"/>
    <m/>
    <m/>
    <x v="2"/>
    <x v="2"/>
    <m/>
    <m/>
    <x v="8"/>
    <x v="8"/>
    <m/>
    <m/>
    <s v="1.3.5.7"/>
    <s v="Disminuir la tasa de incidencia_x000a_de sífilis congénita a 1,0 por_x000a_1.000 nacidos vivos"/>
    <s v="Disminuir la tasa de incidencia_x000a_de sífilis congénita a 1,0 por_x000a_1.000 nacidos vivos"/>
    <n v="1.96"/>
    <n v="50"/>
    <s v="1.3.5.7.1"/>
    <s v="45 Municipios asistidos y acompañados en la Estrategia para la prevención de transmisión materno-infantil de la sífilis gestacional, funcionando en 37 municipios"/>
    <s v="45 Municipios asistidos y acompañados en la Estrategia para la prevención de transmisión materno-infantil de la sífilis gestacional, funcionando en 37 municipios"/>
    <m/>
    <n v="45"/>
    <n v="45"/>
    <n v="45"/>
    <n v="1"/>
    <n v="10"/>
    <n v="45"/>
    <n v="10"/>
    <n v="1"/>
    <s v="Incremento"/>
    <m/>
    <s v="SALUD"/>
    <s v="A.2"/>
    <m/>
    <s v="SECRETARÍA DE SALUD"/>
    <m/>
    <m/>
    <m/>
  </r>
  <r>
    <x v="0"/>
    <x v="0"/>
    <m/>
    <m/>
    <x v="2"/>
    <x v="2"/>
    <m/>
    <m/>
    <x v="9"/>
    <x v="9"/>
    <n v="0.66767676767676754"/>
    <n v="0.66767676767676754"/>
    <s v="1.3.6.1"/>
    <s v="Mantener la tasa de_x000a_mortalidad por tuberculosis_x000a_en 1,32 por 100.000_x000a_habitantes o menos"/>
    <s v="Mantener la tasa de_x000a_mortalidad por tuberculosis_x000a_en 1,32 por 100.000_x000a_habitantes o menos"/>
    <s v="1.32"/>
    <n v="1.32"/>
    <s v="1.3.6.1.1"/>
    <s v="Municipios con desarrollo de_x000a_capacidades para la_x000a_implementación del plan_x000a_estratégico “hacia el fin de la_x000a_tuberculosis” "/>
    <s v="Municipios con desarrollo de_x000a_capacidades para la_x000a_implementación del plan_x000a_estratégico “hacia el fin de la_x000a_tuberculosis” "/>
    <m/>
    <n v="45"/>
    <n v="12"/>
    <n v="23"/>
    <n v="0.51111111111111107"/>
    <n v="45"/>
    <n v="12"/>
    <n v="23"/>
    <n v="0.51111111111111107"/>
    <s v="Mantenimiento"/>
    <m/>
    <s v="SALUD"/>
    <s v="A.2"/>
    <m/>
    <s v="SECRETARÍA DE SALUD"/>
    <m/>
    <m/>
    <m/>
  </r>
  <r>
    <x v="0"/>
    <x v="0"/>
    <m/>
    <m/>
    <x v="2"/>
    <x v="2"/>
    <m/>
    <m/>
    <x v="9"/>
    <x v="9"/>
    <m/>
    <m/>
    <s v="1.3.6.2"/>
    <s v="Reducir la tasa de_x000a_discapacidad grado II por_x000a_Enfermedad de Hansen a 1,1_x000a_por 1.000.000 de habitantes"/>
    <s v="Reducir la tasa de_x000a_discapacidad grado II por_x000a_Enfermedad de Hansen a 1,1_x000a_por 1.000.000 de habitantes"/>
    <s v="1.8"/>
    <n v="1.1000000000000001"/>
    <s v="1.3.6.2.1"/>
    <s v="Municipios con desarrollo de_x000a_capacidades para la_x000a_implementación del plan_x000a_estratégico de prevención y_x000a_control de la enfermedad de_x000a_Hansen "/>
    <s v="Municipios con desarrollo de_x000a_capacidades para la_x000a_implementación del plan_x000a_estratégico de prevención y_x000a_control de la enfermedad de_x000a_Hansen "/>
    <m/>
    <n v="45"/>
    <n v="12"/>
    <n v="27"/>
    <n v="0.6"/>
    <n v="45"/>
    <n v="12"/>
    <n v="27"/>
    <n v="0.6"/>
    <s v="Mantenimiento"/>
    <m/>
    <s v="SALUD"/>
    <s v="A.2"/>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1"/>
    <s v="Municipios con capacidades_x000a_fortalecidas para el cumplimiento_x000a_de las normas técnicas y_x000a_lineamientos del programa_x000a_ampliado de inmunizaciones"/>
    <s v="Municipios con capacidades_x000a_fortalecidas para el cumplimiento_x000a_de las normas técnicas y_x000a_lineamientos del programa_x000a_ampliado de inmunizaciones"/>
    <m/>
    <n v="45"/>
    <n v="45"/>
    <n v="45"/>
    <n v="1"/>
    <n v="45"/>
    <n v="45"/>
    <n v="45"/>
    <n v="1"/>
    <s v="Mantenimiento"/>
    <m/>
    <s v="SALUD"/>
    <s v="A.2"/>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2"/>
    <s v="Aseguradores con capacidades_x000a_desarrolladas para la ejecución de_x000a_planes de seguimiento del_x000a_programa ampliado de_x000a_inmunizaciones"/>
    <s v="Aseguradores con capacidades_x000a_desarrolladas para la ejecución de_x000a_planes de seguimiento del_x000a_programa ampliado de_x000a_inmunizaciones"/>
    <m/>
    <n v="10"/>
    <n v="10"/>
    <n v="10"/>
    <n v="1"/>
    <n v="10"/>
    <n v="10"/>
    <n v="10"/>
    <n v="1"/>
    <s v="Incremento"/>
    <m/>
    <s v="SALUD"/>
    <s v="A.2"/>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3"/>
    <s v="Municipios con IPS vacunadoras_x000a_con capacidades fortalecidas para_x000a_la implementación del Sistema de_x000a_Información Nominal del PAI_x000a_"/>
    <s v="Municipios con IPS vacunadoras_x000a_con capacidades fortalecidas para_x000a_la implementación del Sistema de_x000a_Información Nominal del PAI_x000a_"/>
    <m/>
    <n v="45"/>
    <n v="45"/>
    <n v="45"/>
    <n v="1"/>
    <n v="45"/>
    <n v="45"/>
    <n v="45"/>
    <n v="1"/>
    <s v="Mantenimiento"/>
    <m/>
    <m/>
    <m/>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85.2"/>
    <s v="1.3.6.3.4"/>
    <s v="Red de frío departamental_x000a_adecuada para el_x000a_almacenamiento, conservación y_x000a_distribución de biológicos"/>
    <s v="Red de frío departamental_x000a_adecuada para el_x000a_almacenamiento, conservación y_x000a_distribución de biológicos"/>
    <m/>
    <n v="1"/>
    <n v="1"/>
    <n v="1"/>
    <n v="1"/>
    <n v="1"/>
    <n v="1"/>
    <n v="1"/>
    <n v="1"/>
    <s v="Mantenimiento"/>
    <m/>
    <s v="SALUD"/>
    <s v="A.2"/>
    <m/>
    <s v="SECRETARÍA DE SALUD"/>
    <m/>
    <m/>
    <m/>
  </r>
  <r>
    <x v="0"/>
    <x v="0"/>
    <m/>
    <m/>
    <x v="2"/>
    <x v="2"/>
    <m/>
    <m/>
    <x v="9"/>
    <x v="9"/>
    <m/>
    <m/>
    <s v="1.3.6.4"/>
    <s v="Disminuir la letalidad por_x000a_dengue grave a 2%"/>
    <s v="Disminuir la letalidad por_x000a_dengue grave a 2%"/>
    <s v="6.67"/>
    <n v="2"/>
    <s v="1.3.6.4.1"/>
    <s v="IPS Públicas con talento humano_x000a_capacitado para la atención con_x000a_calidad a pacientes con_x000a_Enfermedades trasmitidas por_x000a_vectores y zoonosis"/>
    <s v="IPS Públicas con talento humano_x000a_capacitado para la atención con_x000a_calidad a pacientes con_x000a_Enfermedades trasmitidas por_x000a_vectores y zoonosis"/>
    <m/>
    <n v="46"/>
    <n v="14"/>
    <n v="23"/>
    <n v="0.5"/>
    <n v="46"/>
    <n v="14"/>
    <n v="23"/>
    <n v="0.5"/>
    <s v="Mantenimiento"/>
    <m/>
    <s v="SALUD"/>
    <s v="A.2"/>
    <m/>
    <s v="SECRETARÍA DE SALUD"/>
    <m/>
    <m/>
    <m/>
  </r>
  <r>
    <x v="0"/>
    <x v="0"/>
    <m/>
    <m/>
    <x v="2"/>
    <x v="2"/>
    <m/>
    <m/>
    <x v="9"/>
    <x v="9"/>
    <m/>
    <m/>
    <s v="1.3.6.5"/>
    <s v="Disminuir la letalidad por_x000a_Leishmaniasis a 13,4%"/>
    <s v="Disminuir la letalidad por_x000a_Leishmaniasis a 13,4%"/>
    <s v="16.67"/>
    <n v="13.4"/>
    <s v="1.3.6.5.1"/>
    <s v="Municipios con capacidades_x000a_desarrolladas para la_x000a_implementación de acciones_x000a_regulares para la prevención de_x000a_Enfermedades Transmitidas por_x000a_vectores y zoonosis"/>
    <s v="Municipios con capacidades_x000a_desarrolladas para la_x000a_implementación de acciones_x000a_regulares para la prevención de_x000a_Enfermedades Transmitidas por_x000a_vectores y zoonosis"/>
    <m/>
    <n v="45"/>
    <n v="10"/>
    <n v="23"/>
    <n v="0.51111111111111107"/>
    <n v="45"/>
    <n v="10"/>
    <n v="23"/>
    <n v="0.51111111111111107"/>
    <s v="Mantenimiento"/>
    <m/>
    <s v="SALUD"/>
    <s v="A.2"/>
    <m/>
    <s v="SECRETARÍA DE SALUD"/>
    <m/>
    <m/>
    <m/>
  </r>
  <r>
    <x v="0"/>
    <x v="0"/>
    <m/>
    <m/>
    <x v="2"/>
    <x v="2"/>
    <m/>
    <m/>
    <x v="9"/>
    <x v="9"/>
    <m/>
    <m/>
    <s v="1.3.6.6"/>
    <s v="Mantener la letalidad por_x000a_Chagas en 0%"/>
    <s v="Mantener la letalidad por_x000a_Chagas en 0%"/>
    <n v="0"/>
    <n v="0"/>
    <s v="1.3.6.6.1"/>
    <s v="Municipios con capacidades_x000a_desarrolladas para la_x000a_implementación de la EGI ETV y_x000a_EGI ZOONOSIS orientadas a la_x000a_reducción de la carga Económica_x000a_social de la enfermedad "/>
    <s v="Municipios con capacidades_x000a_desarrolladas para la_x000a_implementación de la EGI ETV y_x000a_EGI ZOONOSIS orientadas a la_x000a_reducción de la carga Económica_x000a_social de la enfermedad "/>
    <m/>
    <n v="45"/>
    <n v="10"/>
    <n v="5"/>
    <n v="0.1111111111111111"/>
    <n v="45"/>
    <n v="10"/>
    <n v="5"/>
    <n v="0.1111111111111111"/>
    <s v="Mantenimiento"/>
    <m/>
    <m/>
    <m/>
    <m/>
    <s v="SECRETARÍA DE SALUD"/>
    <m/>
    <m/>
    <m/>
  </r>
  <r>
    <x v="0"/>
    <x v="0"/>
    <m/>
    <m/>
    <x v="2"/>
    <x v="2"/>
    <m/>
    <m/>
    <x v="9"/>
    <x v="9"/>
    <m/>
    <m/>
    <s v="1.3.6.7"/>
    <s v="Mantener la tasa de_x000a_mortalidad por rabia en 0 por_x000a_100.000 habitantes_x000a_"/>
    <s v="Mantener la tasa de_x000a_mortalidad por rabia en 0 por_x000a_100.000 habitantes_x000a_"/>
    <n v="0"/>
    <n v="0"/>
    <s v="1.3.6.7.1"/>
    <s v="Plan de eliminación de la rabia_x000a_humana transmitida por animales_x000a_de compañía y en el ciclo silvestre_x000a_que incluya esquema de vacuna_x000a_pre exposición a rabia en_x000a_poblaciones priorizadas_x000a_"/>
    <s v="Plan de eliminación de la rabia_x000a_humana transmitida por animales_x000a_de compañía y en el ciclo silvestre_x000a_que incluya esquema de vacuna_x000a_pre exposición a rabia en_x000a_poblaciones priorizadas_x000a_"/>
    <m/>
    <n v="1"/>
    <n v="0"/>
    <n v="1"/>
    <n v="1"/>
    <n v="1"/>
    <n v="0"/>
    <n v="1"/>
    <n v="1"/>
    <s v="Mantenimiento"/>
    <m/>
    <m/>
    <m/>
    <m/>
    <s v="SECRETARÍA DE SALUD"/>
    <m/>
    <m/>
    <m/>
  </r>
  <r>
    <x v="0"/>
    <x v="0"/>
    <m/>
    <m/>
    <x v="2"/>
    <x v="2"/>
    <m/>
    <m/>
    <x v="9"/>
    <x v="9"/>
    <m/>
    <m/>
    <s v="1.3.6.8"/>
    <s v="Mantener la tasa de_x000a_mortalidad por malaria en cero_x000a_por 100.000 habitantes_x000a_"/>
    <s v="Mantener la tasa de_x000a_mortalidad por malaria en cero_x000a_por 100.000 habitantes_x000a_"/>
    <n v="0"/>
    <n v="0"/>
    <s v="1.3.6.8.1"/>
    <s v="Municipios con capacidades_x000a_desarrolladas para la_x000a_implementación de la EGI_x000a_ZOONOSIS "/>
    <s v="Municipios con capacidades_x000a_desarrolladas para la_x000a_implementación de la EGI_x000a_ZOONOSIS "/>
    <m/>
    <n v="45"/>
    <n v="0"/>
    <n v="5"/>
    <n v="0.1111111111111111"/>
    <n v="45"/>
    <n v="0"/>
    <n v="5"/>
    <n v="0.1111111111111111"/>
    <s v="Mantenimiento"/>
    <m/>
    <m/>
    <m/>
    <m/>
    <s v="SECRETARÍA DE SALUD"/>
    <m/>
    <m/>
    <m/>
  </r>
  <r>
    <x v="0"/>
    <x v="0"/>
    <m/>
    <m/>
    <x v="2"/>
    <x v="2"/>
    <m/>
    <m/>
    <x v="10"/>
    <x v="10"/>
    <n v="0.31739130434782609"/>
    <n v="0.625"/>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1 "/>
    <s v="IPS pública con Planes_x000a_Hospitalarios de Gestión_x000a_Integral del Riesgo de Desastres_x000a_ajustado a Normatividad_x000a_vigente."/>
    <s v="IPS pública con Planes_x000a_Hospitalarios de Gestión_x000a_Integral del Riesgo de Desastres_x000a_ajustado a Normatividad_x000a_vigente."/>
    <m/>
    <n v="46"/>
    <n v="10"/>
    <n v="20"/>
    <n v="0.43478260869565216"/>
    <n v="25"/>
    <n v="10"/>
    <n v="20"/>
    <n v="0.8"/>
    <s v="Increm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2"/>
    <s v="IPS con programa de Hospitales_x000a_seguros frente a desastres_x000a_revisado y evaluado._x000a_"/>
    <s v="IPS con programa de Hospitales_x000a_seguros frente a desastres_x000a_revisado y evaluado._x000a_"/>
    <m/>
    <n v="46"/>
    <n v="5"/>
    <n v="7"/>
    <n v="0.15217391304347827"/>
    <n v="10"/>
    <n v="5"/>
    <n v="7"/>
    <n v="0.7"/>
    <s v="Increm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3"/>
    <s v="Centro Regulador de Urgencias y_x000a_Emergencias Departamental_x000a_funcionando en óptimas_x000a_condiciones y articulado con el_x000a_Distrito de Cartagena"/>
    <s v="Centro Regulador de Urgencias y_x000a_Emergencias Departamental_x000a_funcionando en óptimas_x000a_condiciones y articulado con el_x000a_Distrito de Cartagena"/>
    <m/>
    <n v="1"/>
    <n v="1"/>
    <n v="1"/>
    <n v="1"/>
    <n v="1"/>
    <n v="1"/>
    <n v="1"/>
    <n v="1"/>
    <s v="Mantenimi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4"/>
    <s v="Municipios priorizados con el_x000a_sistema de emergencias médico_x000a_reglamentado e implementado"/>
    <s v="Municipios priorizados con el_x000a_sistema de emergencias médico_x000a_reglamentado e implementado"/>
    <m/>
    <n v="5"/>
    <n v="0"/>
    <n v="0"/>
    <n v="0"/>
    <n v="1"/>
    <n v="0"/>
    <n v="0"/>
    <n v="0"/>
    <s v="Increm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5"/>
    <s v="Red de toxicología_x000a_departamental implementada "/>
    <s v="Red de toxicología_x000a_departamental implementada "/>
    <m/>
    <n v="1"/>
    <m/>
    <m/>
    <n v="0"/>
    <m/>
    <m/>
    <m/>
    <s v="NP"/>
    <s v="Incremento"/>
    <m/>
    <m/>
    <m/>
    <m/>
    <s v="SECRETARÍA DE SALUD"/>
    <m/>
    <m/>
    <m/>
  </r>
  <r>
    <x v="0"/>
    <x v="0"/>
    <m/>
    <m/>
    <x v="2"/>
    <x v="2"/>
    <m/>
    <m/>
    <x v="11"/>
    <x v="11"/>
    <n v="0.16818181818181818"/>
    <n v="0.65"/>
    <s v="1.3.8.1"/>
    <s v="Disminuir en 5,0% la tasa de_x000a_accidentalidad laboral"/>
    <s v="Disminuir en 5,0% la tasa de_x000a_accidentalidad laboral"/>
    <s v="5.2"/>
    <n v="5"/>
    <s v="1.3.8.1.1"/>
    <s v="Municipios con la normativa_x000a_para la afiliación de_x000a_trabajadores al SGRL_x000a_socializada."/>
    <s v="Municipios con la normativa_x000a_para la afiliación de_x000a_trabajadores al SGRL_x000a_socializada."/>
    <m/>
    <n v="40"/>
    <n v="6"/>
    <n v="6"/>
    <n v="0.15"/>
    <n v="10"/>
    <n v="6"/>
    <n v="6"/>
    <n v="0.6"/>
    <s v="Incremento"/>
    <m/>
    <s v="SALUD"/>
    <s v="A.2"/>
    <m/>
    <s v="SECRETARÍA DE SALUD"/>
    <m/>
    <m/>
    <m/>
  </r>
  <r>
    <x v="0"/>
    <x v="0"/>
    <m/>
    <m/>
    <x v="2"/>
    <x v="2"/>
    <m/>
    <m/>
    <x v="11"/>
    <x v="11"/>
    <m/>
    <m/>
    <s v="1.3.8.1"/>
    <s v="Disminuir en 5,0% la tasa de_x000a_accidentalidad laboral"/>
    <s v="Disminuir en 5,0% la tasa de_x000a_accidentalidad laboral"/>
    <s v="5.2"/>
    <n v="5"/>
    <s v="1.3.8.1.2"/>
    <s v="Municipios con población_x000a_trabajadora informal_x000a_caracterizada."/>
    <s v="Municipios con población_x000a_trabajadora informal_x000a_caracterizada."/>
    <m/>
    <n v="40"/>
    <n v="0"/>
    <n v="0"/>
    <n v="0"/>
    <n v="10"/>
    <n v="0"/>
    <n v="0"/>
    <n v="0"/>
    <s v="Incremento"/>
    <m/>
    <s v="SALUD"/>
    <s v="A.2"/>
    <m/>
    <s v="SECRETARÍA DE SALUD"/>
    <m/>
    <m/>
    <m/>
  </r>
  <r>
    <x v="0"/>
    <x v="0"/>
    <m/>
    <m/>
    <x v="2"/>
    <x v="2"/>
    <m/>
    <m/>
    <x v="11"/>
    <x v="11"/>
    <m/>
    <m/>
    <s v="1.3.8.1"/>
    <s v="Disminuir en 5,0% la tasa de_x000a_accidentalidad laboral"/>
    <s v="Disminuir en 5,0% la tasa de_x000a_accidentalidad laboral"/>
    <s v="5.2"/>
    <n v="5"/>
    <s v="1.3.8.1.3"/>
    <s v="Municipios con acciones de_x000a_promoción de la salud y_x000a_prevención de riesgos laborales_x000a_implementadas."/>
    <s v="Municipios con acciones de_x000a_promoción de la salud y_x000a_prevención de riesgos laborales_x000a_implementadas."/>
    <m/>
    <n v="22"/>
    <n v="4"/>
    <n v="6"/>
    <n v="0.27272727272727271"/>
    <n v="4"/>
    <n v="4"/>
    <n v="4"/>
    <n v="1"/>
    <s v="Incremento"/>
    <m/>
    <m/>
    <m/>
    <m/>
    <s v="SECRETARÍA DE SALUD"/>
    <m/>
    <m/>
    <m/>
  </r>
  <r>
    <x v="0"/>
    <x v="0"/>
    <m/>
    <m/>
    <x v="2"/>
    <x v="2"/>
    <m/>
    <m/>
    <x v="11"/>
    <x v="11"/>
    <m/>
    <m/>
    <s v="1.3.8.1"/>
    <s v="Disminuir en 5,0% la tasa de_x000a_accidentalidad laboral"/>
    <s v="Disminuir en 5,0% la tasa de_x000a_accidentalidad laboral"/>
    <s v="5.2"/>
    <n v="5"/>
    <s v="1.3.8.1.4"/>
    <s v="Municipios asistidos_x000a_técnicamente para la inclusión_x000a_de la dimensión de salud y_x000a_ámbito laboral en sus planes de_x000a_salud territorial_x000a_"/>
    <s v="Municipios asistidos_x000a_técnicamente para la inclusión_x000a_de la dimensión de salud y_x000a_ámbito laboral en sus planes de_x000a_salud territorial_x000a_"/>
    <m/>
    <n v="40"/>
    <n v="0"/>
    <n v="10"/>
    <n v="0.25"/>
    <n v="10"/>
    <n v="0"/>
    <n v="10"/>
    <n v="1"/>
    <s v="Incremento"/>
    <m/>
    <s v="SALUD"/>
    <s v="A.2"/>
    <m/>
    <s v="SECRETARÍA DE SALUD"/>
    <m/>
    <m/>
    <m/>
  </r>
  <r>
    <x v="0"/>
    <x v="0"/>
    <m/>
    <m/>
    <x v="2"/>
    <x v="2"/>
    <m/>
    <m/>
    <x v="12"/>
    <x v="12"/>
    <n v="0.14840717969587935"/>
    <n v="0.35909090909090907"/>
    <s v="1.3.9.1"/>
    <s v="Disminuir la tasa de mortalidad_x000a_infantil a 10,67 muertes por_x000a_1.000 nacidos vivos"/>
    <s v="Disminuir la tasa de mortalidad_x000a_infantil a 10,67 muertes por_x000a_1.000 nacidos vivos"/>
    <s v="10.87"/>
    <s v="10.87"/>
    <s v="1.3.9.1.1"/>
    <s v="Municipios con la estrategia_x000a_Mil Primeros Días adoptada e_x000a_implementada"/>
    <s v="Municipios con la estrategia_x000a_Mil Primeros Días adoptada e_x000a_implementada"/>
    <m/>
    <n v="16"/>
    <n v="3"/>
    <n v="3"/>
    <n v="0.1875"/>
    <n v="3"/>
    <n v="3"/>
    <n v="3"/>
    <n v="1"/>
    <s v="Incremento"/>
    <m/>
    <s v="SALUD"/>
    <s v="A.2"/>
    <m/>
    <s v="SECRETARÍA DE SALUD"/>
    <m/>
    <m/>
    <m/>
  </r>
  <r>
    <x v="0"/>
    <x v="0"/>
    <m/>
    <m/>
    <x v="2"/>
    <x v="2"/>
    <m/>
    <m/>
    <x v="12"/>
    <x v="12"/>
    <m/>
    <m/>
    <s v="1.3.9.1"/>
    <s v="Disminuir la tasa de mortalidad_x000a_infantil a 10,67 muertes por_x000a_1.000 nacidos vivos"/>
    <s v="Disminuir la tasa de mortalidad_x000a_infantil a 10,67 muertes por_x000a_1.000 nacidos vivos"/>
    <s v="10.87"/>
    <s v="10.87"/>
    <s v="1.3.9.1.2"/>
    <s v="Municipios priorizados con_x000a_implementación y adopción del_x000a_proyecto “Pellízcate”_x000a_relacionado con la formación_x000a_de niñas, niños y adolescentes_x000a_como promotores de prácticas_x000a_claves de AIEPI_x000a_"/>
    <s v="Municipios priorizados con_x000a_implementación y adopción del_x000a_proyecto “Pellízcate”_x000a_relacionado con la formación_x000a_de niñas, niños y adolescentes_x000a_como promotores de prácticas_x000a_claves de AIEPI_x000a_"/>
    <m/>
    <n v="8"/>
    <n v="8"/>
    <n v="8"/>
    <n v="1"/>
    <n v="8"/>
    <n v="8"/>
    <n v="8"/>
    <n v="1"/>
    <s v="Mantenimiento"/>
    <m/>
    <s v="SALUD"/>
    <s v="A.2"/>
    <m/>
    <s v="SECRETARÍA DE SALUD"/>
    <m/>
    <m/>
    <m/>
  </r>
  <r>
    <x v="0"/>
    <x v="0"/>
    <m/>
    <m/>
    <x v="2"/>
    <x v="2"/>
    <m/>
    <m/>
    <x v="12"/>
    <x v="12"/>
    <m/>
    <m/>
    <s v="1.3.9.2"/>
    <s v="Disminuir la tasa de mortalidad_x000a_en la niñez a 13,18 muertes por_x000a_1.000 nacidos vivos"/>
    <s v="Disminuir la tasa de mortalidad_x000a_en la niñez a 13,18 muertes por_x000a_1.000 nacidos vivos"/>
    <s v="13.48"/>
    <s v="13.48"/>
    <s v="1.3.9.2.1"/>
    <s v="Municipios con planes de_x000a_mejoramiento producto de_x000a_mortalidades infantiles_x000a_integradas evaluados y_x000a_monitoreados"/>
    <s v="Municipios con planes de_x000a_mejoramiento producto de_x000a_mortalidades infantiles_x000a_integradas evaluados y_x000a_monitoreados"/>
    <m/>
    <n v="1"/>
    <n v="0.25"/>
    <n v="0.5"/>
    <n v="0.5"/>
    <n v="1"/>
    <n v="0.25"/>
    <n v="0.5"/>
    <n v="0.5"/>
    <s v="Mantenimiento"/>
    <m/>
    <s v="SALUD"/>
    <s v="A.2"/>
    <m/>
    <s v="SECRETARÍA DE SALUD"/>
    <m/>
    <m/>
    <m/>
  </r>
  <r>
    <x v="0"/>
    <x v="0"/>
    <m/>
    <m/>
    <x v="2"/>
    <x v="2"/>
    <m/>
    <m/>
    <x v="12"/>
    <x v="12"/>
    <m/>
    <m/>
    <s v="1.3.9.2"/>
    <s v="Disminuir la tasa de mortalidad_x000a_en la niñez a 13,18 muertes por_x000a_1.000 nacidos vivos"/>
    <s v="Disminuir la tasa de mortalidad_x000a_en la niñez a 13,18 muertes por_x000a_1.000 nacidos vivos"/>
    <s v="13.48"/>
    <s v="13.48"/>
    <s v="1.3.9.2.2"/>
    <s v="Municipios con la estrategia_x000a_AIEPI en el componente clínico,comunitario y organizacional_x000a_adoptada e implementada"/>
    <s v="Municipios con la estrategia_x000a_AIEPI en el componente clínico,comunitario y organizacional_x000a_adoptada e implementada"/>
    <m/>
    <n v="24"/>
    <n v="3"/>
    <n v="2"/>
    <n v="8.3333333333333329E-2"/>
    <n v="5"/>
    <n v="3"/>
    <n v="2"/>
    <n v="0.4"/>
    <s v="Incremento"/>
    <m/>
    <s v="SALUD"/>
    <s v="A.2"/>
    <m/>
    <s v="SECRETARÍA DE SALUD"/>
    <m/>
    <m/>
    <m/>
  </r>
  <r>
    <x v="0"/>
    <x v="0"/>
    <m/>
    <m/>
    <x v="2"/>
    <x v="2"/>
    <m/>
    <m/>
    <x v="12"/>
    <x v="12"/>
    <m/>
    <m/>
    <s v="1.3.9.2"/>
    <s v="Disminuir la tasa de mortalidad_x000a_en la niñez a 13,18 muertes por_x000a_1.000 nacidos vivos"/>
    <s v="Disminuir la tasa de mortalidad_x000a_en la niñez a 13,18 muertes por_x000a_1.000 nacidos vivos"/>
    <s v="13.48"/>
    <s v="13.48"/>
    <s v="1.3.9.2.3"/>
    <s v="Municipios asistidos en la_x000a_adopción e implementación de_x000a_la política pública de infancia y_x000a_adolescencia "/>
    <s v="Municipios asistidos en la_x000a_adopción e implementación de_x000a_la política pública de infancia y_x000a_adolescencia "/>
    <m/>
    <n v="24"/>
    <n v="3"/>
    <n v="2"/>
    <n v="8.3333333333333329E-2"/>
    <n v="5"/>
    <n v="3"/>
    <n v="2"/>
    <n v="0.4"/>
    <s v="Incremento"/>
    <m/>
    <s v="SALUD"/>
    <s v="A.2"/>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1"/>
    <s v="Municipios con rutas integrales_x000a_adoptadas y monitoreadas para_x000a_la gestión de la política de_x000a_envejecimiento y vejez."/>
    <s v="Municipios con rutas integrales_x000a_adoptadas y monitoreadas para_x000a_la gestión de la política de_x000a_envejecimiento y vejez."/>
    <m/>
    <n v="25"/>
    <n v="0"/>
    <n v="0"/>
    <n v="0"/>
    <n v="7"/>
    <n v="0"/>
    <n v="0"/>
    <n v="0"/>
    <s v="Incremento"/>
    <m/>
    <s v="SALUD"/>
    <s v="A.2"/>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2"/>
    <s v="Municipios implementado_x000a_políticas de humanización en_x000a_servicios de salud a los adultos_x000a_mayores"/>
    <s v="Municipios implementado_x000a_políticas de humanización en_x000a_servicios de salud a los adultos_x000a_mayores"/>
    <m/>
    <n v="37"/>
    <n v="0"/>
    <n v="0"/>
    <n v="0"/>
    <n v="10"/>
    <n v="0"/>
    <n v="0"/>
    <n v="0"/>
    <s v="Incremento"/>
    <m/>
    <s v="SALUD"/>
    <s v="A.2"/>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3"/>
    <s v="Municipios con Centros Día y_x000a_Centros de bienestar para las_x000a_personas adultas mayores con_x000a_atención integral, funcionando_x000a_según la normatividad vigente"/>
    <s v="Municipios con Centros Día y_x000a_Centros de bienestar para las_x000a_personas adultas mayores con_x000a_atención integral, funcionando_x000a_según la normatividad vigente"/>
    <m/>
    <n v="37"/>
    <n v="4"/>
    <n v="4"/>
    <n v="0.10810810810810811"/>
    <n v="10"/>
    <n v="4"/>
    <n v="4"/>
    <n v="0.4"/>
    <s v="Incremento"/>
    <m/>
    <m/>
    <m/>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4"/>
    <s v="Municipios con un modelo de_x000a_envejecimiento humano activo y_x000a_saludable para personas adultas_x000a_mayores, implementado y_x000a_monitoreado"/>
    <s v="Municipios con un modelo de_x000a_envejecimiento humano activo y_x000a_saludable para personas adultas_x000a_mayores, implementado y_x000a_monitoreado"/>
    <m/>
    <n v="15"/>
    <n v="0"/>
    <n v="0"/>
    <n v="0"/>
    <n v="4"/>
    <n v="0"/>
    <n v="0"/>
    <n v="0"/>
    <s v="Incremento"/>
    <m/>
    <m/>
    <m/>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5"/>
    <s v="Municipios con acciones de_x000a_promoción y de prevención del_x000a_envejecimiento humano activo_x000a_articuladas en los espacios_x000a_educativos dirigidos a la_x000a_infancia, adolescencia, juventud_x000a_y adultez"/>
    <s v="Municipios con acciones de_x000a_promoción y de prevención del_x000a_envejecimiento humano activo_x000a_articuladas en los espacios_x000a_educativos dirigidos a la_x000a_infancia, adolescencia, juventud_x000a_y adultez"/>
    <m/>
    <n v="5"/>
    <n v="0"/>
    <n v="0"/>
    <n v="0"/>
    <n v="1"/>
    <n v="0"/>
    <n v="0"/>
    <n v="0"/>
    <s v="Incremento"/>
    <m/>
    <s v="SALUD"/>
    <s v="A.2"/>
    <m/>
    <s v="SECRETARÍA DE SALUD"/>
    <m/>
    <m/>
    <m/>
  </r>
  <r>
    <x v="0"/>
    <x v="0"/>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1"/>
    <s v="Consolidación de la base de_x000a_datos de mujeres violentadas_x000a_en el marco del conflicto_x000a_armado"/>
    <s v="Consolidación de la base de_x000a_datos de mujeres violentadas_x000a_en el marco del conflicto_x000a_armado"/>
    <m/>
    <n v="1"/>
    <n v="0.25"/>
    <n v="0.5"/>
    <n v="0.5"/>
    <n v="1"/>
    <n v="0.25"/>
    <n v="0.5"/>
    <n v="0.5"/>
    <s v="Mantenimiento"/>
    <m/>
    <s v="SALUD"/>
    <s v="A.2"/>
    <m/>
    <s v="SECRETARÍA DE SALUD"/>
    <m/>
    <m/>
    <m/>
  </r>
  <r>
    <x v="0"/>
    <x v="0"/>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2"/>
    <s v="Entidades Territoriales_x000a_cumpliendo los estándares de_x000a_evaluación para la operación_x000a_de red de servicios de_x000a_atención integral a víctimas de_x000a_violencias de género y_x000a_violencias sexuales."/>
    <s v="Entidades Territoriales_x000a_cumpliendo los estándares de_x000a_evaluación para la operación_x000a_de red de servicios de_x000a_atención integral a víctimas de_x000a_violencias de género y_x000a_violencias sexuales."/>
    <m/>
    <n v="20"/>
    <n v="0"/>
    <n v="0"/>
    <n v="0"/>
    <n v="5"/>
    <n v="0"/>
    <n v="0"/>
    <n v="0"/>
    <s v="Incremento"/>
    <m/>
    <m/>
    <m/>
    <m/>
    <s v="SECRETARÍA DE SALUD"/>
    <m/>
    <m/>
    <m/>
  </r>
  <r>
    <x v="0"/>
    <x v="0"/>
    <m/>
    <m/>
    <x v="2"/>
    <x v="2"/>
    <m/>
    <m/>
    <x v="12"/>
    <x v="12"/>
    <m/>
    <m/>
    <s v="1.3.9.5"/>
    <s v="Lograr un 50% de cobertura departamental en la atención psicosocial a la población indígena en el marco del lineamiento de enfoque_x000a_diferencial cultural "/>
    <s v="Lograr un 50% de cobertura departamental en la atención psicosocial a la población indígena en el marco del lineamiento de enfoque_x000a_diferencial cultural "/>
    <n v="0"/>
    <n v="50"/>
    <s v="1.3.9.5.1"/>
    <s v="Municipios con_x000a_asentamientos indígenas con_x000a_acciones de promoción,_x000a_prevención y atención en_x000a_salud diferencial _x000a_"/>
    <s v="Municipios con_x000a_asentamientos indígenas con_x000a_acciones de promoción,_x000a_prevención y atención en_x000a_salud diferencial _x000a_"/>
    <m/>
    <n v="19"/>
    <n v="4"/>
    <n v="4"/>
    <n v="0.21052631578947367"/>
    <n v="4"/>
    <n v="4"/>
    <n v="4"/>
    <n v="1"/>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1"/>
    <s v="Porcentaje de personas con_x000a_discapacidad certificadas e_x000a_incluidas en el Registro para la_x000a_Localización y Caracterización_x000a_de Personas con Discapacidad_x000a_RLCPD."/>
    <s v="Porcentaje de personas con_x000a_discapacidad certificadas e_x000a_incluidas en el Registro para la_x000a_Localización y Caracterización_x000a_de Personas con Discapacidad_x000a_RLCPD."/>
    <m/>
    <n v="15"/>
    <n v="0"/>
    <n v="0"/>
    <n v="0"/>
    <n v="2"/>
    <n v="0"/>
    <n v="0"/>
    <n v="0"/>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2"/>
    <s v="Municipios con Estrategia de_x000a_Rehabilitación Basada en_x000a_Comunidad implementada y_x000a_Evaluada."/>
    <s v="Municipios con Estrategia de_x000a_Rehabilitación Basada en_x000a_Comunidad implementada y_x000a_Evaluada."/>
    <m/>
    <n v="45"/>
    <n v="2"/>
    <n v="2"/>
    <n v="4.4444444444444446E-2"/>
    <n v="10"/>
    <n v="2"/>
    <n v="2"/>
    <n v="0.2"/>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3"/>
    <s v="Municipios con lineamientos_x000a_de Rehabilitación FuncionalRHBF, y Rehabilitación Integral_x000a_– RHI articulados_x000a_intersectorialmente."/>
    <s v="Municipios con lineamientos_x000a_de Rehabilitación FuncionalRHBF, y Rehabilitación Integral_x000a_– RHI articulados_x000a_intersectorialmente."/>
    <m/>
    <n v="24"/>
    <n v="0"/>
    <n v="0"/>
    <n v="0"/>
    <n v="8"/>
    <n v="0"/>
    <n v="0"/>
    <n v="0"/>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4"/>
    <s v="Personas acceso a los_x000a_productos de apoyo en el_x000a_marco de la rehabilitación_x000a_funcional excluidos del POS."/>
    <s v="Personas acceso a los_x000a_productos de apoyo en el_x000a_marco de la rehabilitación_x000a_funcional excluidos del POS."/>
    <m/>
    <n v="2900"/>
    <n v="0"/>
    <n v="0"/>
    <n v="0"/>
    <n v="725"/>
    <n v="0"/>
    <n v="0"/>
    <n v="0"/>
    <s v="Incremento"/>
    <m/>
    <m/>
    <m/>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5"/>
    <s v="Municipios implementando_x000a_protocolos de humanización en_x000a_servicios de salud y atención inclusiva para las personas con_x000a_discapacidad"/>
    <s v="Municipios implementando_x000a_protocolos de humanización en_x000a_servicios de salud y atención inclusiva para las personas con_x000a_discapacidad"/>
    <m/>
    <n v="34"/>
    <n v="2"/>
    <n v="2"/>
    <n v="5.8823529411764705E-2"/>
    <n v="10"/>
    <n v="2"/>
    <n v="2"/>
    <n v="0.2"/>
    <s v="Incremento"/>
    <m/>
    <s v="SALUD"/>
    <s v="A.2"/>
    <m/>
    <s v="SECRETARÍA DE SALUD"/>
    <m/>
    <m/>
    <m/>
  </r>
  <r>
    <x v="0"/>
    <x v="0"/>
    <m/>
    <m/>
    <x v="2"/>
    <x v="2"/>
    <m/>
    <m/>
    <x v="12"/>
    <x v="12"/>
    <m/>
    <m/>
    <s v="1.3.9.7"/>
    <s v="Mantener el 56% de cobertura_x000a_de atención psicosocial_x000a_integral a las víctimas del_x000a_conflicto armado"/>
    <s v="Mantener el 56% de cobertura_x000a_de atención psicosocial_x000a_integral a las víctimas del_x000a_conflicto armado"/>
    <n v="56"/>
    <n v="56"/>
    <s v="1.3.9.7.1"/>
    <s v="Municipios con Programa de_x000a_Atención Psicosocial y Salud_x000a_Integral a Víctimas del conflicto_x000a_armado "/>
    <s v="Municipios con Programa de_x000a_Atención Psicosocial y Salud_x000a_Integral a Víctimas del conflicto_x000a_armado "/>
    <m/>
    <n v="45"/>
    <n v="1"/>
    <n v="1"/>
    <n v="2.2222222222222223E-2"/>
    <n v="10"/>
    <n v="1"/>
    <n v="1"/>
    <n v="0.1"/>
    <s v="Incremento"/>
    <m/>
    <s v="SALUD"/>
    <s v="A.2"/>
    <m/>
    <s v="SECRETARÍA DE SALUD"/>
    <m/>
    <m/>
    <m/>
  </r>
  <r>
    <x v="0"/>
    <x v="0"/>
    <m/>
    <m/>
    <x v="2"/>
    <x v="2"/>
    <m/>
    <m/>
    <x v="12"/>
    <x v="12"/>
    <m/>
    <m/>
    <s v="1.3.9.7"/>
    <s v="Mantener el 56% de cobertura de atención psicosocial integral a las víctimas del conflicto armado"/>
    <s v="Mantener el 56% de cobertura de atención psicosocial integral a las víctimas del conflicto armado"/>
    <n v="56"/>
    <n v="56"/>
    <s v="1.3.9.7.2"/>
    <s v="Acciones en salud, ordenadas por la Corte Constitucional, sentencias, tribunales y fallos, a favor de población con Planes de Reparación Colectiva (PRC) y Retornos voluntarios,_x000a_garantizados"/>
    <s v="Acciones en salud, ordenadas_x000a_por la Corte Constitucional,_x000a_sentencias, tribunales y fallos, a_x000a_favor de población con Planes_x000a_de Reparación Colectiva (PRC) y_x000a_Retornos voluntarios,_x000a_garantizados"/>
    <m/>
    <n v="1"/>
    <n v="0"/>
    <n v="0.25"/>
    <n v="0.25"/>
    <n v="1"/>
    <n v="0"/>
    <n v="1"/>
    <n v="1"/>
    <s v="Mantenimiento"/>
    <m/>
    <m/>
    <m/>
    <m/>
    <s v="SECRETARÍA DE SALUD"/>
    <m/>
    <m/>
    <m/>
  </r>
  <r>
    <x v="0"/>
    <x v="0"/>
    <m/>
    <m/>
    <x v="2"/>
    <x v="2"/>
    <m/>
    <m/>
    <x v="12"/>
    <x v="12"/>
    <m/>
    <m/>
    <s v="1.3.9.7"/>
    <s v="Mantener el 56% de cobertura de atención psicosocial integral a las víctimas del conflicto armado"/>
    <s v="Mantener el 56% de cobertura de atención psicosocial integral a las víctimas del conflicto armado"/>
    <n v="56"/>
    <n v="56"/>
    <s v="1.3.9.7.3"/>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m/>
    <n v="20"/>
    <n v="1"/>
    <n v="1"/>
    <n v="0.05"/>
    <n v="5"/>
    <n v="1"/>
    <n v="1"/>
    <n v="0.2"/>
    <s v="Incremento"/>
    <m/>
    <s v="SALUD"/>
    <s v="A.2"/>
    <m/>
    <s v="SECRETARÍA DE SALUD"/>
    <m/>
    <m/>
    <m/>
  </r>
  <r>
    <x v="0"/>
    <x v="0"/>
    <m/>
    <m/>
    <x v="2"/>
    <x v="2"/>
    <m/>
    <m/>
    <x v="12"/>
    <x v="12"/>
    <m/>
    <m/>
    <s v="1.3.9.8"/>
    <s v="Mantener el 100% Cobertura_x000a_de atención integral con_x000a_enfoque diferencial a la_x000a_población reinsertada"/>
    <s v="Mantener el 100% Cobertura_x000a_de atención integral con_x000a_enfoque diferencial a la_x000a_población reinsertada"/>
    <n v="100"/>
    <n v="100"/>
    <s v="1.3.9.8.1"/>
    <s v="Municipios priorizados_x000a_asistidos técnicamente con_x000a_acciones de salud para la_x000a_atención integral de la_x000a_población excombatiente"/>
    <s v="Municipios priorizados_x000a_asistidos técnicamente con_x000a_acciones de salud para la_x000a_atención integral de la_x000a_población excombatiente"/>
    <m/>
    <n v="6"/>
    <n v="1"/>
    <n v="1"/>
    <n v="0.16666666666666666"/>
    <n v="1"/>
    <n v="1"/>
    <n v="1"/>
    <n v="1"/>
    <s v="Incremento"/>
    <m/>
    <s v="SALUD"/>
    <s v="A.2"/>
    <m/>
    <s v="SECRETARÍA DE SALUD"/>
    <m/>
    <m/>
    <m/>
  </r>
  <r>
    <x v="0"/>
    <x v="0"/>
    <m/>
    <m/>
    <x v="2"/>
    <x v="2"/>
    <m/>
    <m/>
    <x v="13"/>
    <x v="13"/>
    <n v="0.48231856308344495"/>
    <n v="0.64988703242880286"/>
    <s v="1.3.10.1"/>
    <s v="Implementar en un 100% el_x000a_plan de gestión del conocimiento y sistemas de_x000a_información en salud"/>
    <s v="Implementar en un 100% el_x000a_plan de gestión del conocimiento y sistemas de_x000a_información en salud"/>
    <n v="0"/>
    <n v="0"/>
    <s v="1.3.10.1.1"/>
    <s v="Municipios con capacidades_x000a_fortalecidas en sistema de_x000a_información y gestión del_x000a_conocimiento en salud."/>
    <s v="Municipios con capacidades_x000a_fortalecidas en sistema de_x000a_información y gestión del_x000a_conocimiento en salud."/>
    <m/>
    <n v="45"/>
    <n v="15"/>
    <n v="22"/>
    <n v="0.48888888888888887"/>
    <n v="45"/>
    <n v="15"/>
    <n v="22"/>
    <n v="0.48888888888888887"/>
    <s v="Mantenimiento"/>
    <m/>
    <s v="SALUD"/>
    <s v="A.2"/>
    <m/>
    <s v="SECRETARÍA DE SALUD"/>
    <m/>
    <m/>
    <m/>
  </r>
  <r>
    <x v="0"/>
    <x v="0"/>
    <m/>
    <m/>
    <x v="2"/>
    <x v="2"/>
    <m/>
    <m/>
    <x v="13"/>
    <x v="13"/>
    <m/>
    <m/>
    <s v="1.3.10.1"/>
    <s v="Implementar en un 100%_x000a_el plan de desarrollo de_x000a_capacidades para el_x000a_fortalecimiento de los_x000a_procesos de gestión de la_x000a_salud pública_x000a_"/>
    <s v="Implementar en un 100%_x000a_el plan de desarrollo de_x000a_capacidades para el_x000a_fortalecimiento de los_x000a_procesos de gestión de la_x000a_salud pública_x000a_"/>
    <n v="100"/>
    <n v="100"/>
    <s v="1.3.10.1.2"/>
    <s v="Municipios con capacidades_x000a_desarrolladas para la ejecución_x000a_de los procesos de gestión de la_x000a_salud pública en el marco de la_x000a_política de atención integral en_x000a_salud_x000a_"/>
    <s v="Municipios con capacidades_x000a_desarrolladas para la ejecución_x000a_de los procesos de gestión de la_x000a_salud pública en el marco de la_x000a_política de atención integral en_x000a_salud_x000a_"/>
    <m/>
    <n v="45"/>
    <n v="45"/>
    <n v="45"/>
    <n v="1"/>
    <n v="45"/>
    <n v="45"/>
    <n v="45"/>
    <n v="1"/>
    <s v="Mantenimiento"/>
    <m/>
    <s v="SALUD"/>
    <s v="A.2"/>
    <m/>
    <s v="SECRETARÍA DE SALUD"/>
    <m/>
    <m/>
    <m/>
  </r>
  <r>
    <x v="0"/>
    <x v="0"/>
    <m/>
    <m/>
    <x v="2"/>
    <x v="2"/>
    <m/>
    <m/>
    <x v="13"/>
    <x v="13"/>
    <m/>
    <m/>
    <s v="1.3.10.1"/>
    <s v="Implementar en un 100% el_x000a_plan de acción de_x000a_participación social en_x000a_salud"/>
    <s v="Implementar en un 100% el_x000a_plan de acción de_x000a_participación social en_x000a_salud"/>
    <n v="20"/>
    <n v="20"/>
    <s v="1.3.10.1.3"/>
    <s v="Municipios con planes de_x000a_acción de participación_x000a_social en salud_x000a_implementados"/>
    <s v="Municipios con planes de_x000a_acción de participación_x000a_social en salud_x000a_implementados"/>
    <m/>
    <n v="22"/>
    <n v="1"/>
    <n v="2"/>
    <n v="9.0909090909090912E-2"/>
    <n v="5"/>
    <n v="1"/>
    <n v="2"/>
    <n v="0.4"/>
    <s v="Incremento"/>
    <m/>
    <m/>
    <m/>
    <m/>
    <s v="SECRETARÍA DE SALUD"/>
    <m/>
    <m/>
    <m/>
  </r>
  <r>
    <x v="0"/>
    <x v="0"/>
    <m/>
    <m/>
    <x v="2"/>
    <x v="2"/>
    <m/>
    <m/>
    <x v="13"/>
    <x v="13"/>
    <m/>
    <m/>
    <m/>
    <s v="Implementar en un 100% el_x000a_plan de acción de_x000a_participación social en_x000a_salud"/>
    <s v="Implementar en un 100% el_x000a_plan de acción de_x000a_participación social en_x000a_salud"/>
    <n v="20"/>
    <n v="100"/>
    <m/>
    <s v="Municipios con planes de_x000a_acción de participación_x000a_social en salud_x000a_implementados"/>
    <s v="Municipios con planes de_x000a_acción de participación_x000a_social en salud_x000a_implementados"/>
    <m/>
    <n v="22"/>
    <n v="1"/>
    <n v="2"/>
    <n v="9.0909090909090912E-2"/>
    <n v="5"/>
    <n v="1"/>
    <n v="2"/>
    <n v="0.4"/>
    <s v="Incremento"/>
    <m/>
    <m/>
    <m/>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0"/>
    <m/>
    <s v="Municipios con capacidades_x000a_fortalecidas para la planeación_x000a_integral en salud_x000a_"/>
    <s v="Municipios con capacidades_x000a_fortalecidas para la planeación_x000a_integral en salud_x000a_"/>
    <m/>
    <n v="45"/>
    <n v="7"/>
    <n v="7"/>
    <n v="0.15555555555555556"/>
    <n v="10"/>
    <n v="7"/>
    <n v="7"/>
    <n v="0.7"/>
    <s v="Incremento"/>
    <m/>
    <s v="SALUD"/>
    <s v="A.2"/>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1"/>
    <m/>
    <s v="Porcentaje de proyectos de_x000a_inversión en salud formulados_x000a_y aprobados según_x000a_normatividad vigente y_x000a_articulado con las metas del_x000a_Plan de Desarrollo y el Plan_x000a_Territorial de Salud"/>
    <s v="Porcentaje de proyectos de_x000a_inversión en salud formulados_x000a_y aprobados según_x000a_normatividad vigente y_x000a_articulado con las metas del_x000a_Plan de Desarrollo y el Plan_x000a_Territorial de Salud"/>
    <m/>
    <n v="1"/>
    <n v="0.25"/>
    <n v="0.5"/>
    <n v="0.5"/>
    <n v="1"/>
    <n v="0.25"/>
    <n v="0.5"/>
    <n v="0.5"/>
    <s v="Mantenimiento"/>
    <m/>
    <s v="SALUD"/>
    <s v="A.2"/>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2"/>
    <m/>
    <s v="Porcentaje de planes_x000a_bianuales de inversión en_x000a_salud revisados y_x000a_monitoreados"/>
    <s v="Porcentaje de planes_x000a_bianuales de inversión en_x000a_salud revisados y_x000a_monitoreados"/>
    <m/>
    <n v="1"/>
    <n v="0.25"/>
    <n v="0.5"/>
    <n v="0.5"/>
    <n v="1"/>
    <n v="0.25"/>
    <n v="0.5"/>
    <n v="0.5"/>
    <s v="Mantenimiento"/>
    <m/>
    <s v="SALUD"/>
    <s v="A.2"/>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3"/>
    <m/>
    <s v="Porcentaje de seguimiento de_x000a_la evaluación financiera y_x000a_técnica de los proyectos de_x000a_inversión en salud radicados_x000a_en el banco de proyectos de la_x000a_Entidad Territorial_x000a_"/>
    <s v="Porcentaje de seguimiento de_x000a_la evaluación financiera y_x000a_técnica de los proyectos de_x000a_inversión en salud radicados_x000a_en el banco de proyectos de la_x000a_Entidad Territorial_x000a_"/>
    <m/>
    <n v="1"/>
    <n v="0.25"/>
    <n v="0.5"/>
    <n v="0.5"/>
    <n v="1"/>
    <n v="0.25"/>
    <n v="0.5"/>
    <n v="0.5"/>
    <s v="Mantenimiento"/>
    <m/>
    <s v="SALUD"/>
    <s v="A.2"/>
    <m/>
    <s v="SECRETARÍA DE SALUD"/>
    <m/>
    <m/>
    <m/>
  </r>
  <r>
    <x v="0"/>
    <x v="0"/>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Municipios asistidos_x000a_técnicamente, monitoreados y_x000a_evaluados en relación con la_x000a_ejecución técnica, financiera y_x000a_administrativa de los planes de_x000a_salud pública de intervenciones_x000a_colectivas."/>
    <s v="Municipios asistidos_x000a_técnicamente, monitoreados y_x000a_evaluados en relación con la_x000a_ejecución técnica, financiera y_x000a_administrativa de los planes de_x000a_salud pública de intervenciones_x000a_colectivas."/>
    <m/>
    <n v="45"/>
    <n v="45"/>
    <n v="45"/>
    <n v="1"/>
    <n v="45"/>
    <n v="45"/>
    <n v="45"/>
    <n v="1"/>
    <s v="Mantenimiento"/>
    <m/>
    <s v="SALUD"/>
    <s v="A.2"/>
    <m/>
    <s v="SECRETARÍA DE SALUD"/>
    <m/>
    <m/>
    <m/>
  </r>
  <r>
    <x v="0"/>
    <x v="0"/>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Plan de salud pública e_x000a_intervenciones colectivas_x000a_departamental, formulado,_x000a_implementado, monitoreado y_x000a_evaluado"/>
    <s v="Plan de salud pública e_x000a_intervenciones colectivas_x000a_departamental, formulado,_x000a_implementado, monitoreado y_x000a_evaluado"/>
    <m/>
    <n v="4"/>
    <n v="1"/>
    <n v="1"/>
    <n v="0.25"/>
    <n v="1"/>
    <n v="1"/>
    <n v="1"/>
    <n v="1"/>
    <s v="Mantenimiento"/>
    <m/>
    <s v="SALUD"/>
    <s v="A.2"/>
    <m/>
    <s v="SECRETARÍA DE SALUD"/>
    <m/>
    <m/>
    <m/>
  </r>
  <r>
    <x v="0"/>
    <x v="0"/>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Estrategia de Información_x000a_Educación y comunicación_x000a_implementada en 45 municipios_x000a_para el manejo de IRA e IRA_x000a_asociado a Covid -19"/>
    <s v="Estrategia de Información_x000a_Educación y comunicación_x000a_implementada en 45 municipios_x000a_para el manejo de IRA e IRA_x000a_asociado a Covid -19"/>
    <m/>
    <n v="1"/>
    <n v="0"/>
    <n v="1"/>
    <n v="1"/>
    <n v="1"/>
    <n v="0"/>
    <n v="1"/>
    <n v="1"/>
    <s v="Incremento"/>
    <m/>
    <m/>
    <m/>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Municipios con desarrollo de_x000a_capacidades para el_x000a_fortalecimiento de la vigilancia_x000a_en salud pública"/>
    <s v="Municipios con desarrollo de_x000a_capacidades para el_x000a_fortalecimiento de la vigilancia_x000a_en salud pública"/>
    <m/>
    <n v="45"/>
    <n v="23"/>
    <n v="0"/>
    <n v="0"/>
    <n v="45"/>
    <n v="23"/>
    <n v="0"/>
    <n v="0"/>
    <s v="Mantenimiento"/>
    <m/>
    <s v="SALUD"/>
    <s v="A.2"/>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Nuevos operadores_x000a_caracterizados y capacitados en_x000a_el Sistema de Vigilancia en Salud_x000a_Pública SIVIGILA "/>
    <s v="Nuevos operadores_x000a_caracterizados y capacitados en_x000a_el Sistema de Vigilancia en Salud_x000a_Pública SIVIGILA "/>
    <m/>
    <n v="1"/>
    <n v="0.25"/>
    <n v="0"/>
    <n v="0"/>
    <n v="1"/>
    <n v="0.25"/>
    <n v="0"/>
    <n v="0"/>
    <s v="Mantenimiento"/>
    <m/>
    <s v="SALUD"/>
    <s v="A.2"/>
    <m/>
    <s v="SECRETARÍA DE SALUD"/>
    <m/>
    <m/>
    <m/>
  </r>
  <r>
    <x v="0"/>
    <x v="0"/>
    <m/>
    <m/>
    <x v="2"/>
    <x v="2"/>
    <m/>
    <m/>
    <x v="13"/>
    <x v="13"/>
    <m/>
    <m/>
    <m/>
    <s v="Mantener en 96% o más el cumplimiento de la_x000a_Notificación de los Eventos de Interés en Salud Pública"/>
    <s v="Mantener en 96% o más el_x000a_cumplimiento de la_x000a_Notificación de los Eventos_x000a_de Interés en Salud Pública"/>
    <n v="100"/>
    <n v="100"/>
    <m/>
    <s v="Análisis de las muertes por_x000a_eventos de interés en salud_x000a_pública ejecutados "/>
    <s v="Análisis de las muertes por_x000a_eventos de interés en salud_x000a_pública ejecutados "/>
    <m/>
    <n v="0.95"/>
    <n v="0.2"/>
    <n v="0.95"/>
    <n v="1"/>
    <n v="0.95"/>
    <n v="0.2"/>
    <n v="0.95"/>
    <n v="1"/>
    <s v="Mantenimiento"/>
    <m/>
    <m/>
    <m/>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Análisis de las muertes por_x000a_eventos de interés en salud_x000a_pública ejecutados"/>
    <s v="Análisis de las muertes por_x000a_eventos de interés en salud_x000a_pública ejecutados"/>
    <m/>
    <n v="0.95"/>
    <n v="0.1"/>
    <n v="0.95"/>
    <n v="1"/>
    <n v="0.95"/>
    <n v="0.1"/>
    <n v="0.95"/>
    <n v="1"/>
    <s v="Mantenimiento"/>
    <m/>
    <m/>
    <m/>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s de la Red_x000a_departamental con acciones de_x000a_vigilancia implementadas con_x000a_calidad y en articulación con_x000a_otras redes de vigilancia_x000a_sanitaria"/>
    <s v="Laboratorios de la Red_x000a_departamental con acciones de_x000a_vigilancia implementadas con_x000a_calidad y en articulación con_x000a_otras redes de vigilancia_x000a_sanitaria"/>
    <m/>
    <n v="0.7"/>
    <n v="0.2"/>
    <n v="0.7"/>
    <n v="1"/>
    <n v="0.7"/>
    <n v="0.2"/>
    <n v="0.7"/>
    <n v="1"/>
    <s v="Mantenimiento"/>
    <m/>
    <s v="SALUD"/>
    <s v="A.2"/>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m/>
    <n v="1"/>
    <n v="1"/>
    <n v="1"/>
    <n v="1"/>
    <n v="1"/>
    <n v="1"/>
    <n v="1"/>
    <n v="1"/>
    <s v="Mantenimiento"/>
    <m/>
    <s v="SALUD"/>
    <s v="A.2"/>
    <m/>
    <s v="SECRETARÍA DE SALUD"/>
    <m/>
    <m/>
    <m/>
  </r>
  <r>
    <x v="0"/>
    <x v="0"/>
    <m/>
    <m/>
    <x v="2"/>
    <x v="2"/>
    <m/>
    <m/>
    <x v="13"/>
    <x v="13"/>
    <m/>
    <m/>
    <m/>
    <s v="Aumentar la cobertura de aseguramiento en salud en el departamento a 98.1% "/>
    <s v="Aumentar la cobertura de_x000a_aseguramiento en salud en_x000a_el departamento a 98.1%"/>
    <s v="98.1"/>
    <n v="100"/>
    <m/>
    <s v="Sostenibilidad del Régimen Subsidiado en Salud."/>
    <s v="Sostenibilidad del Régimen Subsidiado en Salud."/>
    <m/>
    <n v="1"/>
    <n v="0.5"/>
    <n v="0.63"/>
    <n v="0.63"/>
    <n v="1"/>
    <n v="0.5"/>
    <n v="0.63"/>
    <n v="0.63"/>
    <s v="Mantenimiento"/>
    <m/>
    <s v="SALUD"/>
    <s v="A.2"/>
    <m/>
    <s v="SECRETARÍA DE SALUD"/>
    <m/>
    <m/>
    <m/>
  </r>
  <r>
    <x v="0"/>
    <x v="0"/>
    <m/>
    <m/>
    <x v="2"/>
    <x v="2"/>
    <m/>
    <m/>
    <x v="13"/>
    <x v="13"/>
    <m/>
    <m/>
    <m/>
    <s v="Aumentar la cobertura de aseguramiento en salud en el departamento a 98.1% "/>
    <s v="Aumentar la cobertura de_x000a_aseguramiento en salud en_x000a_el departamento a 98.1%"/>
    <s v="98.1"/>
    <n v="100"/>
    <m/>
    <s v="Municipios beneficiados con acciones de desarrollo de capacidades para la gestión eficiente del régimen subsidiado en salud"/>
    <s v="Municipios beneficiados con acciones de desarrollo de capacidades para la gestión eficiente del régimen subsidiado en salud"/>
    <m/>
    <n v="45"/>
    <n v="45"/>
    <n v="45"/>
    <n v="1"/>
    <n v="45"/>
    <n v="45"/>
    <n v="45"/>
    <n v="1"/>
    <s v="Incremento"/>
    <m/>
    <s v="SALUD"/>
    <s v="A.2"/>
    <m/>
    <s v="SECRETARÍA DE SALUD"/>
    <m/>
    <m/>
    <m/>
  </r>
  <r>
    <x v="0"/>
    <x v="0"/>
    <m/>
    <m/>
    <x v="2"/>
    <x v="2"/>
    <m/>
    <m/>
    <x v="13"/>
    <x v="13"/>
    <m/>
    <m/>
    <m/>
    <s v="Aumentar la cobertura de aseguramiento en salud en el departamento a 98.1% "/>
    <s v="Aumentar la cobertura de_x000a_aseguramiento en salud en_x000a_el departamento a 98.1%"/>
    <s v="98.1"/>
    <n v="100"/>
    <m/>
    <s v="Base de Datos Única de Afiliados depurada."/>
    <s v="Base de Datos Única de Afiliados depurada."/>
    <m/>
    <n v="0.97"/>
    <n v="0.89"/>
    <n v="0.9"/>
    <n v="0.92783505154639179"/>
    <n v="0.97"/>
    <n v="0.89"/>
    <n v="0.9"/>
    <n v="0.92783505154639179"/>
    <s v="Mantenimiento"/>
    <m/>
    <s v="SALUD"/>
    <s v="A.2"/>
    <m/>
    <s v="SECRETARÍA DE SALUD"/>
    <m/>
    <m/>
    <m/>
  </r>
  <r>
    <x v="0"/>
    <x v="0"/>
    <m/>
    <m/>
    <x v="2"/>
    <x v="2"/>
    <m/>
    <m/>
    <x v="13"/>
    <x v="13"/>
    <m/>
    <m/>
    <m/>
    <s v="Aumentar a 45 el número_x000a_de secretarías locales de_x000a_Salud con intervenciones_x000a_de protección específica,_x000a_detección temprana y_x000a_acciones de atención_x000a_integral de eventos de_x000a_interés en salud pública_x000a_monitoreadas y evaluadas"/>
    <s v="Aumentar a 45 el número_x000a_de secretarías locales de_x000a_Salud con intervenciones_x000a_de protección específica,_x000a_detección temprana y_x000a_acciones de atención_x000a_integral de eventos de_x000a_interés en salud pública_x000a_monitoreadas y evaluadas"/>
    <n v="35"/>
    <n v="45"/>
    <m/>
    <s v="Proyecto de expansión_x000a_hospitalaria para la atención en_x000a_la emergencia sanitaria covid19 formulado y ejecutado "/>
    <s v="Proyecto de expansión_x000a_hospitalaria para la atención en_x000a_la emergencia sanitaria covid19 formulado y ejecutado "/>
    <m/>
    <n v="1"/>
    <n v="1"/>
    <n v="1"/>
    <n v="1"/>
    <n v="1"/>
    <n v="1"/>
    <n v="1"/>
    <n v="1"/>
    <s v="Mantenimiento"/>
    <m/>
    <s v="SALUD"/>
    <s v="A.2"/>
    <m/>
    <s v="SECRETARÍA DE SALUD"/>
    <m/>
    <m/>
    <m/>
  </r>
  <r>
    <x v="0"/>
    <x v="0"/>
    <m/>
    <m/>
    <x v="2"/>
    <x v="2"/>
    <m/>
    <m/>
    <x v="13"/>
    <x v="13"/>
    <m/>
    <m/>
    <m/>
    <s v="Aumentar a 11 el Número_x000a_Aseguradoras con_x000a_intervenciones de_x000a_protección específica,_x000a_detección temprana y_x000a_acciones de atención_x000a_integral de eventos de_x000a_interés en salud pública_x000a_monitoreadas y evaluadas"/>
    <s v="Aumentar a 11 el Número_x000a_Aseguradoras con_x000a_intervenciones de_x000a_protección específica,_x000a_detección temprana y_x000a_acciones de atención_x000a_integral de eventos de_x000a_interés en salud pública_x000a_monitoreadas y evaluadas"/>
    <n v="4"/>
    <n v="11"/>
    <m/>
    <s v="Proyecto de expansión_x000a_hospitalaria para la atención en_x000a_la emergencia sanitaria covid19 formulado y ejecutado "/>
    <s v="Proyecto de expansión_x000a_hospitalaria para la atención en_x000a_la emergencia sanitaria covid19 formulado y ejecutado "/>
    <m/>
    <n v="1"/>
    <n v="1"/>
    <n v="1"/>
    <n v="1"/>
    <n v="1"/>
    <n v="1"/>
    <n v="1"/>
    <n v="1"/>
    <s v="Mantenimi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Empresas Sociales del Estado_x000a_asesoradas en la_x000a_implementación centros de_x000a_costos por servicio y_x000a_optimización de procesos_x000a_contables y financieros."/>
    <s v="Empresas Sociales del Estado_x000a_asesoradas en la_x000a_implementación centros de_x000a_costos por servicio y_x000a_optimización de procesos_x000a_contables y financieros."/>
    <m/>
    <n v="18"/>
    <n v="0"/>
    <n v="2"/>
    <n v="0.1111111111111111"/>
    <n v="2"/>
    <n v="0"/>
    <n v="2"/>
    <n v="1"/>
    <s v="Increm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Servicios de telemedicina implementados en municipios priorizados."/>
    <s v="Servicios de telemedicina implementados en municipios priorizados."/>
    <m/>
    <n v="12"/>
    <m/>
    <m/>
    <n v="0"/>
    <m/>
    <m/>
    <m/>
    <s v="NP"/>
    <s v="Increm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mejoramiento de_x000a_infraestructura y dotación_x000a_hospitalaria avalado según_x000a_documento red de prestación_x000a_de servicios y plan bienal de_x000a_inversiones departamental,_x000a_formulado y ejecutado._x000a_"/>
    <s v="Plan de mejoramiento de_x000a_infraestructura y dotación_x000a_hospitalaria avalado según_x000a_documento red de prestación_x000a_de servicios y plan bienal de_x000a_inversiones departamental,_x000a_formulado y ejecutado._x000a_"/>
    <m/>
    <n v="1"/>
    <n v="0.5"/>
    <n v="0.5"/>
    <n v="0.5"/>
    <n v="1"/>
    <n v="0.5"/>
    <n v="0.5"/>
    <n v="0.5"/>
    <s v="Mantenimi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dotación de_x000a_ambulancias a Empresas_x000a_Sociales del Estado ejecutado"/>
    <s v="Plan de dotación de_x000a_ambulancias a Empresas_x000a_Sociales del Estado ejecutado"/>
    <m/>
    <n v="1"/>
    <m/>
    <m/>
    <n v="0"/>
    <m/>
    <m/>
    <m/>
    <s v="NP"/>
    <s v="Incremento"/>
    <m/>
    <m/>
    <m/>
    <m/>
    <s v="SECRETARÍA DE SALUD"/>
    <m/>
    <m/>
    <m/>
  </r>
  <r>
    <x v="0"/>
    <x v="0"/>
    <m/>
    <m/>
    <x v="2"/>
    <x v="2"/>
    <m/>
    <m/>
    <x v="13"/>
    <x v="13"/>
    <m/>
    <m/>
    <m/>
    <s v="Mantener la cobertura de_x000a_Inspección Vigilancia y_x000a_control en un 100%"/>
    <s v="Mantener la cobertura de_x000a_Inspección Vigilancia y_x000a_control en un 100%"/>
    <n v="70"/>
    <n v="100"/>
    <m/>
    <s v="Cumplimiento del plan de visitas_x000a_programado de acuerdo a los_x000a_componentes definidos en el_x000a_Sistema Obligatorio de Garantía de_x000a_la Calidad"/>
    <s v="Cumplimiento del plan de visitas_x000a_programado de acuerdo a los_x000a_componentes definidos en el_x000a_Sistema Obligatorio de Garantía de_x000a_la Calidad"/>
    <m/>
    <n v="0.9"/>
    <n v="0.06"/>
    <n v="0.06"/>
    <n v="6.6666666666666666E-2"/>
    <n v="0.05"/>
    <n v="0.06"/>
    <n v="0.05"/>
    <n v="1"/>
    <s v="Increm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Cobertura de Acciones de_x000a_Inspección, Vigilancia y Control al_x000a_Flujo de recursos programados"/>
    <s v="Cobertura de Acciones de_x000a_Inspección, Vigilancia y Control al_x000a_Flujo de recursos programados"/>
    <m/>
    <n v="1"/>
    <n v="0.1"/>
    <n v="0.1"/>
    <n v="0.1"/>
    <n v="1"/>
    <n v="0.1"/>
    <n v="0.1"/>
    <n v="0.1"/>
    <s v="Mantenimi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Municipios operando_x000a_Satisfactoriamente al menos tres_x000a_mecanismos de participación_x000a_Social_x000a_"/>
    <s v="Municipios operando_x000a_Satisfactoriamente al menos tres_x000a_mecanismos de participación_x000a_Social_x000a_"/>
    <m/>
    <n v="25"/>
    <n v="0"/>
    <n v="1"/>
    <n v="0.04"/>
    <n v="5"/>
    <n v="0"/>
    <n v="1"/>
    <n v="0.2"/>
    <s v="Increm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Ranking de municipios certificados"/>
    <s v="Ranking de municipios certificados"/>
    <m/>
    <n v="1"/>
    <n v="0"/>
    <n v="0"/>
    <n v="0"/>
    <n v="1"/>
    <n v="0"/>
    <n v="0"/>
    <n v="0"/>
    <s v="Increm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Municipios con metodología_x000a_GAUDI, implementada para la_x000a_auditoría del régimen subsidiado"/>
    <s v="Municipios con metodología_x000a_GAUDI, implementada para la_x000a_auditoría del régimen subsidiado"/>
    <m/>
    <n v="1"/>
    <n v="0"/>
    <n v="0"/>
    <n v="0"/>
    <n v="0.3"/>
    <n v="0"/>
    <n v="0"/>
    <n v="0"/>
    <s v="Incremento"/>
    <m/>
    <s v="SALUD"/>
    <s v="A.5"/>
    <m/>
    <s v="SECRETARÍA DE SALUD"/>
    <m/>
    <m/>
    <m/>
  </r>
  <r>
    <x v="0"/>
    <x v="0"/>
    <m/>
    <m/>
    <x v="3"/>
    <x v="3"/>
    <n v="0.14833333333333334"/>
    <n v="0.78666666666666674"/>
    <x v="14"/>
    <x v="14"/>
    <n v="0"/>
    <s v="NP"/>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Viviendas nuevas Iniciadas con el propósito de reducir del déficit cuantitativo."/>
    <s v="Viviendas nuevas Iniciadas con el propósito de reducir del déficit cuantitativo."/>
    <n v="97004"/>
    <n v="5000"/>
    <m/>
    <m/>
    <n v="0"/>
    <m/>
    <m/>
    <m/>
    <s v="NP"/>
    <s v="Disminución"/>
    <m/>
    <s v="Vivienda"/>
    <n v="40"/>
    <s v="11 Ciudades y comunidades sostenibles"/>
    <s v="SECRETARÍA DE HÁBITAT"/>
    <m/>
    <m/>
    <m/>
  </r>
  <r>
    <x v="0"/>
    <x v="0"/>
    <m/>
    <m/>
    <x v="3"/>
    <x v="3"/>
    <m/>
    <m/>
    <x v="14"/>
    <x v="14"/>
    <m/>
    <m/>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Títulos de predios fiscales entregados a los hogares ocupantes con vivienda."/>
    <s v="Títulos de predios fiscales entregados a los hogares ocupantes con vivienda."/>
    <n v="1052"/>
    <n v="1000"/>
    <m/>
    <m/>
    <n v="0"/>
    <m/>
    <m/>
    <m/>
    <s v="NP"/>
    <s v="Incremento"/>
    <m/>
    <s v="Vivienda"/>
    <n v="40"/>
    <s v="11 Ciudades y comunidades sostenibles"/>
    <s v="SECRETARÍA DE HÁBITAT"/>
    <m/>
    <m/>
    <m/>
  </r>
  <r>
    <x v="0"/>
    <x v="0"/>
    <m/>
    <m/>
    <x v="3"/>
    <x v="3"/>
    <m/>
    <m/>
    <x v="15"/>
    <x v="15"/>
    <n v="0.1977777777777778"/>
    <n v="0.78666666666666674"/>
    <m/>
    <s v="Aumentar a 90% la cobertura de agua potable en zona urbana en el departamento de Bolívar."/>
    <s v="Aumentar a 90% la cobertura de agua potable en zona urbana en el departamento de Bolívar."/>
    <n v="77"/>
    <n v="90"/>
    <m/>
    <s v="Construir y/o rehabilitar 9 acueductos en zona urbana del departamento de Bolívar"/>
    <s v="Construir y/o rehabilitar 9 acueductos en zona urbana del departamento de Bolívar"/>
    <n v="24"/>
    <n v="9"/>
    <n v="0"/>
    <n v="1"/>
    <n v="0.1111111111111111"/>
    <n v="3"/>
    <n v="0"/>
    <n v="1"/>
    <n v="0.33333333333333331"/>
    <s v="Incremento"/>
    <m/>
    <s v="AGUA POTABLE Y SANEAMIENTO BASICO "/>
    <s v="A.3"/>
    <m/>
    <s v="AGUAS DE BOLÍVAR"/>
    <m/>
    <m/>
    <m/>
  </r>
  <r>
    <x v="0"/>
    <x v="0"/>
    <m/>
    <m/>
    <x v="3"/>
    <x v="3"/>
    <m/>
    <m/>
    <x v="15"/>
    <x v="15"/>
    <m/>
    <m/>
    <m/>
    <s v="Aumentar a 50% la cobertura del servicio de agua en zona rural."/>
    <s v="Aumentar a 50% la cobertura del servicio de agua en zona rural."/>
    <n v="41"/>
    <n v="50"/>
    <m/>
    <s v="Construir y/o rehabilitar 25 acueductos en zona rural del departamento de Bolívar"/>
    <s v="Construir y/o rehabilitar 25 acueductos en zona rural del departamento de Bolívar"/>
    <n v="13"/>
    <n v="25"/>
    <n v="2"/>
    <n v="3"/>
    <n v="0.12"/>
    <n v="5"/>
    <n v="2"/>
    <n v="3"/>
    <n v="0.6"/>
    <s v="Incremento"/>
    <m/>
    <s v="AGUA POTABLE Y SANEAMIENTO BASICO "/>
    <s v="A.3"/>
    <m/>
    <s v="AGUAS DE BOLÍVAR"/>
    <m/>
    <m/>
    <m/>
  </r>
  <r>
    <x v="0"/>
    <x v="0"/>
    <m/>
    <m/>
    <x v="3"/>
    <x v="3"/>
    <m/>
    <m/>
    <x v="15"/>
    <x v="15"/>
    <m/>
    <m/>
    <m/>
    <s v="Aumentar a 40% la cobertura del servicio de alcantarillado en zona urbana del departamento de Bolívar."/>
    <s v="Aumentar a 40% la cobertura del servicio de alcantarillado en zona urbana del departamento de Bolívar."/>
    <n v="24"/>
    <n v="40"/>
    <m/>
    <s v="Construir y/o rehabilitar 5 alcantarillados en zona urbana del departamento de Bolívar"/>
    <s v="Construir y/o rehabilitar 5 alcantarillados en zona urbana del departamento de Bolívar"/>
    <n v="2"/>
    <n v="5"/>
    <n v="1"/>
    <n v="3"/>
    <n v="0.6"/>
    <n v="1"/>
    <n v="1"/>
    <n v="1"/>
    <n v="1"/>
    <s v="Incremento"/>
    <m/>
    <s v="AGUA POTABLE Y SANEAMIENTO BASICO "/>
    <s v="A.3"/>
    <m/>
    <s v="AGUAS DE BOLÍVAR"/>
    <m/>
    <m/>
    <m/>
  </r>
  <r>
    <x v="0"/>
    <x v="0"/>
    <m/>
    <m/>
    <x v="3"/>
    <x v="3"/>
    <m/>
    <m/>
    <x v="15"/>
    <x v="15"/>
    <m/>
    <m/>
    <m/>
    <s v="Aumentar en 85% la cobertura de aseo  en zona urbana del departamento de Bolívar."/>
    <s v="Aumentar en 85% la cobertura de aseo  en zona urbana del departamento de Bolívar."/>
    <n v="75"/>
    <n v="85"/>
    <m/>
    <s v="Construir y/o rehabilitar un (1) sistema regional de aseo en zona urbana del departamento de Bolívar."/>
    <s v="Construir y/o rehabilitar un (1) sistema regional de aseo en zona urbana del departamento de Bolívar."/>
    <n v="2"/>
    <n v="1"/>
    <m/>
    <m/>
    <n v="0"/>
    <m/>
    <m/>
    <m/>
    <s v="NP"/>
    <s v="Incremento"/>
    <m/>
    <s v="AGUA POTABLE Y SANEAMIENTO BASICO "/>
    <s v="A.3"/>
    <m/>
    <s v="AGUAS DE BOLÍVAR"/>
    <m/>
    <m/>
    <m/>
  </r>
  <r>
    <x v="0"/>
    <x v="0"/>
    <m/>
    <m/>
    <x v="3"/>
    <x v="3"/>
    <m/>
    <m/>
    <x v="15"/>
    <x v="15"/>
    <m/>
    <m/>
    <m/>
    <s v="Aumentar a 100% de los municipios del departamento de Bolívar la asistencia técnica para disminuir promedio IRCA."/>
    <s v="Aumentar a 100% de los municipios del departamento de Bolívar la asistencia técnica para disminuir promedio IRCA."/>
    <n v="41"/>
    <n v="45"/>
    <m/>
    <s v="Asistir técnicamente a los 45 municipios vinculados al PDA Bolívar "/>
    <s v="Asistir técnicamente a los 45 municipios vinculados al PDA Bolívar "/>
    <n v="41"/>
    <n v="45"/>
    <n v="5"/>
    <n v="8"/>
    <n v="0.17777777777777778"/>
    <n v="6"/>
    <n v="5"/>
    <n v="6"/>
    <n v="1"/>
    <s v="Incremento"/>
    <m/>
    <s v="AGUA POTABLE Y SANEAMIENTO BASICO "/>
    <s v="A.3"/>
    <m/>
    <s v="AGUAS DE BOLÍVAR"/>
    <m/>
    <m/>
    <m/>
  </r>
  <r>
    <x v="0"/>
    <x v="0"/>
    <m/>
    <m/>
    <x v="3"/>
    <x v="3"/>
    <m/>
    <m/>
    <x v="15"/>
    <x v="15"/>
    <m/>
    <m/>
    <m/>
    <s v="Aumentar en 3 horas (a 18 h/día) el promedio de continuidad del servicio de agua potable en zona urbana del departamento de Bolívar"/>
    <s v="Aumentar en 3 horas (a 18 h/día) el promedio de continuidad del servicio de agua potable en zona urbana del departamento de Bolívar"/>
    <n v="15"/>
    <n v="18"/>
    <m/>
    <s v="Asistir técnicamente a los 45 municipios del departamento de Bolivar para aumentar el promedio de continuidad del servicio de agua  potable en zona urbana."/>
    <s v="Asistir técnicamente a los 45 municipios del departamento de Bolivar para aumentar el promedio de continuidad del servicio de agua  potable en zona urbana."/>
    <n v="19"/>
    <n v="45"/>
    <n v="5"/>
    <n v="8"/>
    <n v="0.17777777777777778"/>
    <n v="6"/>
    <n v="5"/>
    <n v="6"/>
    <n v="1"/>
    <s v="Incremento"/>
    <m/>
    <s v="AGUA POTABLE Y SANEAMIENTO BASICO "/>
    <s v="A.3"/>
    <m/>
    <s v="AGUAS DE BOLÍVAR"/>
    <m/>
    <m/>
    <m/>
  </r>
  <r>
    <x v="0"/>
    <x v="0"/>
    <m/>
    <m/>
    <x v="4"/>
    <x v="4"/>
    <n v="0.25379417155188583"/>
    <n v="0.5935606365392343"/>
    <x v="16"/>
    <x v="16"/>
    <n v="1.2500000000000001E-2"/>
    <n v="1"/>
    <m/>
    <s v="Escenarios deportivos y recreativos en óptimas condiciones."/>
    <s v="% Escenarios deportivos y recreativos en óptimas condiciones."/>
    <n v="0.45"/>
    <n v="0.55000000000000004"/>
    <m/>
    <s v="Escenarios deportivos recreativos  construidos"/>
    <s v="No. Escenarios deportivos recreativos  construidos"/>
    <n v="11"/>
    <n v="5"/>
    <m/>
    <m/>
    <n v="0"/>
    <m/>
    <m/>
    <m/>
    <s v="NP"/>
    <s v="Incremento"/>
    <m/>
    <s v="Deporte y Recreación"/>
    <s v="A.4"/>
    <s v="Salud  y Bienestar"/>
    <s v="IDERBOL/DESCRETARÍA DE INFRAESTRUCTURA"/>
    <m/>
    <m/>
    <m/>
  </r>
  <r>
    <x v="0"/>
    <x v="0"/>
    <m/>
    <m/>
    <x v="4"/>
    <x v="4"/>
    <m/>
    <m/>
    <x v="16"/>
    <x v="16"/>
    <m/>
    <m/>
    <m/>
    <s v="Escenarios deportivos y recreativos en óptimas condiciones."/>
    <s v="% Escenarios deportivos y recreativos en óptimas condiciones."/>
    <n v="0.45"/>
    <n v="0.55000000000000004"/>
    <m/>
    <s v="Escenarios deportivos recreativos mantenidos, reparados y adecuados."/>
    <s v="No. de escenarios deportivos recreativos mantenidos, reparados y adecuados."/>
    <n v="12"/>
    <n v="20"/>
    <n v="1"/>
    <n v="1"/>
    <n v="0.05"/>
    <n v="1"/>
    <n v="1"/>
    <n v="1"/>
    <n v="1"/>
    <s v="Incremento"/>
    <s v="Mantenimiento escenario deportivo recreativo."/>
    <s v="Deporte y Recreación"/>
    <s v="A.4"/>
    <s v="Salud  y Bienestar"/>
    <s v="IDERBOL/DESCRETARÍA DE INFRAESTRUCTURA"/>
    <m/>
    <m/>
    <m/>
  </r>
  <r>
    <x v="0"/>
    <x v="0"/>
    <m/>
    <m/>
    <x v="4"/>
    <x v="4"/>
    <m/>
    <m/>
    <x v="16"/>
    <x v="16"/>
    <m/>
    <m/>
    <m/>
    <s v="Escenarios deportivos y recreativos en óptimas condiciones."/>
    <s v="% Escenarios deportivos y recreativos en óptimas condiciones."/>
    <n v="0.45"/>
    <n v="0.55000000000000004"/>
    <m/>
    <s v="Parques infantiles construidos."/>
    <s v="No. de parques infantiles construidos."/>
    <n v="0"/>
    <n v="5"/>
    <m/>
    <m/>
    <n v="0"/>
    <m/>
    <m/>
    <m/>
    <s v="NP"/>
    <s v="Incremento"/>
    <m/>
    <s v="Deporte y Recreación"/>
    <s v="A.4"/>
    <s v="Salud  y Bienestar"/>
    <s v="IDERBOL/DESCRETARÍA DE INFRAESTRUCTURA"/>
    <m/>
    <m/>
    <m/>
  </r>
  <r>
    <x v="0"/>
    <x v="0"/>
    <m/>
    <m/>
    <x v="4"/>
    <x v="4"/>
    <m/>
    <m/>
    <x v="16"/>
    <x v="16"/>
    <m/>
    <m/>
    <m/>
    <s v="Escenarios deportivos y recreativos en óptimas condiciones."/>
    <s v="% Escenarios deportivos y recreativos en óptimas condiciones."/>
    <n v="0.45"/>
    <n v="0.55000000000000004"/>
    <m/>
    <s v="Parques infantiles mantenidos, reparados y adecuados."/>
    <s v="No. de parques infantiles mantenidos, reparados y adecuados."/>
    <n v="0"/>
    <n v="10"/>
    <m/>
    <m/>
    <n v="0"/>
    <m/>
    <m/>
    <m/>
    <s v="NP"/>
    <s v="Incremento"/>
    <m/>
    <s v="Deporte y Recreación"/>
    <s v="A.4"/>
    <s v="Salud  y Bienestar"/>
    <s v="IDERBOL/DESCRETARÍA DE INFRAESTRUCTURA"/>
    <m/>
    <m/>
    <m/>
  </r>
  <r>
    <x v="0"/>
    <x v="0"/>
    <m/>
    <m/>
    <x v="4"/>
    <x v="4"/>
    <m/>
    <m/>
    <x v="17"/>
    <x v="17"/>
    <n v="0.42980392156862746"/>
    <n v="0.90277777777777768"/>
    <m/>
    <s v="Mantener el 4° lugar en los Juegos Deportivos Nacionales 2023"/>
    <s v="Mantener el 4° lugar en los Juegos Deportivos Nacionales 2023"/>
    <n v="4"/>
    <n v="4"/>
    <m/>
    <s v="Deportistas apoyados de Altos Logros"/>
    <s v="No.  De  Deportistas apoyados de Altos Logros"/>
    <n v="204"/>
    <n v="250"/>
    <n v="215"/>
    <n v="215"/>
    <n v="0.86"/>
    <n v="190"/>
    <n v="215"/>
    <n v="190"/>
    <n v="1"/>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edallas en eventos Internacionales del Ciclo Olimpico"/>
    <s v="No. de Medallas en eventos Internacionales del Ciclo Olimpico"/>
    <n v="84"/>
    <n v="56"/>
    <m/>
    <m/>
    <n v="0"/>
    <m/>
    <m/>
    <m/>
    <s v="NP"/>
    <s v="Disminución"/>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edallas de Oro Juegos Nacionales"/>
    <s v="No. de Medallas de Oro Juegos Nacionales"/>
    <n v="57"/>
    <n v="60"/>
    <n v="0"/>
    <n v="0"/>
    <n v="0"/>
    <n v="12"/>
    <n v="0"/>
    <n v="0"/>
    <n v="0"/>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edallas de Oro Juegos Paranacionales"/>
    <s v="No. de Medallas de Oro Juegos Paranacionales"/>
    <n v="2"/>
    <n v="5"/>
    <n v="3"/>
    <n v="3"/>
    <n v="0.6"/>
    <n v="3"/>
    <n v="3"/>
    <n v="3"/>
    <n v="1"/>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Deportistas en selecciones Colombia del Ciclo Olimpico"/>
    <s v="No. de Deportistas en selecciones Colombia del Ciclo Olimpico"/>
    <n v="79"/>
    <n v="68"/>
    <n v="3"/>
    <n v="3"/>
    <n v="4.4117647058823532E-2"/>
    <n v="3"/>
    <n v="3"/>
    <n v="3"/>
    <n v="1"/>
    <s v="Disminución"/>
    <s v="1)Desarrollo de 7 Zodes deportivos. (Desarrollo, Preparación y participación del deporte de alto rendimiento del Departamento de Bolívar) .                      2)Fomento, formación y fortalecimiento  Deportivo.                               "/>
    <s v="Deporte y Recreación"/>
    <s v="A.4"/>
    <s v="Salud  y Bienestar"/>
    <s v="IDERBOL"/>
    <m/>
    <m/>
    <m/>
  </r>
  <r>
    <x v="0"/>
    <x v="0"/>
    <m/>
    <m/>
    <x v="4"/>
    <x v="4"/>
    <m/>
    <m/>
    <x v="17"/>
    <x v="17"/>
    <m/>
    <m/>
    <m/>
    <s v="Mantener el 4° lugar en los Juegos Deportivos Nacionales 2023"/>
    <s v="Mantener el 4° lugar en los Juegos Deportivos Nacionales 2023"/>
    <n v="4"/>
    <n v="4"/>
    <m/>
    <s v="Deportistas Talento y Reserva Deportiva"/>
    <s v="No. de Deportistas Talento y Reserva Deportiva"/>
    <n v="322"/>
    <n v="480"/>
    <n v="505"/>
    <n v="480"/>
    <n v="1"/>
    <n v="240"/>
    <n v="505"/>
    <n v="240"/>
    <n v="1"/>
    <s v="Incremento"/>
    <s v="1)Desarrollo de 7 Zodes deportivos. (Desarrollo, Preparación y participación del deporte de alto rendimiento del Departamento de Bolívar) .                      2)Fomento, formación y fortalecimiento  Deportivo.                               "/>
    <s v="Deporte y Recreación"/>
    <s v="A.4"/>
    <s v="Salud  y Bienestar"/>
    <s v="IDERBOL"/>
    <m/>
    <m/>
    <m/>
  </r>
  <r>
    <x v="0"/>
    <x v="0"/>
    <m/>
    <m/>
    <x v="4"/>
    <x v="4"/>
    <m/>
    <m/>
    <x v="17"/>
    <x v="17"/>
    <m/>
    <m/>
    <m/>
    <s v="Mantener el 4° lugar en los Juegos Deportivos Nacionales 2023"/>
    <s v="Mantener el 4° lugar en los Juegos Deportivos Nacionales 2023"/>
    <n v="4"/>
    <n v="4"/>
    <m/>
    <s v="Estructura de Planificación Tecno-metodológica del Entrenamiento a las Ligas Deportivas"/>
    <s v="Estructura de Planificación Tecno-metodológica del Entrenamiento a las Ligas Deportivas"/>
    <n v="1"/>
    <n v="1"/>
    <n v="1"/>
    <n v="1"/>
    <n v="1"/>
    <n v="1"/>
    <n v="1"/>
    <n v="1"/>
    <n v="1"/>
    <s v="Mantenimiento"/>
    <s v="1)Desarrollo de 7 Zodes deportivos. (Desarrollo, Preparación y participación del deporte de alto rendimiento del Departamento de Bolívar) .                      2)Fomento, formación y fortalecimiento  Deportivo.                               "/>
    <s v="Deporte y Recreación"/>
    <s v="A.4"/>
    <s v="Salud  y Bienestar"/>
    <s v="IDERBOL"/>
    <m/>
    <m/>
    <m/>
  </r>
  <r>
    <x v="0"/>
    <x v="0"/>
    <m/>
    <m/>
    <x v="4"/>
    <x v="4"/>
    <m/>
    <m/>
    <x v="17"/>
    <x v="17"/>
    <m/>
    <m/>
    <m/>
    <s v="Mantener el 4° lugar en los Juegos Deportivos Nacionales 2023"/>
    <s v="Mantener el 4° lugar en los Juegos Deportivos Nacionales 2023"/>
    <n v="4"/>
    <n v="4"/>
    <m/>
    <s v="Profesionales de Ciencias Aplicadas contratados"/>
    <s v="No. de Profesionales de Ciencias Aplicadas contratados"/>
    <n v="17"/>
    <n v="21"/>
    <n v="5"/>
    <n v="5"/>
    <n v="0.23809523809523808"/>
    <n v="3"/>
    <n v="5"/>
    <n v="3"/>
    <n v="1"/>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Entrenadores Contratados"/>
    <s v="No. de Entrenadores Contratados"/>
    <n v="57"/>
    <n v="63"/>
    <n v="35"/>
    <n v="35"/>
    <n v="0.55555555555555558"/>
    <n v="42"/>
    <n v="35"/>
    <n v="35"/>
    <n v="0.83333333333333337"/>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onitores para los talentos y reserva deportiva contratados"/>
    <s v="No. de Monitores para los talentos y reserva deportiva contratados"/>
    <n v="50"/>
    <n v="60"/>
    <n v="12"/>
    <n v="12"/>
    <n v="0.2"/>
    <n v="12"/>
    <n v="12"/>
    <n v="12"/>
    <n v="1"/>
    <s v="Incremento"/>
    <m/>
    <s v="Deporte y Recreación"/>
    <s v="A.4"/>
    <s v="Salud  y Bienestar"/>
    <s v="IDERBOL"/>
    <m/>
    <m/>
    <m/>
  </r>
  <r>
    <x v="0"/>
    <x v="0"/>
    <m/>
    <m/>
    <x v="4"/>
    <x v="4"/>
    <m/>
    <m/>
    <x v="17"/>
    <x v="17"/>
    <m/>
    <m/>
    <m/>
    <s v="Mantener el 4° lugar en los Juegos Deportivos Nacionales 2023"/>
    <s v="Mantener el 4° lugar en los Juegos Deportivos Nacionales 2023"/>
    <n v="4"/>
    <n v="4"/>
    <m/>
    <s v="Metodólogos contratados"/>
    <s v="No. de Metodólogos contratados"/>
    <n v="10"/>
    <n v="14"/>
    <n v="6"/>
    <n v="6"/>
    <n v="0.42857142857142855"/>
    <n v="6"/>
    <n v="6"/>
    <n v="6"/>
    <n v="1"/>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Apoyo a Ligas Deportivas"/>
    <s v="No. de Apoyo a Ligas Deportivas"/>
    <n v="33"/>
    <n v="36"/>
    <n v="7"/>
    <n v="7"/>
    <n v="0.19444444444444445"/>
    <n v="7"/>
    <n v="7"/>
    <n v="7"/>
    <n v="1"/>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Capacitaciones realizadas"/>
    <s v="No. de Capacitaciones realizadas"/>
    <n v="8"/>
    <n v="15"/>
    <n v="7"/>
    <n v="7"/>
    <n v="0.46666666666666667"/>
    <n v="2"/>
    <n v="7"/>
    <n v="2"/>
    <n v="1"/>
    <s v="Incremento"/>
    <m/>
    <s v="Deporte y Recreación"/>
    <s v="A.4"/>
    <s v="Salud  y Bienestar"/>
    <s v="IDERBOL/SECRETARÍA PRIVADA"/>
    <m/>
    <m/>
    <m/>
  </r>
  <r>
    <x v="0"/>
    <x v="0"/>
    <m/>
    <m/>
    <x v="4"/>
    <x v="4"/>
    <m/>
    <m/>
    <x v="18"/>
    <x v="18"/>
    <n v="0.20572916666666666"/>
    <n v="0.27430555555555558"/>
    <m/>
    <s v="Cobertura Departamental de municipios en Escuelas de Fomación Deportivas"/>
    <s v="%  de Cobertura Departamental de municipios en Escuelas de Formación Deportivas."/>
    <n v="0.27"/>
    <n v="0.35"/>
    <m/>
    <s v="Actividades de formación anualmente para la práctica del deporte."/>
    <s v="No. de Actividades de formación anualmente para la práctica del deporte."/>
    <n v="864"/>
    <n v="1920"/>
    <n v="440"/>
    <n v="440"/>
    <n v="0.22916666666666666"/>
    <n v="1440"/>
    <n v="440"/>
    <n v="440"/>
    <n v="0.30555555555555558"/>
    <s v="Incremento"/>
    <s v="Escuelas Deportivas para Todos"/>
    <s v="Deporte y Recreación"/>
    <s v="A.4"/>
    <s v="Salud  y Bienestar"/>
    <s v="IDERBOL"/>
    <m/>
    <m/>
    <m/>
  </r>
  <r>
    <x v="0"/>
    <x v="0"/>
    <m/>
    <m/>
    <x v="4"/>
    <x v="4"/>
    <m/>
    <m/>
    <x v="18"/>
    <x v="18"/>
    <m/>
    <m/>
    <m/>
    <s v="Cobertura Departamental de municipios en Escuelas de Fomación Deportivas"/>
    <s v="%  de Cobertura Departamental de municipios en Escuelas de Formación Deportivas."/>
    <n v="0.27"/>
    <n v="0.35"/>
    <m/>
    <s v="Niños y jóvenes beneficiados de la práctica de formación deportiva."/>
    <s v="No. de Niños y jóvenes beneficiados de la práctica de formación deportiva."/>
    <n v="480"/>
    <n v="640"/>
    <n v="380"/>
    <n v="380"/>
    <n v="0.59375"/>
    <n v="480"/>
    <n v="380"/>
    <n v="380"/>
    <n v="0.79166666666666663"/>
    <s v="Incremento"/>
    <s v="Escuelas Deportivas para Todos"/>
    <s v="Deporte y Recreación"/>
    <s v="A.4"/>
    <s v="Salud  y Bienestar"/>
    <s v="IDERBOL"/>
    <m/>
    <m/>
    <m/>
  </r>
  <r>
    <x v="0"/>
    <x v="0"/>
    <m/>
    <m/>
    <x v="4"/>
    <x v="4"/>
    <m/>
    <m/>
    <x v="18"/>
    <x v="18"/>
    <m/>
    <m/>
    <m/>
    <s v="Instituciones Educativas participando en los Juegos Supérate Intercolegiados"/>
    <s v="No. de Instituciones Educativas participando en los Juegos Supérate Intercolegiados"/>
    <n v="203"/>
    <n v="300"/>
    <m/>
    <s v="Juegos Supérate en sus diferentes fases: Intramural, municipal, zodal y final Departamental."/>
    <s v="No. de Juegos Supérate en sus diferentes fases: Intramural, municipal, zodal y final Departamental."/>
    <n v="4"/>
    <n v="4"/>
    <n v="0"/>
    <n v="0"/>
    <n v="0"/>
    <n v="1"/>
    <n v="0"/>
    <n v="0"/>
    <n v="0"/>
    <s v="Mantenimiento"/>
    <s v="Programa Juegos Intercolegiados"/>
    <s v="Deporte y Recreación"/>
    <s v="A.4"/>
    <s v="Salud  y Bienestar"/>
    <s v="IDERBOL"/>
    <m/>
    <m/>
    <m/>
  </r>
  <r>
    <x v="0"/>
    <x v="0"/>
    <m/>
    <m/>
    <x v="4"/>
    <x v="4"/>
    <m/>
    <m/>
    <x v="18"/>
    <x v="18"/>
    <m/>
    <m/>
    <m/>
    <s v="Instituciones Educativas participando en los Juegos Supérate Intercolegiados"/>
    <s v="No. de Instituciones Educativas participando en los Juegos Supérate Intercolegiados"/>
    <n v="203"/>
    <n v="300"/>
    <m/>
    <s v="Niños y jóvenes en los Juegos Supérate Intercolegiados"/>
    <s v="No. de Niños y jóvenes en los Juegos Supérate Intercolegiados"/>
    <n v="80000"/>
    <n v="60000"/>
    <n v="0"/>
    <n v="0"/>
    <n v="0"/>
    <n v="1000"/>
    <n v="0"/>
    <n v="0"/>
    <n v="0"/>
    <s v="Disminución"/>
    <s v="Programa Juegos Intercolegiados"/>
    <s v="Deporte y Recreación"/>
    <s v="A.4"/>
    <s v="Salud  y Bienestar"/>
    <s v="IDERBOL"/>
    <m/>
    <m/>
    <m/>
  </r>
  <r>
    <x v="0"/>
    <x v="0"/>
    <m/>
    <m/>
    <x v="4"/>
    <x v="4"/>
    <m/>
    <m/>
    <x v="19"/>
    <x v="19"/>
    <n v="0.29129464285714285"/>
    <n v="0.6133333333333334"/>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Actividades encaminadas a la práctica deportiva y al aprovechamiento del tiempo libre de manera regular con grupos focalizados."/>
    <s v="No. de Actividades encaminadas a la práctica deportiva y al aprovechamiento del tiempo libre de manera regular con grupos focalizados."/>
    <n v="2000"/>
    <n v="2688"/>
    <n v="45"/>
    <n v="45"/>
    <n v="1.6741071428571428E-2"/>
    <n v="500"/>
    <n v="45"/>
    <n v="45"/>
    <n v="0.09"/>
    <s v="Incremento"/>
    <s v="Deporte Social Comunitario"/>
    <s v="Deporte y Recreación"/>
    <s v="A.4"/>
    <s v="Salud  y Bienestar"/>
    <s v="IDERBOL"/>
    <m/>
    <m/>
    <m/>
  </r>
  <r>
    <x v="0"/>
    <x v="0"/>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mpeonatos Deportivos realizados."/>
    <s v="No. de Campeonatos Deportivos realizados."/>
    <n v="0"/>
    <n v="4"/>
    <n v="3"/>
    <n v="3"/>
    <n v="0.75"/>
    <n v="3"/>
    <n v="3"/>
    <n v="3"/>
    <n v="1"/>
    <s v="Incremento"/>
    <m/>
    <s v="Deporte y Recreación"/>
    <s v="A.4"/>
    <s v="Salud  y Bienestar"/>
    <s v="IDERBOL"/>
    <m/>
    <m/>
    <m/>
  </r>
  <r>
    <x v="0"/>
    <x v="0"/>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pacitaciones &quot;El Deporte Social Comunitario como Herramienta de Inclusión Social y Construcción de Valores&quot;"/>
    <s v="No. de Capacitaciones &quot;El Deporte Social Comunitario como Herramienta de Inclusión Social y Construcción de Valores&quot;"/>
    <n v="20"/>
    <n v="28"/>
    <n v="3"/>
    <n v="3"/>
    <n v="0.10714285714285714"/>
    <n v="4"/>
    <n v="3"/>
    <n v="3"/>
    <n v="0.75"/>
    <s v="Incremento"/>
    <s v="Deporte Social Comunitario"/>
    <s v="Deporte y Recreación"/>
    <s v="A.4"/>
    <s v="Salud  y Bienestar"/>
    <s v="IDERBOL"/>
    <m/>
    <m/>
    <m/>
  </r>
  <r>
    <x v="0"/>
    <x v="0"/>
    <m/>
    <m/>
    <x v="4"/>
    <x v="4"/>
    <m/>
    <m/>
    <x v="20"/>
    <x v="20"/>
    <n v="0.17437419871794871"/>
    <n v="0.29562179487179485"/>
    <m/>
    <s v="Cobertura Departamental por municipios en la implementación de actividades recreativas y lúdicas por Iderbol"/>
    <s v="% Cobertura Departamental por municipios en la implementación de actividades recreativas y lúdicas por Iderbol"/>
    <n v="0.24"/>
    <n v="0.56000000000000005"/>
    <m/>
    <s v="Realización  de campamentos Juveniles."/>
    <s v="No. de campamentos Juveniles realizados."/>
    <n v="4"/>
    <n v="4"/>
    <n v="0"/>
    <n v="0"/>
    <n v="0"/>
    <n v="1"/>
    <n v="0"/>
    <n v="0"/>
    <n v="0"/>
    <s v="Mantenimi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Campamentos Juveniles con la estrategia de construcción de valores."/>
    <s v="No. de Beneficiados en Campamentos Juveniles con la estrategia de construcción de valores."/>
    <n v="350"/>
    <n v="500"/>
    <n v="100"/>
    <n v="434"/>
    <n v="0.86799999999999999"/>
    <n v="100"/>
    <n v="100"/>
    <n v="100"/>
    <n v="1"/>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niños y niñas en primera infancia, niños  y niñas entre 6 y 12 años y personas mayores, en el desarrollo de actividades lúdico recreativas por procesos."/>
    <s v="No. de Beneficiados en niños y niñas en primera infancia, niños  y niñas entre 6 y 12 años y personas mayores, en el desarrollo de actividades lúdico recreativas por procesos."/>
    <n v="8160"/>
    <n v="20800"/>
    <n v="2100"/>
    <n v="3181"/>
    <n v="0.1529326923076923"/>
    <n v="5200"/>
    <n v="2100"/>
    <n v="3181"/>
    <n v="0.61173076923076919"/>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Actividades encaminadas a las actividades lúdicas y recreativas de manera regular con grupos focalizados."/>
    <s v="No. de Actividades encaminadas a las actividades lúdicas y recreativas de manera regular con grupos focalizados."/>
    <n v="2100"/>
    <n v="3200"/>
    <n v="81"/>
    <n v="81"/>
    <n v="2.5312500000000002E-2"/>
    <n v="500"/>
    <n v="81"/>
    <n v="81"/>
    <n v="0.16200000000000001"/>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Festivales recreativos."/>
    <s v="No. de Festivales recreativos realizados."/>
    <n v="4"/>
    <n v="8"/>
    <n v="0"/>
    <n v="0"/>
    <n v="0"/>
    <n v="1"/>
    <n v="0"/>
    <n v="0"/>
    <n v="0"/>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Capacitaciones del Plan Nacional de Recreación."/>
    <s v="No. de Capacitaciones del Plan Nacional de Recreación realizadas."/>
    <n v="4"/>
    <n v="8"/>
    <n v="0"/>
    <n v="0"/>
    <n v="0"/>
    <n v="1"/>
    <n v="0"/>
    <n v="0"/>
    <n v="0"/>
    <s v="Incremento"/>
    <s v="Las Escuelas Recreativas …Un espacio  lúdico del Bolívar Primero"/>
    <s v="Deporte y Recreación"/>
    <s v="A.4"/>
    <s v="Salud  y Bienestar"/>
    <s v="IDERBOL"/>
    <m/>
    <m/>
    <m/>
  </r>
  <r>
    <x v="0"/>
    <x v="0"/>
    <m/>
    <m/>
    <x v="4"/>
    <x v="4"/>
    <m/>
    <m/>
    <x v="21"/>
    <x v="21"/>
    <n v="0.126015567988324"/>
    <n v="0.37121868158598881"/>
    <m/>
    <s v="Cobertura Departamental de municipios atendidos realizando actividad física dirigida musicalizada."/>
    <s v="% de Cobertura Departamental de municipios atendidos realizando actividad física dirigida musicalizada."/>
    <n v="0.22"/>
    <n v="0.44"/>
    <m/>
    <s v="Organizar grupos para la práctica regular de actividad física y promoción de Hábitos Saludables en los municipios impactados en el Departamento de Bolívar."/>
    <s v="No. de  grupos para la práctica regular de actividad física y promoción de Hábitos Saludables en los municipios impactados en el Departamento de Bolívar."/>
    <n v="160"/>
    <n v="300"/>
    <n v="85"/>
    <n v="85"/>
    <n v="0.28333333333333333"/>
    <n v="75"/>
    <n v="85"/>
    <n v="75"/>
    <n v="1"/>
    <s v="Incremento"/>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Eventos masivos para la promoción de Hábitos y Estilos de Vida Saludable de manera presencial y a través de plataformas virtuales "/>
    <s v="No. de eventos masivos  realizados para la promoción de Hábitos y Estilos de Vida Saludable de manera presencial y a través de plataformas virtuales "/>
    <n v="144"/>
    <n v="120"/>
    <n v="2"/>
    <n v="2"/>
    <n v="1.6666666666666666E-2"/>
    <n v="5"/>
    <n v="2"/>
    <n v="2"/>
    <n v="0.4"/>
    <s v="Disminución"/>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Eventos de celebración del Día Mundial de la Actividad Física."/>
    <s v="No. de eventos realizados de celebración del Día Mundial de la Actividad Física."/>
    <n v="4"/>
    <n v="4"/>
    <n v="0"/>
    <n v="0"/>
    <n v="0"/>
    <n v="1"/>
    <n v="0"/>
    <n v="0"/>
    <n v="0"/>
    <s v="Mantenimiento"/>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Carreras Atléticas 5K. Por la salud."/>
    <s v="No. de Carreras Atléticas 5K.  realizadas por la salud."/>
    <n v="8"/>
    <n v="8"/>
    <m/>
    <m/>
    <n v="0"/>
    <m/>
    <m/>
    <m/>
    <s v="NP"/>
    <s v="Mantenimiento"/>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Actividades de capacitación en promoción de HEVS y Actividad física musicalizada dirigida."/>
    <s v="No. de Actividades de capacitación realizadas  en promoción de HEVS y Actividad física musicalizada dirigida."/>
    <n v="8"/>
    <n v="8"/>
    <n v="0"/>
    <n v="0"/>
    <n v="0"/>
    <n v="1"/>
    <n v="0"/>
    <n v="0"/>
    <n v="0"/>
    <s v="Mantenimiento"/>
    <m/>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Personas beneficiadas anualmente con el programa Departamental de Hábitos y Estilos de vida saludable,  en actividades de promocion de práctica de actividad física,  alimentacion saludable  y proteccion de espacios 100% libres de humo de tabaco."/>
    <s v="No. Personas beneficiadas anualmente con el programa Departamental de Hábitos y Estilos de vida saludable,  en actividades de promocion de práctica de actividad física,  alimentacion saludable  y proteccion de espacios 100% libres de humo de tabaco."/>
    <n v="6660"/>
    <n v="16444"/>
    <n v="7500"/>
    <n v="7500"/>
    <n v="0.45609340792994407"/>
    <n v="16444"/>
    <n v="7500"/>
    <n v="7500"/>
    <n v="0.45609340792994407"/>
    <s v="Incremento"/>
    <s v="Hábitos y Estilos de Vida Saludable &quot;Bolívar Primero…por Tú Salud ponte pilas&quot;"/>
    <s v="Deporte y Recreación"/>
    <s v="A.4"/>
    <s v="Salud  y Bienestar"/>
    <s v="IDERBOL"/>
    <m/>
    <m/>
    <m/>
  </r>
  <r>
    <x v="0"/>
    <x v="0"/>
    <m/>
    <m/>
    <x v="5"/>
    <x v="5"/>
    <n v="0.31600170502983799"/>
    <n v="0.72777777777777786"/>
    <x v="22"/>
    <x v="22"/>
    <n v="0.20333333333333334"/>
    <n v="0.55833333333333335"/>
    <m/>
    <s v="Fortalecimiento a los procesos de formación artística y cultural en los municipios"/>
    <s v="Numero de municipios con procesos de formación artistica y cultural fortalecidos "/>
    <n v="46"/>
    <n v="46"/>
    <m/>
    <s v="Municipios fortalecidos "/>
    <s v="Porcentaje de implementación del programa de cultura en movimiento "/>
    <n v="46"/>
    <n v="0.8"/>
    <n v="0.2391304347826087"/>
    <n v="0.24"/>
    <n v="0.3"/>
    <n v="4"/>
    <n v="11"/>
    <n v="4"/>
    <n v="1"/>
    <s v="Mantenimiento"/>
    <m/>
    <s v="Cultura"/>
    <s v="A.5"/>
    <n v="11"/>
    <s v="ICULTUR"/>
    <m/>
    <m/>
    <m/>
  </r>
  <r>
    <x v="0"/>
    <x v="0"/>
    <m/>
    <m/>
    <x v="5"/>
    <x v="5"/>
    <m/>
    <m/>
    <x v="22"/>
    <x v="22"/>
    <m/>
    <m/>
    <m/>
    <s v="Divulgación, publicación y salvaguarda del Patrimonio Cultural"/>
    <s v="Número de estrategias de divulgación, publicación y salvaguarda del patrimonio cultural implementadas"/>
    <n v="0"/>
    <n v="1"/>
    <m/>
    <s v="Estrategia implementada"/>
    <s v="Porcentaje de implementación de la estrategia de divulgación y publicación del Patrimonio Cultural "/>
    <n v="0"/>
    <n v="1"/>
    <m/>
    <m/>
    <n v="0"/>
    <m/>
    <m/>
    <m/>
    <s v="NP"/>
    <s v="Incremento"/>
    <m/>
    <s v="Cultura"/>
    <s v="A.5"/>
    <n v="11"/>
    <s v="ICULTUR"/>
    <m/>
    <m/>
    <m/>
  </r>
  <r>
    <x v="0"/>
    <x v="0"/>
    <m/>
    <m/>
    <x v="5"/>
    <x v="5"/>
    <m/>
    <m/>
    <x v="22"/>
    <x v="22"/>
    <m/>
    <m/>
    <m/>
    <s v="Inventario y registro del patrimonio material e inmaterial del Departamento"/>
    <s v="Numero de Inventarios y registros del patrimonio material e inmaterial del Departamento realizados"/>
    <n v="9"/>
    <n v="4"/>
    <m/>
    <s v="Proyectos para fortalecimiento de los inventarios y registros del Patrimonio Cultural Material e Inmaterial realizados"/>
    <s v="Número de proyectos para el fortalecimiento de los Inventarios y registro del patrimonio material e inmaterial del departamento "/>
    <n v="2"/>
    <n v="1"/>
    <m/>
    <m/>
    <n v="0"/>
    <m/>
    <m/>
    <m/>
    <s v="NP"/>
    <s v="Incremento"/>
    <m/>
    <s v="Cultura"/>
    <s v="A.5"/>
    <n v="11"/>
    <s v="ICULTUR"/>
    <m/>
    <m/>
    <m/>
  </r>
  <r>
    <x v="0"/>
    <x v="0"/>
    <m/>
    <m/>
    <x v="5"/>
    <x v="5"/>
    <m/>
    <m/>
    <x v="22"/>
    <x v="22"/>
    <m/>
    <m/>
    <m/>
    <s v="Red Departamental de Bibliotecas Públicas funcionado en condiciones optimas "/>
    <s v="Porcentaje de funcionamiento optimo de la Red Departamental de bibliotecas públicas alcanzado"/>
    <n v="1"/>
    <n v="1"/>
    <m/>
    <s v="Red Departamental de Bibliotecas Públicas en optimo funcionamiento "/>
    <s v="Sistema de recolección de información diseñado e implementado"/>
    <n v="0"/>
    <n v="1"/>
    <n v="0.4"/>
    <n v="0.4"/>
    <n v="0.4"/>
    <n v="0.4"/>
    <n v="0"/>
    <n v="0.4"/>
    <n v="1"/>
    <s v="Mantenimiento"/>
    <m/>
    <s v="Cultura"/>
    <s v="A.5"/>
    <n v="11"/>
    <s v="ICULTUR"/>
    <m/>
    <m/>
    <m/>
  </r>
  <r>
    <x v="0"/>
    <x v="0"/>
    <m/>
    <m/>
    <x v="5"/>
    <x v="5"/>
    <m/>
    <m/>
    <x v="22"/>
    <x v="22"/>
    <m/>
    <m/>
    <m/>
    <s v="Asesorías técnicas_x000a_en gestión de_x000a_bibliotecas públicas"/>
    <s v="Número de_x000a_bibliotecas con_x000a_asistencias técnicas_x000a_realizadas"/>
    <n v="4"/>
    <n v="20"/>
    <m/>
    <s v="Bibliotecas con asistencia técnica realizada"/>
    <s v="Número de bibliotecas con asistencias técnicas realizadas"/>
    <n v="4"/>
    <n v="20"/>
    <n v="2"/>
    <n v="0.4"/>
    <n v="0.02"/>
    <n v="3"/>
    <n v="8"/>
    <n v="0.4"/>
    <n v="0.13333333333333333"/>
    <s v="Incremento"/>
    <m/>
    <s v="Cultura"/>
    <s v="A.5"/>
    <n v="11"/>
    <s v="ICULTUR"/>
    <m/>
    <m/>
    <m/>
  </r>
  <r>
    <x v="0"/>
    <x v="0"/>
    <m/>
    <m/>
    <x v="5"/>
    <x v="5"/>
    <m/>
    <m/>
    <x v="22"/>
    <x v="22"/>
    <m/>
    <m/>
    <m/>
    <s v="Plan Departamental de Lectura fortalecido "/>
    <s v="Numero de planes departamentales de lectura fortalecidos "/>
    <n v="0.5"/>
    <n v="1"/>
    <m/>
    <s v="Plan Departamental de lectura fortalecido"/>
    <s v="Número de planes de lectura fortalecidos y ejecutados "/>
    <n v="1"/>
    <n v="2"/>
    <n v="0.3"/>
    <n v="1"/>
    <n v="0.5"/>
    <n v="10"/>
    <n v="0"/>
    <n v="1"/>
    <n v="0.1"/>
    <s v="Incremento"/>
    <m/>
    <s v="Cultura"/>
    <s v="A.5"/>
    <n v="11"/>
    <s v="ICULTUR"/>
    <m/>
    <m/>
    <m/>
  </r>
  <r>
    <x v="0"/>
    <x v="0"/>
    <m/>
    <m/>
    <x v="5"/>
    <x v="5"/>
    <m/>
    <m/>
    <x v="23"/>
    <x v="23"/>
    <n v="0.3774571805006588"/>
    <n v="0.8125"/>
    <m/>
    <s v="Centros Culturales mantenidos y en operación "/>
    <s v="Numero de Centros Culturales mantenidos y en operación "/>
    <n v="6"/>
    <n v="6"/>
    <m/>
    <s v="Centros culturales mantenidos y operando "/>
    <s v="Número de centros culturales fortalecidos en formación artística"/>
    <n v="6"/>
    <n v="6"/>
    <n v="1"/>
    <n v="6"/>
    <n v="1"/>
    <n v="6"/>
    <n v="6"/>
    <n v="6"/>
    <n v="1"/>
    <s v="Mantenimiento"/>
    <m/>
    <s v="Cultura"/>
    <s v="A.5"/>
    <n v="11"/>
    <s v="ICULTUR"/>
    <m/>
    <m/>
    <m/>
  </r>
  <r>
    <x v="0"/>
    <x v="0"/>
    <m/>
    <m/>
    <x v="5"/>
    <x v="5"/>
    <m/>
    <m/>
    <x v="23"/>
    <x v="23"/>
    <m/>
    <m/>
    <m/>
    <s v="Infraestructura cultural construida "/>
    <s v="Numero de infraestructura cultural diseñada y construida. "/>
    <n v="6"/>
    <n v="1"/>
    <m/>
    <s v="Infraestructura cultural diseñada y construida"/>
    <s v="Numero de infraestructura cultural diseñada y construida. "/>
    <n v="6"/>
    <n v="1"/>
    <m/>
    <m/>
    <n v="0"/>
    <m/>
    <m/>
    <m/>
    <s v="NP"/>
    <s v="Incremento"/>
    <m/>
    <s v="Cultura"/>
    <s v="A.5"/>
    <n v="11"/>
    <s v="ICULTUR"/>
    <m/>
    <m/>
    <m/>
  </r>
  <r>
    <x v="0"/>
    <x v="0"/>
    <m/>
    <m/>
    <x v="5"/>
    <x v="5"/>
    <m/>
    <m/>
    <x v="23"/>
    <x v="23"/>
    <m/>
    <m/>
    <m/>
    <s v="Fomentar la_x000a_creación de las_x000a_escuelas_x000a_municipales de_x000a_música en el_x000a_departamento de_x000a_Bolívar"/>
    <s v="Numero de escuelas de musica municipales  creadas"/>
    <s v="ND"/>
    <n v="6"/>
    <m/>
    <s v="Escuelas de musica creadas"/>
    <s v="Numero de escuelas de musica municipales  creadas"/>
    <n v="1"/>
    <n v="6"/>
    <n v="0"/>
    <n v="0"/>
    <n v="0"/>
    <n v="0.22"/>
    <n v="0"/>
    <n v="0"/>
    <n v="0"/>
    <s v="Incremento"/>
    <m/>
    <s v="Cultura"/>
    <s v="A.5"/>
    <n v="11"/>
    <s v="ICULTUR"/>
    <m/>
    <m/>
    <m/>
  </r>
  <r>
    <x v="0"/>
    <x v="0"/>
    <m/>
    <m/>
    <x v="5"/>
    <x v="5"/>
    <m/>
    <m/>
    <x v="23"/>
    <x v="23"/>
    <m/>
    <m/>
    <m/>
    <s v="Identificar, asesorar y fortalecer los museos del Departamento"/>
    <s v="Numero de_x000a_museos_x000a_identificados,_x000a_asesorados y_x000a_fortalecidos de la_x000a_red de museos del_x000a_departamento "/>
    <n v="1"/>
    <n v="3"/>
    <m/>
    <s v="Museos de la red de museos del Departamento, identificados, asesorados y fortalecidos"/>
    <s v="Numero de museos identificados, asesorados y fortalecidos de la red de museos del departamento  "/>
    <n v="1"/>
    <n v="3"/>
    <n v="0"/>
    <n v="1"/>
    <n v="0.33333333333333331"/>
    <n v="1"/>
    <n v="0"/>
    <n v="1"/>
    <n v="1"/>
    <s v="Incremento"/>
    <m/>
    <s v="Cultura"/>
    <s v="A.5"/>
    <n v="11"/>
    <s v="ICULTUR"/>
    <m/>
    <m/>
    <m/>
  </r>
  <r>
    <x v="0"/>
    <x v="0"/>
    <m/>
    <m/>
    <x v="5"/>
    <x v="5"/>
    <m/>
    <m/>
    <x v="23"/>
    <x v="23"/>
    <m/>
    <m/>
    <m/>
    <s v="Institucionalizar el Consejo Departamental de Cultura con funciones específicas y cronograma de reuniones periódicas ordinarias"/>
    <s v="Número de_x000a_reuniones de funcionamiento del Consejo Departamental de Cultura_x000a_realizadas"/>
    <n v="7"/>
    <n v="8"/>
    <m/>
    <s v="Consejo Departamental de Cultura en funcionamiento"/>
    <s v="Número de reuniones ordinarias realizadas"/>
    <n v="7"/>
    <n v="1"/>
    <m/>
    <m/>
    <n v="0"/>
    <m/>
    <m/>
    <m/>
    <s v="NP"/>
    <s v="Incremento"/>
    <m/>
    <s v="Cultura"/>
    <s v="A.5"/>
    <n v="11"/>
    <s v="ICULTUR"/>
    <m/>
    <m/>
    <m/>
  </r>
  <r>
    <x v="0"/>
    <x v="0"/>
    <m/>
    <m/>
    <x v="5"/>
    <x v="5"/>
    <m/>
    <m/>
    <x v="23"/>
    <x v="23"/>
    <m/>
    <m/>
    <m/>
    <s v="Consejos Municipales de Cultura en operación "/>
    <s v="Numero de Consejos municipales de cultura operando"/>
    <s v="ND"/>
    <n v="46"/>
    <m/>
    <s v="Consejos municipales de cultura en operación"/>
    <s v="Numero de Consejos municipales de cultura en operación"/>
    <s v="ND"/>
    <n v="46"/>
    <n v="0.54347826086956519"/>
    <n v="5"/>
    <n v="0.10869565217391304"/>
    <n v="5"/>
    <n v="25"/>
    <n v="5"/>
    <n v="1"/>
    <s v="Incremento"/>
    <m/>
    <s v="Cultura"/>
    <s v="A.5"/>
    <n v="11"/>
    <s v="ICULTUR"/>
    <m/>
    <m/>
    <m/>
  </r>
  <r>
    <x v="0"/>
    <x v="0"/>
    <m/>
    <m/>
    <x v="5"/>
    <x v="5"/>
    <m/>
    <m/>
    <x v="23"/>
    <x v="23"/>
    <m/>
    <m/>
    <m/>
    <s v="Programa para la circulación de artistas en eventos departamentales "/>
    <s v="Número de artistas beneficiados con el programa de circulación artística departamental"/>
    <n v="1000"/>
    <n v="1500"/>
    <m/>
    <s v="Artistas beneficiados con el programa de circulación artistica departamental "/>
    <s v="Número de artistas beneficiados con el programa de circulación artistica departamental"/>
    <n v="1000"/>
    <n v="1500"/>
    <m/>
    <m/>
    <n v="0"/>
    <m/>
    <m/>
    <m/>
    <s v="NP"/>
    <s v="Incremento"/>
    <m/>
    <s v="Cultura"/>
    <s v="A.5"/>
    <n v="11"/>
    <s v="ICULTUR"/>
    <m/>
    <m/>
    <m/>
  </r>
  <r>
    <x v="0"/>
    <x v="0"/>
    <m/>
    <m/>
    <x v="5"/>
    <x v="5"/>
    <m/>
    <m/>
    <x v="23"/>
    <x v="23"/>
    <m/>
    <m/>
    <m/>
    <s v="Asesorías técnicas a los festivales del departamento de Bolívar"/>
    <s v="Numero de Asesorías técnicas a_x000a_los festivales del_x000a_departamento de_x000a_Bolívar"/>
    <n v="15"/>
    <n v="20"/>
    <m/>
    <s v="Festivales del Departamento de Bolivar con asesoría técnica"/>
    <s v="Número de festivales de Bolívar con asesorías  tecnicas realizadas a los organizadores"/>
    <n v="15"/>
    <n v="20"/>
    <n v="0.05"/>
    <n v="1"/>
    <n v="0.05"/>
    <n v="2"/>
    <n v="1"/>
    <n v="1"/>
    <n v="0.5"/>
    <s v="Incremento"/>
    <m/>
    <s v="Cultura"/>
    <s v="A.5"/>
    <n v="11"/>
    <s v="ICULTUR Y SECRETARIA PRIVADA"/>
    <m/>
    <m/>
    <m/>
  </r>
  <r>
    <x v="0"/>
    <x v="0"/>
    <m/>
    <m/>
    <x v="5"/>
    <x v="5"/>
    <m/>
    <m/>
    <x v="23"/>
    <x v="23"/>
    <m/>
    <m/>
    <m/>
    <s v="Gestores y creadores culturales del departamento de Bolívar formados"/>
    <s v="Número de Gestores y creadores culturales del departamento de Bolívar formados"/>
    <n v="140"/>
    <n v="250"/>
    <m/>
    <s v="Gestores y creadores culturales del departamento de Bolívar formados"/>
    <s v="Número de gestores culturales formados"/>
    <n v="140"/>
    <n v="250"/>
    <n v="5.7142857142857143E-3"/>
    <n v="165"/>
    <n v="0.66"/>
    <n v="50"/>
    <n v="0.8"/>
    <n v="50"/>
    <n v="1"/>
    <s v="Incremento"/>
    <m/>
    <s v="Cultura"/>
    <s v="A.5"/>
    <n v="11"/>
    <s v="ICULTUR"/>
    <m/>
    <m/>
    <m/>
  </r>
  <r>
    <x v="0"/>
    <x v="0"/>
    <m/>
    <m/>
    <x v="5"/>
    <x v="5"/>
    <m/>
    <m/>
    <x v="23"/>
    <x v="23"/>
    <m/>
    <m/>
    <m/>
    <s v="Gestores y creadores culturales del departamento de Bolívar apoyados con beneficios económicos periódicos- BEPS "/>
    <s v="Numero de Gestores y creadores culturales del departamento de Bolívar apoyados con beneficios económicos periódicos- BEPS "/>
    <s v="ND"/>
    <n v="200"/>
    <m/>
    <s v="Gestores y creadores culturales apoyados con beneficios economicos periodicos - BEPS"/>
    <s v="Número de gestores y creadores culturales beneficiados con el programa BEPS."/>
    <s v="ND"/>
    <n v="200"/>
    <n v="0.2"/>
    <n v="200"/>
    <n v="1"/>
    <n v="200"/>
    <n v="39"/>
    <n v="200"/>
    <n v="1"/>
    <s v="Incremento"/>
    <m/>
    <s v="Cultura"/>
    <s v="A.5"/>
    <n v="11"/>
    <s v="ICULTUR"/>
    <m/>
    <m/>
    <m/>
  </r>
  <r>
    <x v="0"/>
    <x v="0"/>
    <m/>
    <m/>
    <x v="5"/>
    <x v="5"/>
    <m/>
    <m/>
    <x v="23"/>
    <x v="23"/>
    <m/>
    <m/>
    <m/>
    <s v="Artistas, gestores y creadores culturales beneficiados con incentivos económicos en el marco de la emergencia sanitaria generada por el COVID-19 "/>
    <s v="Número de Artistas, gestores y creadores culturales beneficiados con incentivos económicos en el marco de la emergencia sanitaria generada por el COVID-19 "/>
    <s v="ND"/>
    <n v="4500"/>
    <m/>
    <s v="Artistas, gestores y creadores culturales beneficiados con incentivos económicos en el marco de la emergencia sanitaria generada por el COVID-19"/>
    <s v="Número de artistas, gestores y creadores culturales beneficiados con los incentivos economicos de los recursos del impuesto nacional al consumo- INC"/>
    <s v="ND"/>
    <n v="4500"/>
    <n v="1.040888888888889"/>
    <n v="4500"/>
    <n v="1"/>
    <n v="4500"/>
    <n v="4684"/>
    <n v="4500"/>
    <n v="1"/>
    <s v="Incremento"/>
    <m/>
    <s v="Cultura"/>
    <s v="A.5"/>
    <n v="11"/>
    <s v="ICULTUR"/>
    <m/>
    <m/>
    <m/>
  </r>
  <r>
    <x v="1"/>
    <x v="1"/>
    <n v="0.11203225208526417"/>
    <n v="0.52362698552253684"/>
    <x v="6"/>
    <x v="6"/>
    <n v="0.21249999999999999"/>
    <n v="0.6"/>
    <x v="24"/>
    <x v="24"/>
    <n v="0.25"/>
    <n v="0.6333333333333333"/>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s de vías secundarias"/>
    <s v="60 Kms de Vías_x000a_secundarias_x000a_intervenidas"/>
    <s v="ND"/>
    <n v="60"/>
    <n v="0"/>
    <n v="9"/>
    <n v="0.15"/>
    <n v="10"/>
    <n v="0"/>
    <n v="9"/>
    <n v="0.9"/>
    <s v="Incremento"/>
    <s v="Mejorar, rehabilitar y/o mantener las  vías  secundarias d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m/>
    <m/>
    <m/>
  </r>
  <r>
    <x v="1"/>
    <x v="1"/>
    <m/>
    <m/>
    <x v="6"/>
    <x v="6"/>
    <m/>
    <m/>
    <x v="24"/>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 de vias urbanas"/>
    <s v="5 Kms de Vías urbanas_x000a_intervenidas"/>
    <s v="ND"/>
    <n v="5"/>
    <n v="2"/>
    <n v="3"/>
    <n v="0.6"/>
    <n v="2"/>
    <n v="2"/>
    <n v="2"/>
    <n v="1"/>
    <s v="Incremento"/>
    <s v="Construir y/o mejorar la red vial urbana en 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m/>
    <m/>
    <m/>
  </r>
  <r>
    <x v="1"/>
    <x v="1"/>
    <m/>
    <m/>
    <x v="6"/>
    <x v="6"/>
    <m/>
    <m/>
    <x v="24"/>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Construir , mejorar y/o rehabilitar un número de puentes "/>
    <s v="12 unidades de Puentes_x000a_construidos,_x000a_mejorados y/o_x000a_rehabilitados"/>
    <s v="ND"/>
    <n v="12"/>
    <n v="0"/>
    <n v="0"/>
    <n v="0"/>
    <n v="5"/>
    <n v="0"/>
    <n v="0"/>
    <n v="0"/>
    <s v="Incremento"/>
    <s v="Contrucción, mejoramiento y/o rehabilitación  puentes para el desarrollo competitivo e inclusion social. "/>
    <s v="TRANSPORTE"/>
    <n v="24"/>
    <s v="La infraestructura destinada al mejoramiento de la calidad de vida, la prevención de los_x000a_desastres y al transporte, se encuentran estrechamente ligadas al desarrollo competitivo de los_x000a_territorios."/>
    <s v="SECRETARÍA DE INFRAESTRUCTURA"/>
    <m/>
    <m/>
    <m/>
  </r>
  <r>
    <x v="1"/>
    <x v="1"/>
    <m/>
    <m/>
    <x v="6"/>
    <x v="6"/>
    <m/>
    <m/>
    <x v="25"/>
    <x v="25"/>
    <n v="0.1"/>
    <n v="0.5"/>
    <m/>
    <s v="Propiciar el mejoramiento de la productividad y competitividad en el territorio y consecuentemente de la calidad de vida de las personas que lo habitad."/>
    <s v="Hectáreas protegidas con las_x000a_obras de protección que se_x000a_realicen."/>
    <s v="ND"/>
    <s v="100 Ha"/>
    <m/>
    <s v="Ejecutar  proyectos de obras para control_x000a_inundación, erosión, protección de_x000a_riberas y canalización de cauces en_x000a_los márgenes de los Ríos_x000a_Magdalena, Cauca y cauces a_x000a_complejos cenagosos."/>
    <s v="10 proyectos de Obras para control_x000a_inundación, erosión, protección de_x000a_riberas y canalización de cauces en_x000a_los márgenes de los Ríos_x000a_"/>
    <s v="ND"/>
    <n v="10"/>
    <m/>
    <n v="1"/>
    <n v="0.1"/>
    <n v="2"/>
    <m/>
    <n v="1"/>
    <n v="0.5"/>
    <s v="Incremento"/>
    <s v="Incremento en Obras para control_x000a_inundación, erosión, protección de_x000a_riberas y canalización de cauces en_x000a_los márgenes de los Ríos"/>
    <s v="TRANSPORTE"/>
    <n v="24"/>
    <s v="Permitir la articulación_x000a_territorial de gran parte de la provincia bolivarense, la conectividad fluvial representa una gran_x000a_ventaja competitiva frente a otros departamentos de la región."/>
    <s v="SECRETARÍA DE INFRAESTRUCTURA"/>
    <m/>
    <m/>
    <m/>
  </r>
  <r>
    <x v="1"/>
    <x v="1"/>
    <m/>
    <m/>
    <x v="7"/>
    <x v="7"/>
    <n v="0.23163265306122449"/>
    <n v="0.8"/>
    <x v="26"/>
    <x v="26"/>
    <n v="0.32428571428571429"/>
    <n v="1"/>
    <m/>
    <s v="Disminuir el Índice de personas muertas en accidentes de tránsito en el Departamento de Bolívar.                                                                                                                                                                      _x000a__x000a_                                                            "/>
    <s v="Disminuir el Índice de personas muertas en accidentes de tránsito en el Departamento de Bolívar.                                                                                                                                                                      _x000a__x000a_                                                            "/>
    <s v="2.7"/>
    <s v="2.55"/>
    <m/>
    <s v="Programas de seguridad vial (señales, demarcaciones, equipos sast)"/>
    <s v="Programas de seguridad vial (señales, demarcaciones, equipos sast)"/>
    <n v="7"/>
    <n v="14"/>
    <n v="0"/>
    <n v="1"/>
    <n v="7.1428571428571425E-2"/>
    <n v="1"/>
    <n v="0"/>
    <n v="1"/>
    <n v="1"/>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Campañas de seguridad vial "/>
    <s v="Campañas de seguridad vial "/>
    <n v="2"/>
    <n v="10"/>
    <n v="3"/>
    <n v="3"/>
    <n v="0.3"/>
    <n v="1"/>
    <n v="3"/>
    <n v="1"/>
    <n v="1"/>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Mapas de riesgos y puntos de accidentalidad"/>
    <s v="Mapas de riesgos y puntos de accidentalidad"/>
    <s v="N/D"/>
    <n v="1"/>
    <m/>
    <m/>
    <n v="0"/>
    <m/>
    <m/>
    <m/>
    <s v="NP"/>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Planes de control de ilegalidad en el transporte"/>
    <s v="Planes de control de ilegalidad en el transporte"/>
    <s v="N/D"/>
    <n v="1"/>
    <n v="0"/>
    <n v="1"/>
    <n v="1"/>
    <n v="1"/>
    <n v="0"/>
    <n v="1"/>
    <n v="1"/>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Campañas Sobre el uso Medios De Transportes Amigables Con El Medio Ambiente"/>
    <s v="Campañas Sobre el uso Medios De Transportes Amigables Con El Medio Ambiente"/>
    <s v="N/D"/>
    <n v="4"/>
    <n v="1"/>
    <n v="1"/>
    <n v="0.25"/>
    <n v="1"/>
    <n v="1"/>
    <n v="1"/>
    <n v="1"/>
    <s v="Incremento"/>
    <m/>
    <m/>
    <m/>
    <m/>
    <s v="SECRETARÍA DE  MOVILIDAD"/>
    <m/>
    <m/>
    <m/>
  </r>
  <r>
    <x v="1"/>
    <x v="1"/>
    <m/>
    <m/>
    <x v="7"/>
    <x v="7"/>
    <m/>
    <m/>
    <x v="27"/>
    <x v="27"/>
    <n v="0"/>
    <n v="0"/>
    <m/>
    <s v="Aumentar la movilidad aerea"/>
    <s v="Aumentar la movilidad aerea"/>
    <n v="0"/>
    <n v="1"/>
    <m/>
    <s v="Frecuencias aéreas"/>
    <s v="Frecuencias aéreas"/>
    <s v="N/D"/>
    <n v="1"/>
    <m/>
    <m/>
    <n v="0"/>
    <m/>
    <m/>
    <m/>
    <s v="NP"/>
    <s v="Incremento"/>
    <m/>
    <m/>
    <m/>
    <m/>
    <s v="SECRETARÍA DE  MOVILIDAD"/>
    <m/>
    <m/>
    <m/>
  </r>
  <r>
    <x v="1"/>
    <x v="1"/>
    <m/>
    <m/>
    <x v="7"/>
    <x v="7"/>
    <m/>
    <m/>
    <x v="27"/>
    <x v="27"/>
    <m/>
    <m/>
    <m/>
    <s v="Aumentar la movilidad aerea"/>
    <s v="Aumentar la movilidad aerea"/>
    <n v="2"/>
    <n v="1"/>
    <m/>
    <s v="Nueva infraestructura de Transporte aéreo gestionada"/>
    <s v="Nueva infraestructura de Transporte aéreo gestionada"/>
    <n v="2"/>
    <n v="1"/>
    <n v="0"/>
    <n v="0"/>
    <n v="0"/>
    <n v="1"/>
    <n v="0"/>
    <n v="0"/>
    <n v="0"/>
    <s v="Incremento"/>
    <m/>
    <m/>
    <m/>
    <m/>
    <s v="SECRETARÍA DE  MOVILIDAD"/>
    <m/>
    <m/>
    <m/>
  </r>
  <r>
    <x v="1"/>
    <x v="1"/>
    <m/>
    <m/>
    <x v="8"/>
    <x v="8"/>
    <n v="0.06"/>
    <n v="1"/>
    <x v="28"/>
    <x v="28"/>
    <n v="0.06"/>
    <n v="1"/>
    <m/>
    <s v="Mejorar la posicion en el ranking departamental de competitividad en el Pilar “Adopción TIC” llegar al puesto 12"/>
    <s v="Mejorar la posicion en el ranking departamental de competitividad en el Pilar “Adopción TIC” llegar al puesto 12"/>
    <n v="18"/>
    <n v="12"/>
    <m/>
    <s v="Conectar con banda ancha, fija y/o movil a 15 municipios de bolivar"/>
    <s v="Conectar con banda ancha, fija y/o movil a 15 municipios de bolivar"/>
    <n v="15"/>
    <n v="15"/>
    <m/>
    <m/>
    <n v="0"/>
    <m/>
    <m/>
    <m/>
    <s v="NP"/>
    <s v="Mantenimiento"/>
    <m/>
    <m/>
    <n v="15"/>
    <m/>
    <s v="SECRETARÍA DE PLANEACIÓN"/>
    <m/>
    <m/>
    <m/>
  </r>
  <r>
    <x v="1"/>
    <x v="1"/>
    <m/>
    <m/>
    <x v="8"/>
    <x v="8"/>
    <m/>
    <m/>
    <x v="28"/>
    <x v="28"/>
    <m/>
    <m/>
    <m/>
    <s v="Mejorar el Indice de penetracion a internet"/>
    <s v="Mejorar el Indice de penetracion a internet"/>
    <n v="15"/>
    <n v="10"/>
    <m/>
    <s v="Conectar con banda ancha, fija y/o movil a 15 municipios de bolivar"/>
    <s v="Conectar con banda ancha, fija y/o movil a 15 municipios de bolivar"/>
    <n v="15"/>
    <n v="15"/>
    <m/>
    <m/>
    <n v="0"/>
    <m/>
    <m/>
    <m/>
    <s v="NP"/>
    <s v="Mantenimiento"/>
    <m/>
    <m/>
    <n v="15"/>
    <m/>
    <s v="SECRETARÍA DE PLANEACIÓN"/>
    <m/>
    <m/>
    <m/>
  </r>
  <r>
    <x v="1"/>
    <x v="1"/>
    <m/>
    <m/>
    <x v="8"/>
    <x v="8"/>
    <m/>
    <m/>
    <x v="28"/>
    <x v="28"/>
    <m/>
    <m/>
    <m/>
    <s v="Aumentar el Acceso a internet departamental al 97%"/>
    <s v="Aumentar el Acceso a internet departamental al 97%"/>
    <n v="0.95599999999999996"/>
    <n v="0.97"/>
    <m/>
    <s v="Capacitadar en el uso de tecnologías de la información y generación de nuevos negocios"/>
    <s v="Capacitadar en el uso de tecnologías de la información y generación de nuevos negocios"/>
    <s v="ND"/>
    <n v="0.2"/>
    <m/>
    <m/>
    <n v="0"/>
    <m/>
    <m/>
    <m/>
    <s v="NP"/>
    <s v="Incremento"/>
    <m/>
    <m/>
    <n v="4"/>
    <m/>
    <s v="SECRETARÍA DE PLANEACIÓN"/>
    <m/>
    <m/>
    <m/>
  </r>
  <r>
    <x v="1"/>
    <x v="1"/>
    <m/>
    <m/>
    <x v="8"/>
    <x v="8"/>
    <m/>
    <m/>
    <x v="28"/>
    <x v="28"/>
    <m/>
    <m/>
    <m/>
    <s v="Municipios con índice de cobertura de internet inferior al 1 %"/>
    <s v="Municipios con índice de cobertura de internet inferior al 1 %"/>
    <n v="0.05"/>
    <n v="0.1"/>
    <m/>
    <s v="Número de Centros Digitales y Zonas Digitales "/>
    <s v="Número de Centros Digitales y Zonas Digitales "/>
    <s v="ND"/>
    <n v="50"/>
    <n v="12"/>
    <n v="12"/>
    <n v="0.24"/>
    <n v="12"/>
    <n v="12"/>
    <n v="12"/>
    <n v="1"/>
    <s v="Incremento"/>
    <m/>
    <m/>
    <n v="15"/>
    <m/>
    <s v="SECRETARÍA DE PLANEACIÓN"/>
    <m/>
    <m/>
    <m/>
  </r>
  <r>
    <x v="1"/>
    <x v="1"/>
    <m/>
    <m/>
    <x v="9"/>
    <x v="9"/>
    <n v="6.6666666666666666E-2"/>
    <n v="0.66666666666666663"/>
    <x v="29"/>
    <x v="29"/>
    <n v="9.9999999999999992E-2"/>
    <n v="0.7"/>
    <m/>
    <s v="Instalar a 60 Inversionistas en el departamento resultado de la promoción del departamento"/>
    <s v="Instalar a 60 Inversionistas en el departamento resultado de la promoción del departamento"/>
    <n v="67"/>
    <n v="60"/>
    <m/>
    <s v="Realizar 3 convenios para promoción del Departamento"/>
    <s v="Realizar 3 convenios para promoción del Departamento"/>
    <n v="1"/>
    <n v="3"/>
    <n v="1"/>
    <n v="1"/>
    <n v="0.33333333333333331"/>
    <n v="1"/>
    <n v="1"/>
    <n v="1"/>
    <n v="1"/>
    <s v="Incremento"/>
    <s v="Convenio con vicepresidencia y mincomercio: Ruta integrada  fecha sep agosto del 2020 "/>
    <s v="Promoción del Desarrollo"/>
    <s v="A. 13"/>
    <s v="Promover el crecimiento económico sostenido, inclusivo y sostenible, el empleo pleno y productivo y el trabajo decente para todos"/>
    <s v="SECRETARÍA DE PLANEACIÓN"/>
    <m/>
    <m/>
    <m/>
  </r>
  <r>
    <x v="1"/>
    <x v="1"/>
    <m/>
    <m/>
    <x v="9"/>
    <x v="9"/>
    <m/>
    <m/>
    <x v="29"/>
    <x v="29"/>
    <m/>
    <m/>
    <m/>
    <s v="Instalar a 60 Inversionistas en el departamento resultado de la promoción del departamento"/>
    <s v="Instalar a 60 Inversionistas en el departamento resultado de la promoción del departamento"/>
    <n v="67"/>
    <n v="60"/>
    <m/>
    <s v="Instalar 60 empresas en el Departamento"/>
    <s v="Instalar 60 empresas en el Departamento"/>
    <n v="67"/>
    <n v="60"/>
    <n v="1"/>
    <n v="4"/>
    <n v="6.6666666666666666E-2"/>
    <n v="10"/>
    <n v="1"/>
    <n v="4"/>
    <n v="0.4"/>
    <s v="Incremento"/>
    <s v="disminución"/>
    <s v="Investing "/>
    <s v="Promoción del Desarrollo"/>
    <s v="A. 13"/>
    <s v="SECRETARÍA DE PLANEACIÓN"/>
    <m/>
    <m/>
    <m/>
  </r>
  <r>
    <x v="1"/>
    <x v="1"/>
    <m/>
    <m/>
    <x v="9"/>
    <x v="9"/>
    <m/>
    <m/>
    <x v="29"/>
    <x v="29"/>
    <m/>
    <m/>
    <m/>
    <s v="Instalar a 60 Inversionistas en el departamento resultado de la promoción del departamento"/>
    <s v="Instalar a 60 Inversionistas en el departamento resultado de la promoción del departamento"/>
    <n v="67"/>
    <n v="60"/>
    <m/>
    <s v="Creación de 1 sistema de información y caracterización para inversionistas"/>
    <s v="Creación de 1 sistema de información y caracterización para inversionistas"/>
    <n v="0"/>
    <n v="1"/>
    <m/>
    <m/>
    <n v="0"/>
    <m/>
    <m/>
    <m/>
    <s v="NP"/>
    <s v="Incremento"/>
    <n v="1"/>
    <n v="0"/>
    <n v="0"/>
    <m/>
    <s v="SECRETARÍA DE PLANEACIÓN"/>
    <m/>
    <m/>
    <m/>
  </r>
  <r>
    <x v="1"/>
    <x v="1"/>
    <m/>
    <m/>
    <x v="9"/>
    <x v="9"/>
    <m/>
    <m/>
    <x v="29"/>
    <x v="29"/>
    <m/>
    <m/>
    <m/>
    <s v="Instalar a 60 Inversionistas en el departamento resultado de la promoción del departamento"/>
    <s v="Instalar a 60 Inversionistas en el departamento resultado de la promoción del departamento"/>
    <n v="67"/>
    <n v="60"/>
    <m/>
    <s v="Formular 1 política pública de desarrollo económico departamental"/>
    <s v="Formular 1 política pública de desarrollo económico departamental"/>
    <n v="0"/>
    <n v="1"/>
    <m/>
    <m/>
    <n v="0"/>
    <m/>
    <m/>
    <m/>
    <s v="NP"/>
    <s v="Incremento"/>
    <n v="1"/>
    <n v="0"/>
    <n v="0"/>
    <m/>
    <s v="SECRETARÍA DE PLANEACIÓN"/>
    <m/>
    <m/>
    <m/>
  </r>
  <r>
    <x v="1"/>
    <x v="1"/>
    <m/>
    <m/>
    <x v="9"/>
    <x v="9"/>
    <m/>
    <m/>
    <x v="30"/>
    <x v="30"/>
    <n v="2.2222222222222223E-2"/>
    <n v="0.6"/>
    <m/>
    <s v="Desarrollar una plataforma para encadenamientos productivos"/>
    <s v="Desarrollar una plataforma para encadenamientos productivos"/>
    <n v="0"/>
    <n v="1"/>
    <m/>
    <s v="Asistir 1 Proyecto de impacto para el fortalecimiento de cadenas productivas."/>
    <s v="Asistir 1 Proyecto de impacto para el fortalecimiento de cadenas productivas."/>
    <n v="0"/>
    <n v="3"/>
    <m/>
    <m/>
    <n v="0"/>
    <m/>
    <m/>
    <m/>
    <s v="NP"/>
    <s v="Incremento"/>
    <n v="1"/>
    <n v="0"/>
    <n v="0"/>
    <m/>
    <s v="SECRETARÍA DE PLANEACIÓN"/>
    <m/>
    <m/>
    <m/>
  </r>
  <r>
    <x v="1"/>
    <x v="1"/>
    <m/>
    <m/>
    <x v="9"/>
    <x v="9"/>
    <m/>
    <m/>
    <x v="30"/>
    <x v="30"/>
    <m/>
    <m/>
    <m/>
    <s v="Desarrollar una plataforma para encadenamientos productivos"/>
    <s v="Desarrollar una plataforma para encadenamientos productivos"/>
    <n v="0"/>
    <n v="1"/>
    <m/>
    <s v="90 empresas y pequeños productores apoyados con alianzas para el desarrollo para el emprendimiento y encadenamientos    "/>
    <s v="90 empresas y pequeños productores apoyados con alianzas para el desarrollo para el emprendimiento y encadenamientos    "/>
    <n v="0"/>
    <n v="90"/>
    <n v="5"/>
    <n v="6"/>
    <n v="6.6666666666666666E-2"/>
    <n v="10"/>
    <n v="5"/>
    <n v="6"/>
    <n v="0.6"/>
    <s v="Incremento"/>
    <s v="Asociación acuicultores proyectos CTel"/>
    <s v="Promoción del Desarrollo"/>
    <s v="A. 13"/>
    <s v="Promover el crecimiento económico sostenido, inclusivo y sostenible, el empleo pleno y productivo y el trabajo decente para todos"/>
    <s v="SECRETARÍA DE PLANEACIÓN"/>
    <m/>
    <m/>
    <m/>
  </r>
  <r>
    <x v="1"/>
    <x v="1"/>
    <m/>
    <m/>
    <x v="9"/>
    <x v="9"/>
    <m/>
    <m/>
    <x v="30"/>
    <x v="30"/>
    <m/>
    <m/>
    <m/>
    <s v="Desarrollar una plataforma para encadenamientos productivos"/>
    <s v="Desarrollar una plataforma para encadenamientos productivos"/>
    <n v="0"/>
    <n v="1"/>
    <m/>
    <s v="Diseñar 1 plataforma virtual para la comercialización de los productos del departamento"/>
    <s v="Diseñar 1 plataforma virtual para la comercialización de los productos del departamento"/>
    <n v="0"/>
    <n v="1"/>
    <m/>
    <m/>
    <n v="0"/>
    <m/>
    <m/>
    <m/>
    <s v="NP"/>
    <s v="Incremento"/>
    <m/>
    <m/>
    <n v="1"/>
    <n v="0"/>
    <s v="SECRETARÍA DE PLANEACIÓN"/>
    <m/>
    <m/>
    <m/>
  </r>
  <r>
    <x v="1"/>
    <x v="1"/>
    <m/>
    <m/>
    <x v="10"/>
    <x v="10"/>
    <n v="1.5123076923076923E-2"/>
    <n v="0.14341138659320476"/>
    <x v="31"/>
    <x v="31"/>
    <n v="0"/>
    <n v="0"/>
    <m/>
    <s v="Incrementar  en 0,6%  el Áreas con tecnología en , infraestructura productiva,  riego y adecuación de tierras"/>
    <s v="% de Áreas con tecnología en , infraestructura productiva,  riego y adecuación de tierras"/>
    <n v="1.4E-2"/>
    <n v="0.02"/>
    <m/>
    <s v=" Incrementara  en 2.940 hectareas  con tecnología en , infraestructura productiva,  riego y adecuación de tierras"/>
    <s v="No de Hectáreas  con tecnología en , infraestructura productiva,  riego y adecuación de tierras"/>
    <n v="6900"/>
    <n v="9840"/>
    <n v="0"/>
    <n v="0"/>
    <n v="0"/>
    <n v="735"/>
    <n v="0"/>
    <n v="0"/>
    <n v="0"/>
    <s v="Incremento"/>
    <s v="Tecnificación de hectareas de riego a trvés de la adecuación de 4 distritos de riesgo en los Montes de María y la contrucción de uno nuevo"/>
    <s v="Agropecuario"/>
    <m/>
    <s v="Fin de la pobreza"/>
    <s v="SECRETARÍA DE AGRICULTURA"/>
    <m/>
    <m/>
    <m/>
  </r>
  <r>
    <x v="1"/>
    <x v="1"/>
    <m/>
    <m/>
    <x v="10"/>
    <x v="10"/>
    <m/>
    <m/>
    <x v="32"/>
    <x v="32"/>
    <n v="5.5999999999999999E-3"/>
    <n v="0.11666666666666667"/>
    <m/>
    <s v="Incrementar  en un 39%  los productores atendidos con servicio de extensión agropecuaria"/>
    <s v="%de productores atendidos con servicio de extensión agropecuaria"/>
    <n v="0.11"/>
    <n v="0.5"/>
    <m/>
    <s v=" Incrementara  en 19.448 productores atendidos con servicio de extensión agropecuaria"/>
    <s v="Número de productores atendidos con servicio de extensión agropecuaria"/>
    <n v="5552"/>
    <n v="25000"/>
    <n v="140"/>
    <n v="140"/>
    <n v="5.5999999999999999E-3"/>
    <n v="1200"/>
    <n v="140"/>
    <n v="140"/>
    <n v="0.11666666666666667"/>
    <s v="Incremento"/>
    <m/>
    <s v="Agropecuario"/>
    <m/>
    <s v="Fin de la pobreza"/>
    <s v="SECRETARÍA DE AGRICULTURA"/>
    <m/>
    <m/>
    <m/>
  </r>
  <r>
    <x v="1"/>
    <x v="1"/>
    <m/>
    <m/>
    <x v="10"/>
    <x v="10"/>
    <m/>
    <m/>
    <x v="33"/>
    <x v="33"/>
    <n v="5.7692307692307696E-2"/>
    <n v="0.74380165289256195"/>
    <m/>
    <s v="Incrementar en un 24% los productores fortalecidos en sus capacidades productivas para  garantizar la competitividad y la comercialización de los productos agropecuarios  en los diferentes mercados internos como externos"/>
    <s v="% de productores fortalecidos en sus capacidades productivas para  garantizar la competitividad y la comercialización de los productos agropecuarios  en los diferentes mercados internos como externos"/>
    <n v="0.15"/>
    <n v="0.39"/>
    <m/>
    <s v="Incrementar en 12.100 los productores fortalecidos en sus capacidades productivas para  garantizar la competitividad y la comercialización de los productos agropecuarios  en los diferentes mercados internos como externos"/>
    <s v="Número productores fortalecidos en sus capacidades productivas para garantizar la competitividad y la comercialización de los productos agropecuarios en los diferentes mercados internos como externos."/>
    <n v="7400"/>
    <n v="19500"/>
    <n v="0"/>
    <n v="2250"/>
    <n v="0.11538461538461539"/>
    <n v="3025"/>
    <n v="0"/>
    <n v="2250"/>
    <n v="0.74380165289256195"/>
    <s v="Incremento"/>
    <s v="Proyecto cacao"/>
    <s v="Agropecuario"/>
    <m/>
    <s v="Fin de la pobreza"/>
    <s v="SECRETARÍA DE AGRICULTURA"/>
    <m/>
    <m/>
    <m/>
  </r>
  <r>
    <x v="1"/>
    <x v="1"/>
    <m/>
    <m/>
    <x v="10"/>
    <x v="10"/>
    <m/>
    <m/>
    <x v="33"/>
    <x v="33"/>
    <m/>
    <m/>
    <m/>
    <s v="Incrementar a un 100% el Número de organizaciones de cadenas productivas constituidas y operando formalmente (Ley 811 de 2003) al interior del departamento"/>
    <s v="% organizaciones de cadenas productivas constituidas y operando formalmente (Ley 811 de 2003) al interior del departamento"/>
    <n v="0"/>
    <n v="1"/>
    <m/>
    <s v="Incrementar en 2 las organizaciones de cadenas productivas constituidas y operando formalmente (Ley 811 de 2003) al interior del departamento"/>
    <s v="Numero de organizaciones de cadenas productivas constituidas y operando formalmente (Ley 811 de 2003) al interior del departamento"/>
    <n v="0"/>
    <n v="2"/>
    <m/>
    <m/>
    <n v="0"/>
    <m/>
    <m/>
    <m/>
    <s v="NP"/>
    <s v="Incremento"/>
    <m/>
    <m/>
    <m/>
    <s v="Fin de la pobreza"/>
    <s v="SECRETARÍA DE AGRICULTURA"/>
    <m/>
    <m/>
    <m/>
  </r>
  <r>
    <x v="1"/>
    <x v="1"/>
    <m/>
    <m/>
    <x v="10"/>
    <x v="10"/>
    <m/>
    <m/>
    <x v="33"/>
    <x v="33"/>
    <m/>
    <m/>
    <m/>
    <s v="Incrementar  en un 66% las Alianzas Publico – Privadas creadas y/o fortalecidas al interior del departamento"/>
    <s v="% de Alianzas Publico – Privadas creadas y/o fortalecidas al interior del departamento"/>
    <n v="0.34"/>
    <n v="1"/>
    <m/>
    <s v="Incrementar en 3 las  Alianzas Publico – Privadas creadas y/o fortalecidas al interior del departamento"/>
    <s v="Numero de  Alianzas Publico – Privadas creadas y/o fortalecidas al interior del departamento"/>
    <n v="3"/>
    <n v="5"/>
    <n v="0"/>
    <n v="0"/>
    <n v="0"/>
    <n v="1"/>
    <n v="0"/>
    <n v="0"/>
    <n v="0"/>
    <s v="Incremento"/>
    <s v="Conformacion de la alizanza publico privada del Ñame "/>
    <s v="Agricola"/>
    <m/>
    <s v="Fin de la pobreza"/>
    <s v="SECRETARÍA DE AGRICULTURA"/>
    <m/>
    <m/>
    <m/>
  </r>
  <r>
    <x v="1"/>
    <x v="1"/>
    <m/>
    <m/>
    <x v="10"/>
    <x v="10"/>
    <m/>
    <m/>
    <x v="34"/>
    <x v="34"/>
    <n v="0"/>
    <n v="0"/>
    <m/>
    <s v="46 Municipios apoyados en el Ordenamiento Social de la Propiedad."/>
    <s v="% de municipios apoyados en el Ordenamiento Social de la Propiedad."/>
    <n v="0"/>
    <n v="1"/>
    <m/>
    <s v="46 Municipios apoyados en el Ordenamiento Social de la Propiedad."/>
    <s v="Número de municipios apoyados técnicamente en el Ordenamiento Social de la Propiedad"/>
    <n v="0"/>
    <n v="46"/>
    <n v="0"/>
    <n v="0"/>
    <n v="0"/>
    <n v="46"/>
    <n v="0"/>
    <n v="0"/>
    <n v="0"/>
    <s v="Mantenimiento"/>
    <s v="AsitenciaTecnica a Municipio por parte de los funcionarios de la Secretaria de Agricultura y Desarrollo rural"/>
    <s v="Agropecuario"/>
    <m/>
    <s v="Fin de la pobreza"/>
    <s v="SECRETARÍA DE AGRICULTURA"/>
    <m/>
    <m/>
    <m/>
  </r>
  <r>
    <x v="1"/>
    <x v="1"/>
    <m/>
    <m/>
    <x v="10"/>
    <x v="10"/>
    <m/>
    <m/>
    <x v="35"/>
    <x v="35"/>
    <n v="0"/>
    <n v="0"/>
    <m/>
    <s v="Aumentar en un 5 % los productores Bancarizados"/>
    <s v="% de productores Bancarizados"/>
    <n v="0.15"/>
    <n v="0.2"/>
    <m/>
    <s v="2.499 productores con acceso a crédito"/>
    <s v="Número de productores con acceso a crédito"/>
    <n v="7501"/>
    <n v="10000"/>
    <n v="0"/>
    <n v="0"/>
    <n v="0"/>
    <n v="624"/>
    <n v="0"/>
    <n v="0"/>
    <n v="0"/>
    <s v="Incremento"/>
    <s v="Programacion de jornada de socilaizacion para acceso a credito por parte del sector finaciero"/>
    <s v="Agropecuario"/>
    <m/>
    <s v="Fin de la pobreza"/>
    <s v="SECRETARÍA DE AGRICULTURA"/>
    <m/>
    <m/>
    <m/>
  </r>
  <r>
    <x v="1"/>
    <x v="1"/>
    <m/>
    <m/>
    <x v="10"/>
    <x v="10"/>
    <m/>
    <m/>
    <x v="36"/>
    <x v="36"/>
    <n v="0"/>
    <s v="NP"/>
    <m/>
    <s v="Elaboración del documento del plan de seguridad alimentaria departamentamental"/>
    <s v="% de elaboración del documento del plan de seguridad alimentaria departamentamental"/>
    <n v="0"/>
    <n v="1"/>
    <m/>
    <s v="Un documento elaborado del plan de seguridad alimentaria del departamento"/>
    <s v="Número documento elaborado del plan de seguridad alimentaria del departamento"/>
    <n v="1"/>
    <n v="1"/>
    <m/>
    <m/>
    <n v="0"/>
    <m/>
    <m/>
    <m/>
    <s v="NP"/>
    <s v="Incremento"/>
    <s v="Elaboracion del Programa de politica publica de Seguridad alimentaria"/>
    <s v="Agropecuario"/>
    <m/>
    <s v="Hambre cero"/>
    <s v="SECRETARÍA DE AGRICULTURA"/>
    <m/>
    <m/>
    <m/>
  </r>
  <r>
    <x v="1"/>
    <x v="1"/>
    <m/>
    <m/>
    <x v="11"/>
    <x v="11"/>
    <n v="6.8783068783068779E-2"/>
    <n v="0.375"/>
    <x v="37"/>
    <x v="37"/>
    <n v="0"/>
    <s v="NP"/>
    <m/>
    <s v="Reducir los índices de accidentalidad del sector minero mediante la ejecución de programas de asistencia técnica y dotación a los pequeños mineros del sur de bolívar."/>
    <s v="Reducción del número de accidentes de trabajo en la mina"/>
    <n v="372"/>
    <n v="120"/>
    <m/>
    <s v="Mineros asistidos técnica, _x000a_tecnológica y en su salud"/>
    <s v="Mineros asistidos técnica, _x000a_tecnológica y en su salud"/>
    <n v="0"/>
    <n v="4000"/>
    <n v="0"/>
    <n v="0"/>
    <n v="0"/>
    <m/>
    <m/>
    <m/>
    <s v="NP"/>
    <s v="Incremento "/>
    <m/>
    <s v="MINAS Y ENERGIA "/>
    <n v="21"/>
    <s v="8. TRABAJO DECENTE Y CRECIMIENTO ECONÓMICO"/>
    <s v="SECRETARÍA DE MINAS Y ENERGÍA   "/>
    <m/>
    <m/>
    <m/>
  </r>
  <r>
    <x v="1"/>
    <x v="1"/>
    <m/>
    <m/>
    <x v="11"/>
    <x v="11"/>
    <m/>
    <m/>
    <x v="37"/>
    <x v="37"/>
    <m/>
    <m/>
    <m/>
    <s v="Reducir los índices de accidentalidad del sector minero mediante la ejecución de programas de asistencia técnica y dotación a los pequeños mineros del sur de bolívar."/>
    <s v="Reducción del número de accidentes de trabajo en la mina"/>
    <n v="372"/>
    <n v="120"/>
    <m/>
    <s v="Mineros dotados con _x000a_elementos de seguridad"/>
    <s v="Mineros dotados con _x000a_elementos de seguridad"/>
    <n v="200"/>
    <n v="1500"/>
    <n v="0"/>
    <n v="0"/>
    <n v="0"/>
    <m/>
    <m/>
    <m/>
    <s v="NP"/>
    <s v="Incremento"/>
    <m/>
    <s v="MINAS Y ENERGIA "/>
    <n v="21"/>
    <s v="8. TRABAJO DECENTE Y CRECIMIENTO ECONÓMICO"/>
    <s v="SECRETARÍA DE MINAS Y ENERGÍA   "/>
    <m/>
    <m/>
    <m/>
  </r>
  <r>
    <x v="1"/>
    <x v="1"/>
    <m/>
    <m/>
    <x v="11"/>
    <x v="11"/>
    <m/>
    <m/>
    <x v="37"/>
    <x v="37"/>
    <m/>
    <m/>
    <m/>
    <s v="Reducir los índices de accidentalidad del sector minero mediante la ejecución de programas de asistencia técnica y dotación a los pequeños mineros del sur de bolívar."/>
    <s v="Reducción del número de accidentes de trabajo en la mina"/>
    <n v="372"/>
    <n v="120"/>
    <m/>
    <s v="Programas de internacionalización de mineros bolivarenses"/>
    <s v="Programas de internacionalización de mineros bolivarenses"/>
    <n v="0"/>
    <n v="3"/>
    <n v="0"/>
    <n v="0"/>
    <n v="0"/>
    <m/>
    <m/>
    <m/>
    <s v="NP"/>
    <s v="Incremento"/>
    <m/>
    <s v="MINAS Y ENERGIA "/>
    <n v="21"/>
    <s v="8. TRABAJO DECENTE Y CRECIMIENTO ECONÓMICO"/>
    <s v="SECRETARÍA DE MINAS Y ENERGÍA   "/>
    <m/>
    <m/>
    <m/>
  </r>
  <r>
    <x v="1"/>
    <x v="1"/>
    <m/>
    <m/>
    <x v="11"/>
    <x v="11"/>
    <m/>
    <m/>
    <x v="38"/>
    <x v="38"/>
    <n v="0.10535714285714286"/>
    <n v="0.21666666666666667"/>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Centro de Formación e investigación Minera y agroindustrial construidos y dotados"/>
    <s v="Centro de Formación e investigación Minera y agroindustrial construidos y dotados"/>
    <n v="0"/>
    <n v="2"/>
    <n v="0"/>
    <n v="0.2"/>
    <n v="0.1"/>
    <n v="1"/>
    <n v="0.5"/>
    <n v="0.2"/>
    <n v="0.2"/>
    <s v="Incremento"/>
    <m/>
    <s v="MINAS Y ENERGIA "/>
    <n v="21"/>
    <s v="12. PRODUCCIÓN Y CONSUMO RESPONSABLES"/>
    <s v="SECRETARÍA DE MINAS Y ENERGÍA   "/>
    <m/>
    <m/>
    <m/>
  </r>
  <r>
    <x v="1"/>
    <x v="1"/>
    <m/>
    <m/>
    <x v="11"/>
    <x v="11"/>
    <m/>
    <m/>
    <x v="38"/>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Planta de Beneficio construida y puestas en funcionamiento"/>
    <s v="Planta de Beneficio construida y puestas en funcionamiento"/>
    <n v="0"/>
    <n v="1"/>
    <m/>
    <m/>
    <n v="0"/>
    <m/>
    <m/>
    <m/>
    <s v="NP"/>
    <s v="Incremento"/>
    <m/>
    <s v="MINAS Y ENERGIA "/>
    <n v="21"/>
    <s v="12. PRODUCCIÓN Y CONSUMO RESPONSABLES"/>
    <s v="SECRETARÍA DE MINAS Y ENERGÍA   "/>
    <m/>
    <m/>
    <m/>
  </r>
  <r>
    <x v="1"/>
    <x v="1"/>
    <m/>
    <m/>
    <x v="11"/>
    <x v="11"/>
    <m/>
    <m/>
    <x v="38"/>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Diseño e implementación de estrategias y mecanismos de prevención de lavado de activos y financiación del terrorismo en la actividad minera y bancarización"/>
    <s v="Diseño e implementación de estrategias y mecanismos de prevención de lavado de activos y financiación del terrorismo en la actividad minera y bancarización"/>
    <n v="0"/>
    <n v="1"/>
    <m/>
    <n v="0.3"/>
    <n v="0.3"/>
    <n v="1"/>
    <m/>
    <n v="0.3"/>
    <n v="0.3"/>
    <s v="Incremento"/>
    <m/>
    <s v="MINAS Y ENERGIA "/>
    <n v="21"/>
    <s v="12. PRODUCCIÓN Y CONSUMO RESPONSABLES"/>
    <s v="SECRETARÍA DE MINAS Y ENERGÍA   "/>
    <m/>
    <m/>
    <m/>
  </r>
  <r>
    <x v="1"/>
    <x v="1"/>
    <m/>
    <m/>
    <x v="11"/>
    <x v="11"/>
    <m/>
    <m/>
    <x v="38"/>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Unidades de negocio implementadas para la transformación de metales preciosos que fortalezcan productivamente y económicamente a los mineros haciendo énfasis en la mujer minera, comunidades étnicas."/>
    <s v="Unidades de negocio implementadas para la transformación de metales preciosos que fortalezcan productivamente y económicamente a los mineros haciendo énfasis en la mujer minera, comunidades étnicas."/>
    <n v="0"/>
    <n v="7"/>
    <m/>
    <n v="0.15"/>
    <n v="2.1428571428571429E-2"/>
    <n v="1"/>
    <m/>
    <n v="0.15"/>
    <n v="0.15"/>
    <s v="Incremento"/>
    <m/>
    <s v="MINAS Y ENERGIA "/>
    <n v="21"/>
    <s v="5. IGUALDAD DE GÉNERO"/>
    <s v="SECRETARÍA DE MINAS Y ENERGÍA   "/>
    <m/>
    <m/>
    <m/>
  </r>
  <r>
    <x v="1"/>
    <x v="1"/>
    <m/>
    <m/>
    <x v="11"/>
    <x v="11"/>
    <m/>
    <m/>
    <x v="39"/>
    <x v="39"/>
    <n v="0.1"/>
    <n v="0.5"/>
    <m/>
    <s v="Reducir los índices de ilegalidad mediante la implementación de programas de legalización de minería y de formalización de esta forma aumentar la productividad y competitividad ."/>
    <s v="Reforestación de bosques afectados por actividad minera"/>
    <n v="332"/>
    <n v="1500"/>
    <m/>
    <s v="Áreas de recuperación de ecosistemas intervenidos por la minería"/>
    <s v="Áreas de recuperación de ecosistemas intervenidos por la minería"/>
    <n v="332"/>
    <n v="1500"/>
    <m/>
    <m/>
    <n v="0"/>
    <m/>
    <m/>
    <m/>
    <s v="NP"/>
    <s v="Incremento"/>
    <m/>
    <s v="MINAS Y ENERGIA "/>
    <n v="21"/>
    <s v="15. VIDA DE ECOSISTEMAS TERRESTR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Actualización del censo y caracterización minera"/>
    <s v="Actualización del censo y caracterización minera"/>
    <n v="1"/>
    <n v="1"/>
    <n v="0"/>
    <n v="0.5"/>
    <n v="0.5"/>
    <n v="1"/>
    <n v="0"/>
    <n v="0.5"/>
    <n v="0.5"/>
    <s v="Mantenimiento"/>
    <m/>
    <s v="MINAS Y ENERGIA "/>
    <n v="21"/>
    <s v="12. PRODUCCIÓN Y CONSUMO RESPONSABL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Implementación de Catastro Multipropósito para el sector de influencia minera"/>
    <s v="Implementación de Catastro Multipropósito para el sector de influencia minera"/>
    <n v="0"/>
    <n v="1"/>
    <m/>
    <m/>
    <n v="0"/>
    <m/>
    <m/>
    <m/>
    <s v="NP"/>
    <s v="Incremento"/>
    <m/>
    <s v="MINAS Y ENERGIA "/>
    <n v="21"/>
    <s v="12. PRODUCCIÓN Y CONSUMO RESPONSABL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UPM formalizadas "/>
    <s v="UPM formalizadas "/>
    <n v="3"/>
    <n v="10"/>
    <m/>
    <m/>
    <n v="0"/>
    <m/>
    <m/>
    <m/>
    <s v="NP"/>
    <s v="Incremento"/>
    <m/>
    <s v="MINAS Y ENERGIA "/>
    <n v="21"/>
    <s v="12. PRODUCCIÓN Y CONSUMO RESPONSABL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Minas ilegales controladas"/>
    <s v="Minas ilegales controladas"/>
    <s v="No Definido"/>
    <n v="6"/>
    <m/>
    <m/>
    <n v="0"/>
    <m/>
    <m/>
    <m/>
    <s v="NP"/>
    <s v="Incremento"/>
    <m/>
    <s v="MINAS Y ENERGIA "/>
    <n v="21"/>
    <s v="12. PRODUCCIÓN Y CONSUMO RESPONSABLES"/>
    <s v="SECRETARÍA DE MINAS Y ENERGÍA   "/>
    <m/>
    <m/>
    <m/>
  </r>
  <r>
    <x v="1"/>
    <x v="1"/>
    <m/>
    <m/>
    <x v="11"/>
    <x v="11"/>
    <m/>
    <m/>
    <x v="40"/>
    <x v="40"/>
    <n v="5.5555555555555552E-2"/>
    <n v="0.5"/>
    <m/>
    <s v="Desarrollo social de las comunidades mineras asentadas en la Serranía de SAN Lucas "/>
    <s v="Espacios de integración para la convivencia. Asentamientos integrados mediante la dotación y organización de eventos deportivos culturales _x000a_y artísticos"/>
    <n v="0"/>
    <n v="2"/>
    <m/>
    <s v="Proyectos productivos y de integración implementados en el marco de la estrategia de desarrollo alternativo que fomenten y fortalezcan la capacidad productiva y comercial _x000a_en los territorios donde se lleva a cabo la explotación minera"/>
    <s v="Proyectos productivos y de integración implementados en el marco de la estrategia de desarrollo alternativo que fomenten y fortalezcan la capacidad productiva y comercial _x000a_en los territorios donde se lleva a cabo la explotación minera"/>
    <n v="0"/>
    <n v="100"/>
    <m/>
    <m/>
    <n v="0"/>
    <m/>
    <m/>
    <m/>
    <s v="NP"/>
    <s v="Incremento"/>
    <m/>
    <s v="MINAS Y ENERGIA "/>
    <n v="21"/>
    <s v="3. SALUD Y BIENESTAR"/>
    <s v="SECRETARÍA DE MINAS Y ENERGÍA   "/>
    <m/>
    <m/>
    <m/>
  </r>
  <r>
    <x v="1"/>
    <x v="1"/>
    <m/>
    <m/>
    <x v="11"/>
    <x v="11"/>
    <m/>
    <m/>
    <x v="40"/>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Foros realizados"/>
    <s v="Proyectos productivos y de integración implementados en el marco de la estrategia de desarrollo alternativo que fomenten y fortalezcan la capacidad productiva y comercial _x000a_en los territorios donde se lleva a cabo la explotación minera"/>
    <n v="0"/>
    <n v="3"/>
    <n v="0"/>
    <n v="0.5"/>
    <n v="0.16666666666666666"/>
    <n v="1"/>
    <n v="0"/>
    <n v="0.5"/>
    <n v="0.5"/>
    <s v="Incremento"/>
    <m/>
    <s v="MINAS Y ENERGIA "/>
    <n v="21"/>
    <s v="3. SALUD Y BIENESTAR"/>
    <s v="SECRETARÍA DE MINAS Y ENERGÍA   "/>
    <m/>
    <m/>
    <m/>
  </r>
  <r>
    <x v="1"/>
    <x v="1"/>
    <m/>
    <m/>
    <x v="11"/>
    <x v="11"/>
    <m/>
    <m/>
    <x v="40"/>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Programas de Deporte y _x000a_Recreación para la convivencia _x000a_en las zonas mineras"/>
    <s v="Programas de Deporte y _x000a_Recreación para la convivencia _x000a_en las zonas mineras"/>
    <n v="0"/>
    <n v="2"/>
    <m/>
    <m/>
    <n v="0"/>
    <m/>
    <m/>
    <m/>
    <s v="NP"/>
    <s v="Incremento"/>
    <m/>
    <s v="MINAS Y ENERGIA "/>
    <n v="21"/>
    <s v="3. SALUD Y BIENESTAR"/>
    <s v="SECRETARÍA DE MINAS Y ENERGÍA   "/>
    <m/>
    <m/>
    <m/>
  </r>
  <r>
    <x v="1"/>
    <x v="1"/>
    <m/>
    <m/>
    <x v="11"/>
    <x v="11"/>
    <m/>
    <m/>
    <x v="41"/>
    <x v="41"/>
    <n v="4.9999999999999996E-2"/>
    <n v="0.6"/>
    <m/>
    <s v="Incrementar la cobertura de gas natural domiciliario en municipios donde este esta ausente"/>
    <s v="Aumentar la cobertura de gas"/>
    <s v="84.6 %"/>
    <n v="0.93"/>
    <m/>
    <s v="Hogares conectados a las redes de gas natural Red de distribución."/>
    <s v="Hogares conectados a las redes de gas natural Red de distribución."/>
    <n v="325000"/>
    <n v="357500"/>
    <m/>
    <m/>
    <n v="0"/>
    <m/>
    <m/>
    <m/>
    <s v="NP"/>
    <s v="Incremento"/>
    <m/>
    <s v="MINAS Y ENERGIA "/>
    <n v="21"/>
    <s v="7. ENERGÍA ASEQUIBLE Y NO CONTAMINANTE"/>
    <s v="SECRETARÍA DE MINAS Y ENERGÍA   "/>
    <m/>
    <m/>
    <m/>
  </r>
  <r>
    <x v="1"/>
    <x v="1"/>
    <m/>
    <m/>
    <x v="11"/>
    <x v="11"/>
    <m/>
    <m/>
    <x v="41"/>
    <x v="41"/>
    <m/>
    <m/>
    <m/>
    <s v="Aumentar la cobertura de energia en el departamento implementando sistemas solares fotovoltaicos como alternativa de conexión a nuevos usuarios"/>
    <s v="Aumentar la cobertura de energía"/>
    <s v="88.96%"/>
    <n v="0.93"/>
    <m/>
    <s v="Hogares conectados a las redes de energía convencional y no convencional."/>
    <s v="Hogares conectados a las redes de energía convencional y no convencional."/>
    <n v="369"/>
    <n v="3000"/>
    <n v="0.6"/>
    <n v="0.15"/>
    <n v="0.15"/>
    <n v="313"/>
    <n v="0"/>
    <n v="0.6"/>
    <n v="0.6"/>
    <s v="Incremento"/>
    <m/>
    <s v="MINAS Y ENERGIA "/>
    <n v="21"/>
    <s v="7. ENERGÍA ASEQUIBLE Y NO CONTAMINANTE"/>
    <s v="SECRETARÍA DE MINAS Y ENERGÍA   "/>
    <m/>
    <m/>
    <m/>
  </r>
  <r>
    <x v="1"/>
    <x v="1"/>
    <m/>
    <m/>
    <x v="11"/>
    <x v="11"/>
    <m/>
    <m/>
    <x v="41"/>
    <x v="41"/>
    <m/>
    <m/>
    <m/>
    <s v="Aumentar la cobertura de energia en el departamento implementando sistemas solares fotovoltaicos como alternativa de conexión a nuevos usuarios"/>
    <s v="Aumentar la cobertura de energía"/>
    <s v="88.96%"/>
    <n v="0.93"/>
    <m/>
    <s v="Proyectos de generación de energía alternativas o no convencionales en áreas públicas o privadas"/>
    <s v="Proyectos de generación de energía alternativas o no convencionales en áreas públicas o privadas"/>
    <n v="1"/>
    <n v="3"/>
    <m/>
    <m/>
    <n v="0"/>
    <m/>
    <m/>
    <m/>
    <s v="NP"/>
    <s v="Incremento"/>
    <m/>
    <s v="MINAS Y ENERGIA "/>
    <n v="21"/>
    <s v="7. ENERGÍA ASEQUIBLE Y NO CONTAMINANTE"/>
    <s v="SECRETARÍA DE MINAS Y ENERGÍA   "/>
    <m/>
    <m/>
    <m/>
  </r>
  <r>
    <x v="1"/>
    <x v="1"/>
    <m/>
    <m/>
    <x v="12"/>
    <x v="12"/>
    <n v="0.24495726495726494"/>
    <n v="0.4"/>
    <x v="42"/>
    <x v="42"/>
    <n v="0.24495726495726494"/>
    <n v="0.4"/>
    <m/>
    <s v="Documento de lineamientos del Consejo Departamental de Turismo."/>
    <s v="Número de documentos de lineamientos del Consejo Departamental de Turismo."/>
    <n v="0"/>
    <n v="1"/>
    <m/>
    <s v="Documento de lineamientos del Consejo Departamental de Turismo diseñado"/>
    <s v="Número de Documento de lineamientos del Consejo Departamental de Turismo diseñado"/>
    <n v="0"/>
    <n v="1"/>
    <n v="0"/>
    <n v="0"/>
    <n v="0"/>
    <n v="0.22"/>
    <n v="0"/>
    <n v="0"/>
    <n v="0"/>
    <s v="Incremento"/>
    <m/>
    <s v="Turismo"/>
    <s v="A.13"/>
    <s v="8,12,14"/>
    <s v="ICULTUR"/>
    <m/>
    <m/>
    <m/>
  </r>
  <r>
    <x v="1"/>
    <x v="1"/>
    <m/>
    <m/>
    <x v="12"/>
    <x v="12"/>
    <m/>
    <m/>
    <x v="42"/>
    <x v="42"/>
    <m/>
    <m/>
    <m/>
    <s v="Ordenanza mediante la cual se convoque la conformación del Consejo Departamental de Turismo."/>
    <s v="Número de Ordenanzas mediante la cual se convoque la conformación del Consejo Departamental de Turismo."/>
    <n v="0"/>
    <n v="1"/>
    <m/>
    <s v="Ordenanza mediante la cual se convoque la conformación del Consejo Departamental de Turismo."/>
    <s v="Número de Ordenanzas mediante la cual se convoque la conformación del Consejo Departamental de Turismo."/>
    <n v="0"/>
    <n v="1"/>
    <m/>
    <m/>
    <n v="0"/>
    <m/>
    <m/>
    <m/>
    <s v="NP"/>
    <s v="Incremento"/>
    <m/>
    <s v="Turismo"/>
    <s v="A.13"/>
    <s v="8,12,14"/>
    <s v="ICULTUR/SECRETARÍA PRIVADA"/>
    <m/>
    <m/>
    <m/>
  </r>
  <r>
    <x v="1"/>
    <x v="1"/>
    <m/>
    <m/>
    <x v="12"/>
    <x v="12"/>
    <m/>
    <m/>
    <x v="42"/>
    <x v="42"/>
    <m/>
    <m/>
    <m/>
    <s v="Documentos de regulación organizacional para el Consejo Departamental de Turismo."/>
    <s v="Número de Documentos de regulación organizacional para el Consejo Departamental de Turismo."/>
    <n v="0"/>
    <n v="1"/>
    <m/>
    <s v="Documentos de regulación organizacional para el Consejo Departamental de Turismo."/>
    <s v="Número de Documentos de regulación organizacional para el Consejo Departamental de Turismo."/>
    <n v="0"/>
    <n v="1"/>
    <m/>
    <m/>
    <n v="0"/>
    <m/>
    <m/>
    <m/>
    <s v="NP"/>
    <s v="Incremento"/>
    <m/>
    <s v="Turismo"/>
    <s v="A.13"/>
    <s v="8,12,14"/>
    <s v="ICULTUR/SECRETARÍA PRIVADA"/>
    <m/>
    <m/>
    <m/>
  </r>
  <r>
    <x v="1"/>
    <x v="1"/>
    <m/>
    <m/>
    <x v="12"/>
    <x v="12"/>
    <m/>
    <m/>
    <x v="42"/>
    <x v="42"/>
    <m/>
    <m/>
    <m/>
    <s v="Acompañamiento técnico a municipios con vocación turística para la formulación de Planes de Desarrollo Turísticos"/>
    <s v="Porcentaje de municipios con vocación turistica con acompañamiento técnico para la formulación de Planes de Desarrollo Turistico realizado"/>
    <n v="0.5"/>
    <n v="1"/>
    <m/>
    <s v="Municipios con vocación turistica con acompañamiento técnico para la formulación de Planes de Desarrollo Turistico realizado"/>
    <s v="Porcentaje de municipios con vocación turistica con acompañamiento técnico para la formulación de Planes de Desarrollo Turistico realizado"/>
    <n v="0.5"/>
    <n v="1"/>
    <n v="0"/>
    <n v="1"/>
    <n v="1"/>
    <n v="18"/>
    <n v="0"/>
    <n v="18"/>
    <n v="1"/>
    <s v="Incremento"/>
    <m/>
    <s v="Turismo"/>
    <s v="A.13"/>
    <s v="8,12,14"/>
    <s v="ICULTUR/SECRETARÍA PRIVADA"/>
    <m/>
    <m/>
    <m/>
  </r>
  <r>
    <x v="1"/>
    <x v="1"/>
    <m/>
    <m/>
    <x v="12"/>
    <x v="12"/>
    <m/>
    <m/>
    <x v="42"/>
    <x v="42"/>
    <m/>
    <m/>
    <m/>
    <s v="Convenios de cooperación suscritos"/>
    <s v="Número de Convenios de cooperación suscritos"/>
    <n v="0"/>
    <n v="5"/>
    <m/>
    <s v="Convenios de cooperación suscritos"/>
    <s v="Número de Convenios de cooperación suscritos"/>
    <n v="0"/>
    <n v="5"/>
    <n v="0.4"/>
    <n v="1"/>
    <n v="0.2"/>
    <n v="2"/>
    <n v="1"/>
    <n v="1"/>
    <n v="0.5"/>
    <s v="Incremento"/>
    <m/>
    <s v="Turismo"/>
    <s v="A.13"/>
    <s v="8,12,14"/>
    <s v="ICULTUR"/>
    <m/>
    <m/>
    <m/>
  </r>
  <r>
    <x v="1"/>
    <x v="1"/>
    <m/>
    <m/>
    <x v="12"/>
    <x v="12"/>
    <m/>
    <m/>
    <x v="42"/>
    <x v="42"/>
    <m/>
    <m/>
    <m/>
    <s v="Acciones de articulación interinstitucional realizadas"/>
    <s v="Número de acciones de articulación interinstitucional realizadas"/>
    <n v="0"/>
    <n v="13"/>
    <m/>
    <s v="Acciones de articulación interinstitucional realizadas"/>
    <s v="Número de acciones de articulación interinstitucional realizadas"/>
    <n v="0"/>
    <n v="13"/>
    <n v="4"/>
    <n v="4"/>
    <n v="0.30769230769230771"/>
    <n v="4"/>
    <n v="1"/>
    <n v="0"/>
    <n v="0"/>
    <s v="Incremento"/>
    <m/>
    <s v="Turismo"/>
    <s v="A.13"/>
    <s v="8,12,14"/>
    <s v="ICULTUR/SECRETARÍA PRIVADA"/>
    <m/>
    <m/>
    <m/>
  </r>
  <r>
    <x v="1"/>
    <x v="1"/>
    <m/>
    <m/>
    <x v="12"/>
    <x v="12"/>
    <m/>
    <m/>
    <x v="42"/>
    <x v="42"/>
    <m/>
    <m/>
    <m/>
    <s v="Documento con estrategias de reactivación del sector turístico de Bolívar"/>
    <s v="Número de documentos con estrategias de reactivación del sector turístico de Bolívar"/>
    <n v="0"/>
    <n v="1"/>
    <m/>
    <s v="Documento con estrategias de reactivación del sector turístico de Bolívar"/>
    <s v="Número de documentos con estrategias de reractivación del sector turístico de Bolívar"/>
    <n v="0"/>
    <n v="1"/>
    <n v="0.4"/>
    <n v="0.4"/>
    <n v="0.4"/>
    <n v="1"/>
    <n v="0.4"/>
    <n v="0.4"/>
    <n v="0.4"/>
    <s v="Incremento"/>
    <m/>
    <s v="Turismo"/>
    <s v="A.13"/>
    <s v="8,12,14"/>
    <s v="ICULTUR"/>
    <m/>
    <m/>
    <m/>
  </r>
  <r>
    <x v="1"/>
    <x v="1"/>
    <m/>
    <m/>
    <x v="12"/>
    <x v="12"/>
    <m/>
    <m/>
    <x v="42"/>
    <x v="42"/>
    <m/>
    <m/>
    <m/>
    <s v="Realización de la estrategia_x000a_&quot;Bolívar pa' todo el mundo&quot; y_x000a_socialización de las tácticas de_x000a_comunicación. Incluyendo_x000a_manual de apropiación de_x000a_imagen para alcaldías y_x000a_empresarios turísticos."/>
    <s v="Número de Estrategia &quot;Bolívar pa' todo el mundo&quot; y_x000a_socialización de las tácticas de_x000a_comunicación, Incluyendo_x000a_manual de apropiación de_x000a_imagen para alcaldías y_x000a_empresarios turísticos realizada"/>
    <n v="0"/>
    <n v="1"/>
    <m/>
    <s v="Estrategia Bolívar Pa´Todo el mundo Implementada "/>
    <s v="Número de Estrategia &quot;Bolívar pa' todo el mundo&quot; y_x000a_socialización de las tácticas de_x000a_comunicación, Incluyendo_x000a_manual de apropiación de_x000a_imagen para alcaldías y_x000a_empresarios turísticos realizada"/>
    <n v="0"/>
    <n v="1"/>
    <n v="0.5"/>
    <n v="0.5"/>
    <n v="0.5"/>
    <n v="1"/>
    <n v="0.5"/>
    <n v="0.5"/>
    <n v="0.5"/>
    <s v="Incremento"/>
    <m/>
    <s v="Turismo"/>
    <s v="A.13"/>
    <s v="8,12,14"/>
    <s v="ICULTUR"/>
    <m/>
    <m/>
    <m/>
  </r>
  <r>
    <x v="1"/>
    <x v="1"/>
    <m/>
    <m/>
    <x v="12"/>
    <x v="12"/>
    <m/>
    <m/>
    <x v="42"/>
    <x v="42"/>
    <m/>
    <m/>
    <m/>
    <s v="Plan de promoción digital para temporadas turísticas"/>
    <s v="Número de planes de promoción digital para temporadas turísticas"/>
    <n v="0"/>
    <n v="1"/>
    <m/>
    <s v="Plan de promoción digital para temporadas turísticas diseñado"/>
    <s v="Número de planes de promoción digital para temporadas turísticas diseñado"/>
    <n v="0"/>
    <n v="1"/>
    <n v="0"/>
    <n v="0.5"/>
    <n v="0.5"/>
    <n v="0.5"/>
    <n v="0"/>
    <n v="0.5"/>
    <n v="1"/>
    <s v="Incremento"/>
    <m/>
    <s v="Turismo"/>
    <s v="A.13"/>
    <s v="8,12,14"/>
    <s v="ICULTUR"/>
    <m/>
    <m/>
    <m/>
  </r>
  <r>
    <x v="1"/>
    <x v="1"/>
    <m/>
    <m/>
    <x v="12"/>
    <x v="12"/>
    <m/>
    <m/>
    <x v="42"/>
    <x v="42"/>
    <m/>
    <m/>
    <m/>
    <s v="Realización de ruedas de negocio para el encadenamiento "/>
    <s v="Número de ruedas de negocio para el encadenamiento realizadas"/>
    <n v="7"/>
    <n v="10"/>
    <m/>
    <s v="Ruedas de negocio para el encadenamiento realizadas"/>
    <s v="Número de ruedas de negocio para el encadenamiento realizadas"/>
    <n v="7"/>
    <n v="10"/>
    <n v="0.1"/>
    <n v="1"/>
    <n v="0.1"/>
    <n v="1"/>
    <n v="1"/>
    <n v="1"/>
    <n v="1"/>
    <s v="Incremento"/>
    <m/>
    <s v="Turismo"/>
    <s v="A.13"/>
    <s v="8,12,14"/>
    <s v="ICULTUR"/>
    <m/>
    <m/>
    <m/>
  </r>
  <r>
    <x v="1"/>
    <x v="1"/>
    <m/>
    <m/>
    <x v="12"/>
    <x v="12"/>
    <m/>
    <m/>
    <x v="42"/>
    <x v="42"/>
    <m/>
    <m/>
    <m/>
    <s v="Realización de Fam trips y press trips "/>
    <s v="Número de Fam trips y press trips realizados"/>
    <n v="16"/>
    <n v="16"/>
    <m/>
    <s v="Fam trips y press trips realizados "/>
    <s v="Número de Fam trips y press trips realizados"/>
    <n v="16"/>
    <n v="16"/>
    <m/>
    <m/>
    <n v="0"/>
    <m/>
    <m/>
    <m/>
    <s v="NP"/>
    <s v="Mantenimiento"/>
    <m/>
    <s v="Turismo"/>
    <s v="A.13"/>
    <s v="8,12,14"/>
    <s v="ICULTUR"/>
    <m/>
    <m/>
    <m/>
  </r>
  <r>
    <x v="1"/>
    <x v="1"/>
    <m/>
    <m/>
    <x v="12"/>
    <x v="12"/>
    <m/>
    <m/>
    <x v="42"/>
    <x v="42"/>
    <m/>
    <m/>
    <m/>
    <s v="Gestión de formaciones con entidades aliadas para fortalecimiento del ICT"/>
    <s v="Numero de espacios de formaciones con entidades aliadas para fortalecimiento del ICT gestionados "/>
    <n v="0"/>
    <n v="15"/>
    <m/>
    <s v="Espacios de formaciones con entidades aliadas para fortalecimiento del ICP gestionados "/>
    <s v="Numero de espacios de formaciones con entidades aliadas para fortalecimiento del ICP gestionados "/>
    <n v="0"/>
    <n v="15"/>
    <n v="0.13"/>
    <n v="10"/>
    <n v="0.66666666666666663"/>
    <n v="3"/>
    <n v="0.66"/>
    <n v="0"/>
    <n v="0"/>
    <s v="Incremento"/>
    <m/>
    <s v="Turismo"/>
    <s v="A.13"/>
    <s v="8,12,14"/>
    <s v="ICULTUR"/>
    <m/>
    <m/>
    <m/>
  </r>
  <r>
    <x v="1"/>
    <x v="1"/>
    <m/>
    <m/>
    <x v="12"/>
    <x v="12"/>
    <m/>
    <m/>
    <x v="42"/>
    <x v="42"/>
    <m/>
    <m/>
    <m/>
    <s v="Asistir y asesorar en los sistemas de recolección de datos para medir impactos, número de visitantes y perfil del turista"/>
    <s v="Número de asistencias y asesorias a municipios en sistemas de recolección de datos para medir impactos, numero de visitantes y perfil del turista realizadas"/>
    <n v="0"/>
    <n v="10"/>
    <m/>
    <s v="Asistencias y asesorias a municipios en sistemas de recolección de datos para medir impactos, numero de visitantes y perfil del turista realizadas"/>
    <s v="Número de asistencias y asesorias a municipios en sistemas de recolección de datos para medir impactos, numero de visitantes y perfil del turista realizadas"/>
    <n v="0"/>
    <n v="10"/>
    <n v="0"/>
    <n v="0"/>
    <n v="0"/>
    <n v="1"/>
    <n v="0"/>
    <n v="0"/>
    <n v="0"/>
    <s v="Incremento"/>
    <m/>
    <s v="Turismo"/>
    <s v="A.13"/>
    <s v="8,12,14"/>
    <s v="ICULTUR"/>
    <m/>
    <m/>
    <m/>
  </r>
  <r>
    <x v="1"/>
    <x v="1"/>
    <m/>
    <m/>
    <x v="12"/>
    <x v="12"/>
    <m/>
    <m/>
    <x v="42"/>
    <x v="42"/>
    <m/>
    <m/>
    <m/>
    <s v="Construcción de sendero turístico "/>
    <s v="Porcentaje de obra de sendero turistico construido"/>
    <n v="0"/>
    <n v="1"/>
    <m/>
    <s v="obra de sendero turistico construido"/>
    <s v="Porcentaje de obra de sendero turistico construido"/>
    <n v="0"/>
    <n v="1"/>
    <n v="0"/>
    <n v="0"/>
    <n v="0"/>
    <n v="0.1"/>
    <n v="0"/>
    <n v="0"/>
    <n v="0"/>
    <s v="Incremento"/>
    <m/>
    <s v="Turismo"/>
    <s v="A.13"/>
    <s v="8,12,14"/>
    <s v="ICULTUR"/>
    <m/>
    <m/>
    <m/>
  </r>
  <r>
    <x v="1"/>
    <x v="1"/>
    <m/>
    <m/>
    <x v="12"/>
    <x v="12"/>
    <m/>
    <m/>
    <x v="42"/>
    <x v="42"/>
    <m/>
    <m/>
    <m/>
    <s v="Construcción/mantenimiento de infraestructura turística"/>
    <s v="Numero de infraestructura turistica construida/mantenida "/>
    <n v="3"/>
    <n v="3"/>
    <m/>
    <s v="Infraestructura turistica construida/mantenida "/>
    <s v="Numero de infraestructura turistica construida/mantenida "/>
    <n v="3"/>
    <n v="3"/>
    <m/>
    <m/>
    <n v="0"/>
    <m/>
    <m/>
    <m/>
    <s v="NP"/>
    <s v="Mantenimiento"/>
    <m/>
    <s v="Turismo"/>
    <s v="A.13"/>
    <s v="8,12,14"/>
    <s v="ICULTUR"/>
    <m/>
    <m/>
    <m/>
  </r>
  <r>
    <x v="1"/>
    <x v="1"/>
    <m/>
    <m/>
    <x v="13"/>
    <x v="13"/>
    <n v="0"/>
    <s v="NP"/>
    <x v="43"/>
    <x v="43"/>
    <n v="0"/>
    <s v="NP"/>
    <m/>
    <s v="Fomentar en 14 municipios  la política de trabajo decente"/>
    <s v="Fomentar en 14 municipios  la política de trabajo decente"/>
    <n v="0"/>
    <n v="14"/>
    <m/>
    <s v="Alcanzar 15 municipios con enfoque poblacional fomentando el teletrabajo. "/>
    <s v="Alcanzar 15 municipios con enfoque poblacional fomentando el teletrabajo. "/>
    <n v="0"/>
    <n v="15"/>
    <m/>
    <m/>
    <n v="0"/>
    <m/>
    <m/>
    <m/>
    <s v="NP"/>
    <s v="Incremento"/>
    <m/>
    <n v="7"/>
    <n v="5"/>
    <n v="3"/>
    <s v="SECRETARÍA DE PLANEACIÓN"/>
    <m/>
    <m/>
    <m/>
  </r>
  <r>
    <x v="1"/>
    <x v="1"/>
    <m/>
    <m/>
    <x v="13"/>
    <x v="13"/>
    <m/>
    <m/>
    <x v="43"/>
    <x v="43"/>
    <m/>
    <m/>
    <m/>
    <s v="Fomentar en 14 municipios  la política de trabajo decente"/>
    <s v="Fomentar en 14 municipios  la política de trabajo decente"/>
    <n v="0"/>
    <n v="14"/>
    <m/>
    <s v="Realizar 1 Alianza con MINTIC y MINTRABAJO para la implementación del teletrabajo "/>
    <s v="Realizar 1 Alianza con MINTIC y MINTRABAJO para la implementación del teletrabajo "/>
    <n v="0"/>
    <n v="1"/>
    <m/>
    <m/>
    <n v="0"/>
    <m/>
    <m/>
    <m/>
    <s v="NP"/>
    <s v="Incremento"/>
    <m/>
    <n v="1"/>
    <n v="0"/>
    <n v="0"/>
    <s v="SECRETARÍA DE PLANEACIÓN"/>
    <m/>
    <m/>
    <m/>
  </r>
  <r>
    <x v="1"/>
    <x v="1"/>
    <m/>
    <m/>
    <x v="13"/>
    <x v="13"/>
    <m/>
    <m/>
    <x v="43"/>
    <x v="43"/>
    <m/>
    <m/>
    <m/>
    <s v="Fomentar en 14 municipios  la política de trabajo decente"/>
    <s v="Fomentar en 14 municipios  la política de trabajo decente"/>
    <n v="0"/>
    <n v="14"/>
    <m/>
    <s v="Apoyar 15 empresas apoyadas que promuevan la política de protección laboral "/>
    <s v="Apoyar 15 empresas apoyadas que promuevan la política de protección laboral "/>
    <n v="0"/>
    <n v="600"/>
    <m/>
    <m/>
    <n v="0"/>
    <m/>
    <m/>
    <m/>
    <s v="NP"/>
    <s v="Incremento"/>
    <m/>
    <n v="200"/>
    <n v="300"/>
    <n v="100"/>
    <s v="SECRETARÍA DE PLANEACIÓN"/>
    <m/>
    <m/>
    <m/>
  </r>
  <r>
    <x v="1"/>
    <x v="1"/>
    <m/>
    <m/>
    <x v="13"/>
    <x v="13"/>
    <m/>
    <m/>
    <x v="43"/>
    <x v="43"/>
    <m/>
    <m/>
    <m/>
    <s v="Fomentar en 14 municipios  la política de trabajo decente"/>
    <s v="Fomentar en 14 municipios  la política de trabajo decente"/>
    <m/>
    <m/>
    <m/>
    <s v="Número de municipios con_x000a_enfoque poblacional_x000a_fomentando el teletrabajo"/>
    <s v="Número de municipios con enfoque poblacional fomentando el teletrabajo"/>
    <n v="0"/>
    <n v="15"/>
    <m/>
    <m/>
    <n v="0"/>
    <m/>
    <m/>
    <m/>
    <s v="NP"/>
    <m/>
    <m/>
    <m/>
    <m/>
    <m/>
    <m/>
    <m/>
    <m/>
    <m/>
  </r>
  <r>
    <x v="1"/>
    <x v="1"/>
    <m/>
    <m/>
    <x v="13"/>
    <x v="13"/>
    <m/>
    <m/>
    <x v="44"/>
    <x v="44"/>
    <n v="0"/>
    <s v="NP"/>
    <m/>
    <s v="% de Personas que participan en las campañas para acceder al auxilio BEPS en Bolívar."/>
    <s v="% de Personas que participan en las campañas para acceder al auxilio BEPS en Bolívar."/>
    <n v="0"/>
    <n v="0.1"/>
    <m/>
    <s v="Realizar 10 campañas y/o intervenciones, talleres, eventos y foros, realizados"/>
    <s v="Realizar 10 campañas y/o intervenciones, talleres, eventos y foros, realizados"/>
    <n v="0"/>
    <n v="10"/>
    <m/>
    <m/>
    <n v="0"/>
    <m/>
    <m/>
    <m/>
    <s v="NP"/>
    <s v="Incremento"/>
    <m/>
    <n v="4"/>
    <n v="4"/>
    <n v="2"/>
    <s v="SECRETARÍA DE PLANEACIÓN"/>
    <m/>
    <m/>
    <m/>
  </r>
  <r>
    <x v="1"/>
    <x v="1"/>
    <m/>
    <m/>
    <x v="14"/>
    <x v="14"/>
    <n v="9.8831168831168853E-2"/>
    <n v="0.7"/>
    <x v="45"/>
    <x v="45"/>
    <n v="0.33333333333333337"/>
    <n v="0.75"/>
    <m/>
    <s v="Índice de fortalecimiento territorial en términos de CTeI"/>
    <s v="Índice de fortalecimiento territorial en términos de CTeI"/>
    <s v="ND"/>
    <n v="0.3"/>
    <m/>
    <s v="Actualización del Plan Estratégico de Ciencia e innovación en el Departamento."/>
    <s v="Actualización del Plan Estratégico de Ciencia e innovación en el Departamento."/>
    <n v="1"/>
    <n v="1"/>
    <n v="0.5"/>
    <n v="0.5"/>
    <n v="0.5"/>
    <n v="1"/>
    <n v="0.5"/>
    <n v="0.5"/>
    <n v="0.5"/>
    <s v="Mantenimi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5"/>
    <x v="45"/>
    <m/>
    <m/>
    <m/>
    <s v="Índice de fortalecimiento territorial en términos de CTeI"/>
    <s v="Índice de fortalecimiento territorial en términos de CTeI"/>
    <s v="ND"/>
    <n v="0.3"/>
    <m/>
    <s v="Fortalecimiento de las instancias donde se ejerce la gobernanza de la CTeI."/>
    <s v="Actualización del Plan Estratégico de Ciencia e innovación en el Departamento."/>
    <n v="0.7"/>
    <n v="0.3"/>
    <n v="0.03"/>
    <n v="0.05"/>
    <n v="0.16666666666666669"/>
    <n v="0.05"/>
    <n v="0.03"/>
    <n v="0.05"/>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n v="4.3888888888888894E-2"/>
    <n v="0.69999999999999984"/>
    <m/>
    <s v="Intercambio de conocimiento entre lo tradicional y lo científico"/>
    <s v="Intercambio de conocimiento entre lo tradicional y lo científico"/>
    <s v="ND"/>
    <n v="0.05"/>
    <m/>
    <s v="Número de personas beneficiadas por los procesos de fortalecimiento de capacidades."/>
    <s v="Actualización del Plan Estratégico de Ciencia e innovación en el Departamento."/>
    <n v="100"/>
    <n v="800"/>
    <n v="10"/>
    <n v="40"/>
    <n v="0.05"/>
    <n v="50"/>
    <n v="10"/>
    <n v="40"/>
    <n v="0.8"/>
    <s v="Incremento"/>
    <s v="Proyecto de Turismo Científico"/>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1000 personas que contribuyen en el desarrollo de proyectos de I+D+i."/>
    <s v="Actualización del Plan Estratégico de Ciencia e innovación en el Departamento."/>
    <n v="400"/>
    <n v="1000"/>
    <n v="30"/>
    <n v="50"/>
    <n v="0.05"/>
    <n v="50"/>
    <n v="30"/>
    <n v="50"/>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20 grupos que lograron fortalecer sus capacidades en CTeI."/>
    <s v="Actualización del Plan Estratégico de Ciencia e innovación en el Departamento."/>
    <n v="0"/>
    <n v="20"/>
    <n v="0"/>
    <n v="1"/>
    <n v="0.05"/>
    <n v="1"/>
    <n v="0"/>
    <n v="1"/>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300 producción científica realizada por beneficiarios."/>
    <s v="Actualización del Plan Estratégico de Ciencia e innovación en el Departamento."/>
    <n v="0"/>
    <n v="300"/>
    <n v="12"/>
    <n v="16"/>
    <n v="5.3333333333333337E-2"/>
    <n v="20"/>
    <n v="12"/>
    <n v="16"/>
    <n v="0.8"/>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Innovación de las capacidades empresariales. "/>
    <s v="Actualización del Plan Estratégico de Ciencia e innovación en el Departamento."/>
    <n v="0"/>
    <n v="50"/>
    <n v="2"/>
    <n v="3"/>
    <n v="0.06"/>
    <n v="5"/>
    <n v="2"/>
    <n v="3"/>
    <n v="0.6"/>
    <s v="Incremento"/>
    <s v="Proyecto de Innovación empresarial "/>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200 empresas con prototipo diseñado. "/>
    <s v="Actualización del Plan Estratégico de Ciencia e innovación en el Departamento."/>
    <n v="0"/>
    <n v="200"/>
    <n v="0"/>
    <n v="0"/>
    <n v="0"/>
    <n v="10"/>
    <n v="0"/>
    <n v="0"/>
    <n v="0"/>
    <s v="Incremento"/>
    <s v="Proyecto de innovación empresarial UDC"/>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7"/>
    <x v="47"/>
    <n v="7.857142857142857E-2"/>
    <n v="1"/>
    <m/>
    <s v="Fortalecimiento de las capacidades científicas de alto nivel"/>
    <s v="Fortalecimiento de las capacidades científicas de alto nivel"/>
    <n v="25"/>
    <n v="350"/>
    <m/>
    <s v="No de beneficiarios graduados en formación de alto Nivel."/>
    <s v="Actualización del Plan Estratégico de Ciencia e innovación en el Departamento."/>
    <n v="25"/>
    <n v="350"/>
    <n v="10"/>
    <n v="20"/>
    <n v="5.7142857142857141E-2"/>
    <n v="20"/>
    <n v="10"/>
    <n v="20"/>
    <n v="1"/>
    <s v="Incremento"/>
    <s v="Proyectos Ceiba y becas Docentes"/>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7"/>
    <x v="47"/>
    <m/>
    <m/>
    <m/>
    <s v="Fortalecimiento de las capacidades científicas de alto nivel"/>
    <s v="Fortalecimiento de las capacidades científicas de alto nivel"/>
    <n v="25"/>
    <n v="350"/>
    <m/>
    <s v="Número de producción científica realizada por beneficiarios."/>
    <s v="Actualización del Plan Estratégico de Ciencia e innovación en el Departamento."/>
    <n v="10"/>
    <n v="50"/>
    <n v="3"/>
    <n v="5"/>
    <n v="0.1"/>
    <n v="5"/>
    <n v="3"/>
    <n v="5"/>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8"/>
    <x v="48"/>
    <n v="0"/>
    <n v="0"/>
    <m/>
    <s v="Ampliación de las capacidades de innovación empresarial."/>
    <s v="Ampliación de las capacidades de innovación empresarial."/>
    <n v="0"/>
    <n v="200"/>
    <m/>
    <s v="Número de empresas con prototipos diseñados "/>
    <s v="Actualización del Plan Estratégico de Ciencia e innovación en el Departamento."/>
    <n v="0"/>
    <n v="200"/>
    <n v="0"/>
    <n v="0"/>
    <n v="0"/>
    <n v="20"/>
    <n v="0"/>
    <n v="0"/>
    <n v="0"/>
    <s v="Incremento"/>
    <s v="Fortalecimiento del tejido empresarial "/>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5"/>
    <x v="15"/>
    <n v="0"/>
    <s v="NP"/>
    <x v="49"/>
    <x v="49"/>
    <n v="0"/>
    <s v="NP"/>
    <m/>
    <s v="Ampliación de cobertura en educación superior y para el trabajo"/>
    <s v="Ampliación de cobertura en educación_x000a_superior y para el trabajo"/>
    <n v="74157"/>
    <n v="75757"/>
    <m/>
    <s v="Nuevas instituciones de_x000a_Educación Superior creadas"/>
    <s v="Nuevas instituciones de_x000a_Educación Superior creadas"/>
    <n v="0"/>
    <n v="1"/>
    <m/>
    <m/>
    <n v="0"/>
    <m/>
    <m/>
    <m/>
    <s v="NP"/>
    <s v="Incremento "/>
    <m/>
    <m/>
    <m/>
    <m/>
    <s v="DESPACHO DEL GOBERNADOR"/>
    <m/>
    <m/>
    <m/>
  </r>
  <r>
    <x v="1"/>
    <x v="1"/>
    <m/>
    <m/>
    <x v="15"/>
    <x v="15"/>
    <m/>
    <m/>
    <x v="49"/>
    <x v="49"/>
    <m/>
    <m/>
    <m/>
    <s v="Ampliación de cobertura en educación superior y para el trabajo"/>
    <s v="Ampliación de cobertura en educación_x000a_superior y para el trabajo"/>
    <n v="74157"/>
    <n v="75757"/>
    <m/>
    <s v="Cupos nuevos creados en_x000a_Educación Superior para ser_x000a_ofertados en el Dpto. de Bolívar"/>
    <s v="Cupos nuevos creados en_x000a_Educación Superior para ser_x000a_ofertados en el Dpto. de Bolívar"/>
    <n v="0"/>
    <n v="600"/>
    <m/>
    <m/>
    <n v="0"/>
    <m/>
    <m/>
    <m/>
    <s v="NP"/>
    <s v="Incremento "/>
    <m/>
    <m/>
    <m/>
    <m/>
    <s v="DESPACHO DEL GOBERNADOR"/>
    <m/>
    <m/>
    <m/>
  </r>
  <r>
    <x v="1"/>
    <x v="1"/>
    <m/>
    <m/>
    <x v="15"/>
    <x v="15"/>
    <m/>
    <m/>
    <x v="49"/>
    <x v="49"/>
    <m/>
    <m/>
    <m/>
    <s v="Ampliación de cobertura en educación superior y para el trabajo"/>
    <s v="Ampliación de cobertura en educación_x000a_superior y para el trabajo"/>
    <n v="74157"/>
    <n v="75757"/>
    <m/>
    <s v="Cupos nuevos creados en_x000a_Educación para el Trabajo y el_x000a_Desarrollo Humano para ser_x000a_ofertados en el Dpto. de Bolívar"/>
    <s v="Cupos nuevos creados en_x000a_Educación para el Trabajo y el_x000a_Desarrollo Humano para ser_x000a_ofertados en el Dpto. de Bolívar"/>
    <n v="0"/>
    <n v="1000"/>
    <m/>
    <m/>
    <n v="0"/>
    <m/>
    <m/>
    <m/>
    <s v="NP"/>
    <s v="Incremento "/>
    <m/>
    <m/>
    <m/>
    <m/>
    <s v="DESPACHO DEL GOBERNADOR"/>
    <m/>
    <m/>
    <m/>
  </r>
  <r>
    <x v="1"/>
    <x v="1"/>
    <m/>
    <m/>
    <x v="15"/>
    <x v="15"/>
    <m/>
    <m/>
    <x v="49"/>
    <x v="49"/>
    <m/>
    <m/>
    <m/>
    <s v="Ampliación de cobertura en educación superior y para el trabajo"/>
    <s v="Ampliación de cobertura en educación_x000a_superior y para el trabajo"/>
    <n v="74157"/>
    <n v="75757"/>
    <m/>
    <s v="Convenios con instituciones_x000a_de Educación para el Trabajo y_x000a_el Desarrollo humano"/>
    <s v="Convenios con instituciones_x000a_de Educación para el Trabajo y_x000a_el Desarrollo humano"/>
    <n v="0"/>
    <n v="3"/>
    <m/>
    <m/>
    <n v="0"/>
    <m/>
    <m/>
    <m/>
    <s v="NP"/>
    <s v="Incremento "/>
    <m/>
    <m/>
    <m/>
    <m/>
    <s v="DESPACHO DEL GOBERNADOR"/>
    <m/>
    <m/>
    <m/>
  </r>
  <r>
    <x v="2"/>
    <x v="2"/>
    <n v="5.7971014492753631E-2"/>
    <n v="0.75"/>
    <x v="16"/>
    <x v="16"/>
    <n v="3.3333333333333333E-2"/>
    <n v="1"/>
    <x v="50"/>
    <x v="50"/>
    <n v="3.3333333333333333E-2"/>
    <n v="1"/>
    <m/>
    <s v="Cobertura en Cartografías de las zonas limítrofes y demás zonas del departamento actualizadas"/>
    <s v="Número de Cartografías de las zonas limítrofes y demás zonas del departamento actualizadas"/>
    <n v="0"/>
    <n v="1"/>
    <m/>
    <s v="4 cartografias de las zonas limitrofes"/>
    <s v="4 cartografias de las zonas limitrofes"/>
    <n v="0"/>
    <n v="4"/>
    <m/>
    <m/>
    <n v="0"/>
    <m/>
    <m/>
    <m/>
    <s v="NP"/>
    <s v="Incremento "/>
    <m/>
    <s v="FORTALECIMIENTO INSTITUCIONAL"/>
    <s v="A.17"/>
    <s v="11.   CIUDADES Y COMUNIDADES SOSTENIBLES"/>
    <s v="SECRETARÍA DE DESARROLLO REGIONAL Y ORDENAMIENTO TERRITORIAL"/>
    <m/>
    <m/>
    <m/>
  </r>
  <r>
    <x v="2"/>
    <x v="2"/>
    <m/>
    <m/>
    <x v="16"/>
    <x v="16"/>
    <m/>
    <m/>
    <x v="50"/>
    <x v="50"/>
    <m/>
    <m/>
    <m/>
    <s v="Cobertura en Sistemas de Información Geográfica de la Gobernación con la información cartográfica Actualizadas"/>
    <s v="Número de Sistemas de_x000a_Información Geográfica de_x000a_la Gobernación con la_x000a_información cartográfica_x000a_Actualizadas"/>
    <n v="0"/>
    <n v="1"/>
    <m/>
    <s v="1 Sistemas de_x000a_Información Geográfica de_x000a_la Gobernación con la_x000a_información cartográfica_x000a_Actualizadas"/>
    <s v="1 Sistemas de_x000a_Información Geográfica de_x000a_la Gobernación con la_x000a_información cartográfica_x000a_Actualizadas"/>
    <n v="0"/>
    <n v="1"/>
    <m/>
    <m/>
    <n v="0"/>
    <m/>
    <m/>
    <m/>
    <s v="NP"/>
    <s v="Incremento "/>
    <m/>
    <s v="FORTALECIMIENTO IN+R326:U332STITUCIONAL"/>
    <s v="A.17"/>
    <s v="16. PAZ JUSTICIA E INSTITUCIONES SOLIDAS"/>
    <s v="SECRETARÍA DE DESARROLLO REGIONAL Y ORDENAMIENTO TERRITORIAL"/>
    <m/>
    <m/>
    <m/>
  </r>
  <r>
    <x v="2"/>
    <x v="2"/>
    <m/>
    <m/>
    <x v="16"/>
    <x v="16"/>
    <m/>
    <m/>
    <x v="50"/>
    <x v="50"/>
    <m/>
    <m/>
    <m/>
    <s v="Cobertura en Talleres de asistencias técnicas en las ZODES del departamento en_x000a_ordenamiento territorial realizados"/>
    <s v="Asistencias técnicas_x000a_municipal en ordenamiento_x000a_territorial."/>
    <n v="0"/>
    <n v="1"/>
    <m/>
    <s v="6 Talleres de asistencias técnicas en las ZODES del departamento en_x000a_ordenamiento territorial realizados"/>
    <s v="6 Talleres de asistencias técnicas en las ZODES del departamento en_x000a_ordenamiento territorial realizados"/>
    <n v="0"/>
    <n v="6"/>
    <n v="1"/>
    <n v="1"/>
    <n v="0.16666666666666666"/>
    <n v="1"/>
    <n v="1"/>
    <n v="1"/>
    <n v="1"/>
    <s v="Incremento "/>
    <m/>
    <s v="FORTALECIMIENTO INSTITUCIONAL"/>
    <s v="A.17"/>
    <s v="11.   CIUDADES Y COMUNIDADES SOSTENIBLES"/>
    <s v="SECRETARÍA DE DESARROLLO REGIONAL Y ORDENAMIENTO TERRITORIAL"/>
    <m/>
    <m/>
    <m/>
  </r>
  <r>
    <x v="2"/>
    <x v="2"/>
    <m/>
    <m/>
    <x v="16"/>
    <x v="16"/>
    <m/>
    <m/>
    <x v="50"/>
    <x v="50"/>
    <m/>
    <m/>
    <m/>
    <s v="Cobertura en Estudios de riesgos para el_x000a_ordenamiento territorial realizados."/>
    <s v="Número de Estudios de_x000a_riesgos para el ordenamiento territorial realizados."/>
    <n v="0"/>
    <n v="1"/>
    <m/>
    <s v="1 Estudios de riesgos para el_x000a_ordenamiento territorial realizados."/>
    <s v="1 Estudios de riesgos para el_x000a_ordenamiento territorial realizados."/>
    <n v="0"/>
    <n v="1"/>
    <m/>
    <m/>
    <n v="0"/>
    <m/>
    <m/>
    <m/>
    <s v="NP"/>
    <s v="Incremento "/>
    <m/>
    <s v="FORTALECIMIENTO INSTITUCIONAL"/>
    <s v="A.17"/>
    <s v="11.   CIUDADES Y COMUNIDADES SOSTENIBLES"/>
    <s v="SECRETARÍA DE DESARROLLO REGIONAL Y ORDENAMIENTO TERRITORIAL"/>
    <m/>
    <m/>
    <m/>
  </r>
  <r>
    <x v="2"/>
    <x v="2"/>
    <m/>
    <m/>
    <x v="16"/>
    <x v="16"/>
    <m/>
    <m/>
    <x v="50"/>
    <x v="50"/>
    <m/>
    <m/>
    <m/>
    <s v="Cobertura en Planes de ordenamiento territorial departamental aprobado."/>
    <s v="Plan de ordenamiento_x000a_territorial departamental_x000a_formulado y adoptado."/>
    <n v="0"/>
    <n v="1"/>
    <m/>
    <s v="1 Plan de ordenamiento territorial departamental_x000a_formulado y adoptado."/>
    <s v="1 Plan de ordenamiento territorial departamental_x000a_formulado y adoptado."/>
    <n v="0"/>
    <n v="1"/>
    <m/>
    <m/>
    <n v="0"/>
    <m/>
    <m/>
    <m/>
    <s v="NP"/>
    <s v="Incremento "/>
    <m/>
    <s v="FORTALECIMIENTO INSTITUCIONAL"/>
    <s v="A.17"/>
    <s v="11.   CIUDADES Y COMUNIDADES SOSTENIBLES"/>
    <s v="SECRETARÍA DE DESARROLLO REGIONAL Y ORDENAMIENTO TERRITORIAL"/>
    <m/>
    <m/>
    <m/>
  </r>
  <r>
    <x v="2"/>
    <x v="2"/>
    <m/>
    <m/>
    <x v="17"/>
    <x v="17"/>
    <n v="0.23333333333333334"/>
    <n v="0.66666666666666663"/>
    <x v="51"/>
    <x v="51"/>
    <n v="0.23333333333333334"/>
    <n v="0.66666666666666663"/>
    <m/>
    <s v="Cobertura en Áreas de_x000a_importancia estratégicas del_x000a_departamento de Bolívar_x000a_intervenidas"/>
    <s v="Número de Áreas de importancia estratégicas del departamento de Bolívar intervenidas"/>
    <n v="0.2727"/>
    <n v="0.81820000000000004"/>
    <m/>
    <s v="4  Áreas de importancia estratégicas del departamento de Bolívar intervenidas"/>
    <s v="4  Áreas de importancia estratégicas del departamento de Bolívar intervenidas"/>
    <n v="3"/>
    <n v="4"/>
    <n v="0"/>
    <n v="0"/>
    <n v="0"/>
    <n v="1"/>
    <n v="0"/>
    <n v="0"/>
    <n v="0"/>
    <s v="Incremento "/>
    <m/>
    <s v="AMBIENTAL"/>
    <s v="A.10"/>
    <s v="6.           AGUA LIMPIA Y SANEAMIENTO"/>
    <s v="SECRETARÍA DE DESARROLLO REGIONAL Y ORDENAMIENTO TERRITORIAL"/>
    <m/>
    <m/>
    <m/>
  </r>
  <r>
    <x v="2"/>
    <x v="2"/>
    <m/>
    <m/>
    <x v="17"/>
    <x v="17"/>
    <m/>
    <m/>
    <x v="51"/>
    <x v="51"/>
    <m/>
    <m/>
    <m/>
    <s v="Cobertura en Programas de_x000a_educación Ambiental_x000a_implementados en ZODES"/>
    <s v="Número de capacitaciones en educación ambiental desarrolladas en las Zodes del departamento de Bolívar"/>
    <n v="0.28570000000000001"/>
    <n v="0.57140000000000002"/>
    <m/>
    <s v="2 Programas de_x000a_educación Ambiental_x000a_implementados en ZODES"/>
    <s v="2 Programas de_x000a_educación Ambiental_x000a_implementados en ZODES"/>
    <n v="2"/>
    <n v="2"/>
    <n v="2"/>
    <n v="2"/>
    <n v="1"/>
    <n v="2"/>
    <n v="1"/>
    <n v="2"/>
    <n v="1"/>
    <s v="Incremento "/>
    <m/>
    <s v="AMBIENTAL"/>
    <s v="A.10"/>
    <s v="16.          VIDA DE ECOSISTEMAS TERRESTRES"/>
    <s v="SECRETARÍA DE DESARROLLO REGIONAL Y ORDENAMIENTO TERRITORIAL"/>
    <m/>
    <m/>
    <m/>
  </r>
  <r>
    <x v="2"/>
    <x v="2"/>
    <m/>
    <m/>
    <x v="17"/>
    <x v="17"/>
    <m/>
    <m/>
    <x v="51"/>
    <x v="51"/>
    <m/>
    <m/>
    <m/>
    <s v="Cobertura en talleres SIDAP_x000a_implementados"/>
    <s v="Número de talleres SIDAP realizados"/>
    <n v="0.5"/>
    <n v="1"/>
    <m/>
    <s v="6 talleres SIDAP_x000a_implementados"/>
    <s v="6 talleres SIDAP_x000a_implementados"/>
    <n v="6"/>
    <n v="6"/>
    <n v="1"/>
    <n v="1"/>
    <n v="0.16666666666666666"/>
    <n v="1"/>
    <n v="0"/>
    <n v="1"/>
    <n v="1"/>
    <s v="Incremento "/>
    <m/>
    <s v="AMBIENTAL"/>
    <s v="A.10"/>
    <s v="16.          VIDA DE ECOSISTEMAS TERRESTRES"/>
    <s v="SECRETARÍA DE DESARROLLO REGIONAL Y ORDENAMIENTO TERRITORIAL"/>
    <m/>
    <m/>
    <m/>
  </r>
  <r>
    <x v="2"/>
    <x v="2"/>
    <m/>
    <m/>
    <x v="17"/>
    <x v="17"/>
    <m/>
    <m/>
    <x v="51"/>
    <x v="51"/>
    <m/>
    <m/>
    <m/>
    <s v="% Cobertura en planes_x000a_institucionales de gestión_x000a_ambiental formulados"/>
    <s v="Planes institucionales de gestión ambiental formulados y aprobados"/>
    <n v="0.33329999999999999"/>
    <n v="0.66659999999999997"/>
    <m/>
    <s v="1 Plan institucionales de gestión ambiental formulados y aprobados"/>
    <s v="1 Plan institucionales de gestión ambiental formulados y aprobados"/>
    <n v="1"/>
    <n v="1"/>
    <m/>
    <m/>
    <n v="0"/>
    <m/>
    <m/>
    <m/>
    <s v="NP"/>
    <s v="Incremento "/>
    <m/>
    <s v="AMBIENTAL"/>
    <s v="A.10"/>
    <s v="16. PAZ JUSTICIA E INSTITUCIONES SOLIDAS"/>
    <s v="SECRETARÍA DE DESARROLLO REGIONAL Y ORDENAMIENTO TERRITORIAL"/>
    <m/>
    <m/>
    <m/>
  </r>
  <r>
    <x v="2"/>
    <x v="2"/>
    <m/>
    <m/>
    <x v="17"/>
    <x v="17"/>
    <m/>
    <m/>
    <x v="51"/>
    <x v="51"/>
    <m/>
    <m/>
    <m/>
    <s v="Cobertura de sistemas de_x000a_monitoreo ambiental_x000a_diseñados e implementados"/>
    <s v="Número de sistemas de monitoreo ambiental diseñados e implementados"/>
    <n v="0"/>
    <n v="1"/>
    <m/>
    <s v="1 sistemas de monitoreo ambiental diseñados e implementados"/>
    <s v="1 sistemas de monitoreo ambiental diseñados e implementados"/>
    <n v="0"/>
    <n v="1"/>
    <m/>
    <m/>
    <n v="0"/>
    <m/>
    <m/>
    <m/>
    <s v="NP"/>
    <s v="Incremento "/>
    <m/>
    <s v="AMBIENTAL"/>
    <s v="A.10"/>
    <s v="16.          VIDA DE ECOSISTEMAS TERRESTRES"/>
    <s v="SECRETARÍA DE DESARROLLO REGIONAL Y ORDENAMIENTO TERRITORIAL"/>
    <m/>
    <m/>
    <m/>
  </r>
  <r>
    <x v="2"/>
    <x v="2"/>
    <m/>
    <m/>
    <x v="18"/>
    <x v="18"/>
    <n v="0"/>
    <s v="NP"/>
    <x v="52"/>
    <x v="52"/>
    <n v="0"/>
    <s v="NP"/>
    <m/>
    <s v="Cobertura en formulación de_x000a_planes de adaptación y/o_x000a_mitigación al cambio climático_x000a_municipales"/>
    <s v="Plan Integral de Gestión al Cambio Climático del departamento de Bolívar formulado."/>
    <n v="0"/>
    <n v="1"/>
    <m/>
    <s v="1 Plan Integral de Gestión al Cambio Climático del departamento de Bolívar formulado."/>
    <s v="1 Plan Integral de Gestión al Cambio Climático del departamento de Bolívar formulado."/>
    <n v="0"/>
    <n v="1"/>
    <m/>
    <m/>
    <n v="0"/>
    <m/>
    <m/>
    <m/>
    <s v="NP"/>
    <s v="Incremento "/>
    <m/>
    <s v="AMBIENTAL"/>
    <s v="A.10"/>
    <s v="13.     ACCION POR EL CLIMA"/>
    <s v="SECRETARÍA DE DESARROLLO REGIONAL Y ORDENAMIENTO TERRITORIAL"/>
    <m/>
    <m/>
    <m/>
  </r>
  <r>
    <x v="2"/>
    <x v="2"/>
    <m/>
    <m/>
    <x v="18"/>
    <x v="18"/>
    <m/>
    <m/>
    <x v="52"/>
    <x v="52"/>
    <m/>
    <m/>
    <m/>
    <s v="Número de planes de_x000a_adaptación y/o la mitigación del_x000a_cambio climático municipales_x000a_asistidos"/>
    <s v="Número de planes de adaptación y/o la mitigación del cambio climático municipales asistidos"/>
    <n v="0"/>
    <n v="1"/>
    <m/>
    <s v="45 municipios asistidos en  planes de adaptación y/o la mitigación del cambio climático "/>
    <s v="45 municipios asistidos en  planes de adaptación y/o la mitigación del cambio climático "/>
    <n v="0"/>
    <n v="45"/>
    <m/>
    <m/>
    <n v="0"/>
    <m/>
    <m/>
    <m/>
    <s v="NP"/>
    <s v="Incremento "/>
    <m/>
    <s v="AMBIENTAL"/>
    <s v="A.10"/>
    <s v="13.     ACCION POR EL CLIMA"/>
    <s v="SECRETARÍA DE DESARROLLO REGIONAL Y ORDENAMIENTO TERRITORIAL"/>
    <m/>
    <m/>
    <m/>
  </r>
  <r>
    <x v="2"/>
    <x v="2"/>
    <m/>
    <m/>
    <x v="19"/>
    <x v="19"/>
    <n v="0"/>
    <s v="NP"/>
    <x v="53"/>
    <x v="53"/>
    <n v="0"/>
    <s v="NP"/>
    <m/>
    <s v="Incrementar en un 100% el número de beneficiados con educación y/o capacitación en temas de GRD y ACC:"/>
    <s v="Incrementar en un 100% el número de beneficiados con educación y/o capacitación en temas de GRD y ACC:"/>
    <n v="56"/>
    <n v="1"/>
    <m/>
    <s v="Incrementar el número de beneficiados con educación y/o capacitación en temas de GRD y ACC: Incrementar el número de beneficiados con educación y/o capacitación en temas de GRD y ACC:"/>
    <s v="Incrementar el número de beneficiados con educación y/o capacitación en temas de GRD y ACC: Incrementar el número de beneficiados con educación y/o capacitación en temas de GRD y ACC:"/>
    <n v="56"/>
    <n v="112"/>
    <m/>
    <m/>
    <n v="0"/>
    <m/>
    <m/>
    <m/>
    <s v="NP"/>
    <s v="Incremento"/>
    <m/>
    <m/>
    <m/>
    <m/>
    <s v="GESTIÓN DE RIESGO"/>
    <m/>
    <m/>
    <m/>
  </r>
  <r>
    <x v="2"/>
    <x v="2"/>
    <m/>
    <m/>
    <x v="19"/>
    <x v="19"/>
    <m/>
    <m/>
    <x v="53"/>
    <x v="53"/>
    <m/>
    <m/>
    <m/>
    <s v="Consolidar y formalizaren un 100% el proyecto normativo de ajuste al Plan Departamental de Gestión del Riesgos de Desastres ante la Asamblea Departamental de Bolívar"/>
    <s v="Consolidar y formalizaren un 100% el proyecto normativo de ajuste al Plan Departamental de Gestión del Riesgos de Desastres ante la Asamblea Departamental de Bolívar"/>
    <n v="0"/>
    <n v="1"/>
    <m/>
    <s v="Consolidar y formalizar proyectos normativos de ajuste al Plan Departamental de Gestión del Riesgos de Desastres ante la Asamblea Departamental de Bolívar"/>
    <s v="Consolidar y formalizar proyectos normativos de ajuste al Plan Departamental de Gestión del Riesgos de Desastres ante la Asamblea Departamental de Bolívar"/>
    <n v="0"/>
    <n v="1"/>
    <m/>
    <m/>
    <n v="0"/>
    <m/>
    <m/>
    <m/>
    <s v="NP"/>
    <s v="Incremento"/>
    <m/>
    <m/>
    <m/>
    <m/>
    <s v="GESTIÓN DE RIESGO"/>
    <m/>
    <m/>
    <m/>
  </r>
  <r>
    <x v="2"/>
    <x v="2"/>
    <m/>
    <m/>
    <x v="19"/>
    <x v="19"/>
    <m/>
    <m/>
    <x v="53"/>
    <x v="53"/>
    <m/>
    <m/>
    <m/>
    <s v="Asistir técnicamente al funcionamiento de los Comités municipales de Gestión del Riesgo en un 100%"/>
    <s v="Asistir técnicamente al funcionamiento de los Comités municipales de Gestión del Riesgo en un 100%"/>
    <n v="56"/>
    <n v="100"/>
    <m/>
    <s v="Asistir técnicamente al funcionamiento y reactivación de los Comités Municipales de Gestión del Riesgo"/>
    <s v="Asistir técnicamente al funcionamiento y reactivación de los Comités Municipales de Gestión del Riesgo"/>
    <n v="46"/>
    <n v="46"/>
    <m/>
    <m/>
    <n v="0"/>
    <m/>
    <m/>
    <m/>
    <s v="NP"/>
    <s v="Mantenimiento"/>
    <m/>
    <m/>
    <m/>
    <m/>
    <s v="GESTIÓN DE RIESGO"/>
    <m/>
    <m/>
    <m/>
  </r>
  <r>
    <x v="2"/>
    <x v="2"/>
    <m/>
    <m/>
    <x v="19"/>
    <x v="19"/>
    <m/>
    <m/>
    <x v="54"/>
    <x v="54"/>
    <n v="0"/>
    <s v="NP"/>
    <m/>
    <s v="Dos sistemas de alertas tempranas instalados estratégicamente."/>
    <s v="Dos sistemas de alertas tempranas instalados estratégicamente."/>
    <n v="0"/>
    <n v="0.02"/>
    <m/>
    <s v="Instalación de un sistema de alertas tempranas instaladas"/>
    <s v="Instalación de un sistema de alertas tempranas instaladas"/>
    <n v="0"/>
    <n v="2"/>
    <m/>
    <m/>
    <n v="0"/>
    <m/>
    <m/>
    <m/>
    <s v="NP"/>
    <s v="Incremento"/>
    <m/>
    <m/>
    <m/>
    <m/>
    <s v="GESTIÓN DE RIESGO"/>
    <m/>
    <m/>
    <m/>
  </r>
  <r>
    <x v="2"/>
    <x v="2"/>
    <m/>
    <m/>
    <x v="19"/>
    <x v="19"/>
    <m/>
    <m/>
    <x v="54"/>
    <x v="54"/>
    <m/>
    <m/>
    <m/>
    <s v="Incrementar el porcentaje anual de recursos ICLD destinados al FDGRD en un 6% con respecto al 2019."/>
    <s v="Incrementar el porcentaje anual de recursos ICLD destinados al FDGRD en un 6% con respecto al 2019."/>
    <n v="1.8E-3"/>
    <n v="2.3999999999999998E-3"/>
    <m/>
    <s v="Incrementar el porcentaje anual de recursos ICLD destinados_x000a_al FDGRD"/>
    <s v="Incrementar el porcentaje anual de recursos ICLD destinados_x000a_al FDGRD"/>
    <n v="0"/>
    <n v="1"/>
    <m/>
    <m/>
    <n v="0"/>
    <m/>
    <m/>
    <m/>
    <s v="NP"/>
    <s v="Incremento"/>
    <m/>
    <m/>
    <m/>
    <m/>
    <s v="GESTIÓN DE RIESGO"/>
    <m/>
    <m/>
    <m/>
  </r>
  <r>
    <x v="2"/>
    <x v="2"/>
    <m/>
    <m/>
    <x v="19"/>
    <x v="19"/>
    <m/>
    <m/>
    <x v="54"/>
    <x v="54"/>
    <m/>
    <m/>
    <m/>
    <s v="Incrementar la inversión en programas de GRD por número de habitantes por año en un 6% con_x000a_respecto al año 2019."/>
    <s v="Incrementar la inversión en programas de GRD por número de habitantes por año en un 6% con respecto al año 2019."/>
    <n v="102900"/>
    <n v="0.06"/>
    <m/>
    <s v="Incrementar la inversión en programas de GRD por número de habitantes por año "/>
    <s v="Incrementar la inversión en programas de GRD por número de habitantes por año "/>
    <n v="102900"/>
    <n v="124000"/>
    <m/>
    <m/>
    <n v="0"/>
    <m/>
    <m/>
    <m/>
    <s v="NP"/>
    <s v="Incremento"/>
    <m/>
    <m/>
    <m/>
    <m/>
    <s v="GESTIÓN DE RIESGO"/>
    <m/>
    <m/>
    <m/>
  </r>
  <r>
    <x v="2"/>
    <x v="2"/>
    <m/>
    <m/>
    <x v="19"/>
    <x v="19"/>
    <m/>
    <m/>
    <x v="55"/>
    <x v="55"/>
    <n v="0"/>
    <s v="NP"/>
    <m/>
    <s v="Disminución del % en el número de habitantes afectados por situaciones de riesgo y desastres "/>
    <s v="Disminución del % en el número de habitantes afectados por situaciones de riesgo y desastres "/>
    <n v="1"/>
    <n v="0.8155"/>
    <m/>
    <s v="Disminución del número de habitantes afectados por situaciones de riesgo y desastres"/>
    <s v="Disminución del número de habitantes afectados por situaciones de riesgo y desastres"/>
    <n v="147150"/>
    <n v="120000"/>
    <m/>
    <m/>
    <n v="0"/>
    <m/>
    <m/>
    <m/>
    <s v="NP"/>
    <s v="Incremento"/>
    <m/>
    <m/>
    <m/>
    <m/>
    <s v="GESTIÓN DE RIESGO"/>
    <m/>
    <m/>
    <m/>
  </r>
  <r>
    <x v="2"/>
    <x v="2"/>
    <m/>
    <m/>
    <x v="19"/>
    <x v="19"/>
    <m/>
    <m/>
    <x v="55"/>
    <x v="55"/>
    <m/>
    <m/>
    <m/>
    <s v="Aumento en el % de eventos ocurridos y atendidos por situaciones de riesgos y desastres"/>
    <s v="Aumento en el % de eventos ocurridos y atendidos por situaciones de riesgos y desastres"/>
    <n v="0.85"/>
    <n v="1"/>
    <m/>
    <s v="Disminución del número_x000a_de eventos atendidos por_x000a_situaciones de riesgos y_x000a_desastres"/>
    <s v="Disminución del número_x000a_de eventos atendidos por_x000a_situaciones de riesgos y_x000a_desastres"/>
    <n v="50"/>
    <n v="30"/>
    <m/>
    <m/>
    <n v="0"/>
    <m/>
    <m/>
    <m/>
    <s v="NP"/>
    <s v="Incremento"/>
    <m/>
    <m/>
    <m/>
    <m/>
    <s v="GESTIÓN DE RIESGO"/>
    <m/>
    <m/>
    <m/>
  </r>
  <r>
    <x v="2"/>
    <x v="2"/>
    <m/>
    <m/>
    <x v="19"/>
    <x v="19"/>
    <m/>
    <m/>
    <x v="55"/>
    <x v="55"/>
    <m/>
    <m/>
    <m/>
    <s v="Mantenimiento en 0% en el número de personas fallecidas y/o desaparecidas en situaciones de riesgo "/>
    <s v="Mantenimiento en 0% en el número de personas fallecidas y/o desaparecidas en situaciones de riesgo "/>
    <n v="0"/>
    <n v="0"/>
    <m/>
    <s v="Disminución del número_x000a_de eventos atendidos por_x000a_situaciones de riesgos y_x000a_desastres"/>
    <s v="Disminución del número_x000a_de eventos atendidos por_x000a_situaciones de riesgos y_x000a_desastres"/>
    <n v="50"/>
    <n v="30"/>
    <m/>
    <m/>
    <n v="0"/>
    <m/>
    <m/>
    <m/>
    <s v="NP"/>
    <s v="Mantenimiento"/>
    <m/>
    <m/>
    <m/>
    <m/>
    <s v="GESTIÓN DE RIESGO"/>
    <m/>
    <m/>
    <m/>
  </r>
  <r>
    <x v="2"/>
    <x v="2"/>
    <m/>
    <m/>
    <x v="19"/>
    <x v="19"/>
    <m/>
    <m/>
    <x v="55"/>
    <x v="55"/>
    <m/>
    <m/>
    <m/>
    <s v="Disminución en el % del número de viviendas destruidas por situaciones de riesgo y desastres "/>
    <s v="Disminución en el % del número de viviendas destruidas por situaciones de riesgo y desastres "/>
    <n v="1"/>
    <n v="0.65900000000000003"/>
    <m/>
    <s v="Disminución del número_x000a_de viviendas destruidas_x000a_por situaciones de riesgo y_x000a_desastres."/>
    <s v="Disminución del número_x000a_de viviendas destruidas_x000a_por situaciones de riesgo y_x000a_desastres."/>
    <n v="800"/>
    <n v="300"/>
    <m/>
    <m/>
    <n v="0"/>
    <m/>
    <m/>
    <m/>
    <s v="NP"/>
    <s v="Incremento"/>
    <m/>
    <m/>
    <m/>
    <m/>
    <s v="GESTIÓN DE RIESGO"/>
    <m/>
    <m/>
    <m/>
  </r>
  <r>
    <x v="2"/>
    <x v="2"/>
    <m/>
    <m/>
    <x v="19"/>
    <x v="19"/>
    <m/>
    <m/>
    <x v="55"/>
    <x v="55"/>
    <m/>
    <m/>
    <m/>
    <s v="Aumento del % en el número de familias reasentadas por situaciones de riesgo y_x000a_presentación de desastres:"/>
    <s v="Aumento del % en el número de familias reasentadas por situaciones de riesgo y_x000a_presentación de desastres:"/>
    <n v="0.1"/>
    <n v="0.5"/>
    <m/>
    <s v="Disminución del número_x000a_de familias reasentadas_x000a_por situaciones de riesgo y_x000a_presentación de desastres:"/>
    <s v="Disminución del número_x000a_de familias reasentadas_x000a_por situaciones de riesgo y_x000a_presentación de desastres:"/>
    <n v="0"/>
    <n v="1000"/>
    <m/>
    <m/>
    <n v="0"/>
    <m/>
    <m/>
    <m/>
    <s v="NP"/>
    <s v="Incremento"/>
    <m/>
    <m/>
    <m/>
    <m/>
    <s v="GESTIÓN DE RIESGO"/>
    <m/>
    <m/>
    <m/>
  </r>
  <r>
    <x v="3"/>
    <x v="3"/>
    <n v="0.12633083554657787"/>
    <n v="0.57267149758454106"/>
    <x v="20"/>
    <x v="20"/>
    <n v="9.5833333333333326E-2"/>
    <n v="1"/>
    <x v="56"/>
    <x v="56"/>
    <n v="9.5833333333333326E-2"/>
    <n v="1"/>
    <m/>
    <s v="Percepción positiva de la seguridad y la convivencia en el departamento de Bolívar"/>
    <s v="Percepción positiva de la seguridad y la convivencia en el departamento de Bolívar"/>
    <n v="0"/>
    <n v="50"/>
    <m/>
    <s v="Plan Integral de Seguridad y Convivencia Departamental formulado e implementado (con seguimiento)"/>
    <s v="porcentaje"/>
    <n v="100"/>
    <n v="100"/>
    <n v="0"/>
    <n v="5"/>
    <n v="0.05"/>
    <n v="5"/>
    <n v="0"/>
    <n v="5"/>
    <n v="1"/>
    <s v="Mantenimiento"/>
    <s v="Gobierno territorial"/>
    <n v="45"/>
    <n v="16"/>
    <m/>
    <s v="SECRETARÍA DEL INTERIOR"/>
    <m/>
    <m/>
    <m/>
  </r>
  <r>
    <x v="3"/>
    <x v="3"/>
    <m/>
    <m/>
    <x v="20"/>
    <x v="20"/>
    <m/>
    <m/>
    <x v="56"/>
    <x v="56"/>
    <m/>
    <m/>
    <m/>
    <s v="Percepción positiva de la seguridad y la convivencia en el departamento de Bolívar"/>
    <s v="Percepción positiva de la seguridad y la convivencia en el departamento de Bolívar"/>
    <n v="0"/>
    <n v="50"/>
    <m/>
    <s v="Sistemas de tecnologías de apoyo a la seguridad y convivencia funcionando en Bolívar"/>
    <s v="porcentaje"/>
    <n v="2"/>
    <n v="6"/>
    <m/>
    <m/>
    <n v="0"/>
    <m/>
    <m/>
    <m/>
    <s v="NP"/>
    <s v="Mantenimiento"/>
    <s v="Gobierno territorial"/>
    <n v="45"/>
    <n v="16"/>
    <m/>
    <s v="SECRETARÍA DEL INTERIOR"/>
    <m/>
    <m/>
    <m/>
  </r>
  <r>
    <x v="3"/>
    <x v="3"/>
    <m/>
    <m/>
    <x v="20"/>
    <x v="20"/>
    <m/>
    <m/>
    <x v="56"/>
    <x v="56"/>
    <m/>
    <m/>
    <m/>
    <s v="Percepción positiva de la seguridad y la convivencia en el departamento de Bolívar"/>
    <s v="Percepción positiva de la seguridad y la convivencia en el departamento de Bolívar"/>
    <n v="0"/>
    <n v="50"/>
    <m/>
    <s v="Municipios Impactados por fortalecimiento de la movilidad de la fuerza pública o instituciones de seguridad"/>
    <s v="porcentaje"/>
    <n v="100"/>
    <n v="100"/>
    <m/>
    <m/>
    <n v="0"/>
    <m/>
    <m/>
    <m/>
    <s v="NP"/>
    <s v="Mantenimiento"/>
    <s v="Gobierno territorial"/>
    <n v="45"/>
    <n v="16"/>
    <m/>
    <s v="SECRETARÍA DEL INTERIOR"/>
    <m/>
    <m/>
    <m/>
  </r>
  <r>
    <x v="3"/>
    <x v="3"/>
    <m/>
    <m/>
    <x v="20"/>
    <x v="20"/>
    <m/>
    <m/>
    <x v="56"/>
    <x v="56"/>
    <m/>
    <m/>
    <m/>
    <s v="Percepción positiva de la seguridad y la convivencia en el departamento de Bolívar"/>
    <s v="Percepción positiva de la seguridad y la convivencia en el departamento de Bolívar"/>
    <n v="0"/>
    <n v="50"/>
    <m/>
    <s v="Unidades operativas de la fuerza pública o instituciones de seguridad fortalecidas en su capacidad operativa técnica para mejorar la seguridad, orden público y convivencia"/>
    <s v="Unidades operativas de la fuerza pública o instituciones de seguridad fortalecidas en su capacidad operativa técnica para mejorar la seguridad, orden público y convivencia"/>
    <n v="8"/>
    <n v="12"/>
    <n v="0.16"/>
    <n v="4"/>
    <n v="0.33333333333333331"/>
    <n v="4"/>
    <n v="4"/>
    <n v="4"/>
    <n v="1"/>
    <s v="Mantenimiento"/>
    <s v="Gobierno territorial"/>
    <n v="45"/>
    <n v="16"/>
    <m/>
    <s v="SECRETARÍA DEL INTERIOR"/>
    <m/>
    <m/>
    <m/>
  </r>
  <r>
    <x v="3"/>
    <x v="3"/>
    <m/>
    <m/>
    <x v="21"/>
    <x v="21"/>
    <n v="0.15464285714285714"/>
    <n v="0.84285714285714286"/>
    <x v="57"/>
    <x v="57"/>
    <n v="0.15464285714285714"/>
    <n v="0.84285714285714286"/>
    <m/>
    <s v="Líderes y lideresas con criterio positivo sobre la existencia de garantías para el ejercicio de su labor"/>
    <s v="Líderes y lideresas con criterio positivo sobre la existencia de garantías para el ejercicio de su labor"/>
    <n v="0"/>
    <n v="50"/>
    <m/>
    <s v="Plan Integral de Protección y seguridad de líderes y lideresas formulado e implementado (con seguimiento) "/>
    <s v="Porcentaje"/>
    <n v="0"/>
    <n v="80"/>
    <n v="0"/>
    <n v="5"/>
    <n v="6.25E-2"/>
    <n v="5"/>
    <n v="0"/>
    <n v="5"/>
    <n v="1"/>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Política Publica de Derechos Humanos Departamental de Bolívar formulada e implementada (con seguimiento)"/>
    <s v="porcentaje"/>
    <n v="0"/>
    <n v="50"/>
    <n v="0"/>
    <n v="5"/>
    <n v="0.1"/>
    <n v="10"/>
    <n v="0"/>
    <n v="5"/>
    <n v="0.5"/>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Organizaciones sociales participantes en la implementación de un programa departamental integral de fomento y socialización de Cultura de Derechos Humanos."/>
    <s v="Organizaciones sociales participantes en la implementación de un programa departamental integral de fomento y socialización de Cultura de Derechos Humanos."/>
    <n v="0"/>
    <n v="200"/>
    <n v="2.5000000000000001E-2"/>
    <n v="4"/>
    <n v="0.02"/>
    <n v="5"/>
    <n v="0"/>
    <n v="4"/>
    <n v="0.8"/>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Municipios implementando acciones para el cumplimiento de los planes de acción de respuesta a las alertas tempranas e informes de riesgos en Bolívar"/>
    <s v="porcentaje"/>
    <n v="0"/>
    <n v="100"/>
    <n v="0.1"/>
    <n v="15"/>
    <n v="0.15"/>
    <n v="25"/>
    <n v="10"/>
    <n v="15"/>
    <n v="0.6"/>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n v="1"/>
    <n v="4"/>
    <n v="0.25"/>
    <n v="1"/>
    <n v="0.25"/>
    <n v="1"/>
    <n v="1"/>
    <n v="1"/>
    <n v="1"/>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ublica de Acción Integral contra Minas Antipersonas (AICMA) en el Departamento de Bolivar"/>
    <s v="Número de acciones institucionales de acompañamiento a la implementación de la Política Publica de Acción Integral contra Minas Antipersonas (AICMA) en el Departamento de Bolivar"/>
    <n v="1"/>
    <n v="4"/>
    <n v="0.25"/>
    <n v="1"/>
    <n v="0.25"/>
    <n v="1"/>
    <n v="1"/>
    <n v="1"/>
    <n v="1"/>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Estrategia Nacional para lucha contra la trata de personas en el Departamento de Bolívar"/>
    <s v="Número de acciones institucionales de acompañamiento a la implementación de la Estrategia Nacional para lucha contra la trata de personas en el Departamento de Bolívar"/>
    <n v="1"/>
    <n v="4"/>
    <n v="0.25"/>
    <n v="1"/>
    <n v="0.25"/>
    <n v="1"/>
    <n v="1"/>
    <n v="1"/>
    <n v="1"/>
    <s v="Incremento"/>
    <s v="Gobierno territorial"/>
    <n v="45"/>
    <n v="16"/>
    <m/>
    <s v="SECRETARÍA DEL INTERIOR"/>
    <m/>
    <m/>
    <m/>
  </r>
  <r>
    <x v="3"/>
    <x v="3"/>
    <m/>
    <m/>
    <x v="22"/>
    <x v="22"/>
    <n v="0.24649470899470902"/>
    <n v="0.72839506172839519"/>
    <x v="58"/>
    <x v="58"/>
    <n v="0.26557539682539683"/>
    <n v="0.74814814814814812"/>
    <m/>
    <s v="Sistema de Información geográfica de Bolívar SIGBOL Actualizado"/>
    <s v="Sistema de Información geográfica de Bolívar SIGBOL Actualizado"/>
    <n v="0.3"/>
    <n v="1"/>
    <m/>
    <s v="No. De municipios Implementando SIGBOL "/>
    <s v="No. De municipios Implementando SIGBOL "/>
    <n v="0"/>
    <n v="7"/>
    <n v="0.5"/>
    <n v="0.5"/>
    <n v="7.1428571428571425E-2"/>
    <n v="1"/>
    <n v="0.5"/>
    <n v="0.5"/>
    <n v="0.5"/>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Implementación de software para seguimiento y evaluación de plan de desarrollo y políticas publicas"/>
    <s v="Implementación de software para seguimiento y evaluación de plan de desarrollo y políticas publicas"/>
    <n v="0"/>
    <n v="1"/>
    <n v="0"/>
    <n v="0"/>
    <n v="0"/>
    <n v="1"/>
    <n v="0"/>
    <n v="0"/>
    <s v="NP"/>
    <s v="Incremento"/>
    <m/>
    <n v="1"/>
    <n v="0"/>
    <n v="0"/>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No de municipios apoyados técnicamente para la evaluación de plan de desarrollo y construcción de sistema de seguimiento"/>
    <s v="No de municipios apoyados técnicamente para la evaluación de plan de desarrollo y construcción de sistema de seguimiento"/>
    <n v="0"/>
    <n v="10"/>
    <n v="1"/>
    <n v="2"/>
    <n v="0.2"/>
    <n v="2"/>
    <n v="1"/>
    <n v="2"/>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Construcción de 1 Batería de indicadores Departamental"/>
    <s v="Construcción de 1 Batería de indicadores Departamental"/>
    <n v="0"/>
    <n v="1"/>
    <n v="0.4"/>
    <n v="0.8"/>
    <n v="0.8"/>
    <n v="1"/>
    <n v="0.4"/>
    <n v="0.8"/>
    <n v="0.8"/>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Apoyo a la creación de 7 subsistemas de planeación"/>
    <s v="Apoyo a la creación de 7 subsistemas de planeación"/>
    <n v="0"/>
    <n v="7"/>
    <n v="0.5"/>
    <n v="0.8"/>
    <n v="0.1142857142857143"/>
    <n v="1"/>
    <n v="0.5"/>
    <n v="0.8"/>
    <n v="0.8"/>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Realizar 1convenio para fortalecer las capacidades y apoyo logísticos atinentes a sus actividades del Consejo Territorial de Planeación"/>
    <s v="Realizar 1convenio para fortalecer las capacidades y apoyo logísticos atinentes a sus actividades del Consejo Territorial de Planeación"/>
    <s v="ND"/>
    <n v="1"/>
    <n v="0"/>
    <n v="0"/>
    <n v="0"/>
    <n v="0"/>
    <n v="0"/>
    <n v="0"/>
    <s v="NP"/>
    <s v="Incremento"/>
    <m/>
    <n v="0"/>
    <m/>
    <m/>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Asistir 45 municipio para la implementación del SISBEN IV"/>
    <s v="Asistir 45 municipio para la implementación del SISBEN IV"/>
    <n v="45"/>
    <n v="45"/>
    <n v="20"/>
    <n v="40"/>
    <n v="0.88888888888888884"/>
    <n v="45"/>
    <n v="20"/>
    <n v="40"/>
    <n v="0.88888888888888884"/>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Apoyar 20  municipios en estratificación"/>
    <s v="Apoyar 20  municipios en estratificación"/>
    <n v="15"/>
    <n v="20"/>
    <n v="1"/>
    <n v="1"/>
    <n v="0.05"/>
    <n v="2"/>
    <n v="1"/>
    <n v="1"/>
    <n v="0.5"/>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9"/>
    <x v="59"/>
    <n v="0.20833333333333331"/>
    <n v="0.68888888888888877"/>
    <m/>
    <s v="% de Zodes con procesos de descentralización en planeación territorial"/>
    <s v="% de Zodes con procesos de descentralización en planeación territorial"/>
    <s v="ND"/>
    <n v="0.43"/>
    <m/>
    <s v="Asistir a 2 bancos de proyectos creados en ZODES"/>
    <s v="Asistir a 2 bancos de proyectos creados en ZODES"/>
    <n v="0"/>
    <n v="2"/>
    <m/>
    <m/>
    <n v="0"/>
    <m/>
    <m/>
    <m/>
    <s v="NP"/>
    <s v="Incremento"/>
    <m/>
    <n v="0"/>
    <m/>
    <m/>
    <s v="SECRETARÍA DE PLANEACIÓN"/>
    <m/>
    <m/>
    <m/>
  </r>
  <r>
    <x v="3"/>
    <x v="3"/>
    <m/>
    <m/>
    <x v="22"/>
    <x v="22"/>
    <m/>
    <m/>
    <x v="59"/>
    <x v="59"/>
    <m/>
    <m/>
    <m/>
    <s v="% de Zodes con procesos de descentralización en planeación territorial"/>
    <s v="% de Zodes con procesos de descentralización en planeación territorial"/>
    <s v="ND"/>
    <n v="0.43"/>
    <m/>
    <s v="Asistir a 45 municipios  técnicamente en la formulación de proyectos "/>
    <s v="Asistir a 45 municipios  técnicamente en la formulación de proyectos "/>
    <n v="45"/>
    <n v="45"/>
    <n v="12"/>
    <n v="30"/>
    <n v="0.66666666666666663"/>
    <n v="45"/>
    <n v="12"/>
    <n v="30"/>
    <n v="0.66666666666666663"/>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9"/>
    <x v="59"/>
    <m/>
    <m/>
    <m/>
    <s v="% de Zodes con procesos de descentralización en planeación territorial"/>
    <s v="% de Zodes con procesos de descentralización en planeación territorial"/>
    <s v="ND"/>
    <n v="0.43"/>
    <m/>
    <s v="Asesorar 10  bancos de proyectos municipales"/>
    <s v="Asesorar 10  bancos de proyectos municipales"/>
    <n v="0"/>
    <n v="10"/>
    <n v="0"/>
    <n v="1"/>
    <n v="0.1"/>
    <n v="1"/>
    <n v="0"/>
    <n v="1"/>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9"/>
    <x v="59"/>
    <m/>
    <m/>
    <m/>
    <s v="% de Zodes con procesos de descentralización en planeación territorial"/>
    <s v="% de Zodes con procesos de descentralización en planeación territorial"/>
    <s v="ND"/>
    <n v="0.43"/>
    <m/>
    <s v="mejorar en 30 municipios con índices de desempeños "/>
    <s v="mejorar en 30 municipios con índices de desempeños "/>
    <n v="0"/>
    <n v="30"/>
    <n v="2"/>
    <n v="2"/>
    <n v="6.6666666666666666E-2"/>
    <n v="5"/>
    <n v="2"/>
    <n v="2"/>
    <n v="0.4"/>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3"/>
    <x v="23"/>
    <n v="1.8333333333333333E-2"/>
    <n v="0.3429275362318841"/>
    <x v="60"/>
    <x v="60"/>
    <n v="0"/>
    <n v="0"/>
    <m/>
    <s v="Espacios físicos y servicios de atención al ciudadano mejorados y fortalecidos"/>
    <s v="Espacios físicos y servicios de atención al ciudadano mejorados y fortalecidos"/>
    <s v="50 puntos"/>
    <s v="80 puntos"/>
    <m/>
    <s v="Infraestructura física de la_x000a_oficina de atención al_x000a_ciudadano, accesible a_x000a_población en condición de_x000a_discapacidad"/>
    <s v="Infraestructura física de la_x000a_oficina de atención al_x000a_ciudadano, accesible a_x000a_población en condición de_x000a_discapacidad"/>
    <s v="50 puntos"/>
    <n v="80"/>
    <m/>
    <m/>
    <n v="0"/>
    <m/>
    <m/>
    <m/>
    <s v="NP"/>
    <s v="Incremento"/>
    <m/>
    <s v="Gobierno Territorial"/>
    <n v="45"/>
    <s v="16. Paz, Justicia e Instituciones Sólidas"/>
    <s v="SECRETARÍA GENERAL "/>
    <m/>
    <m/>
    <m/>
  </r>
  <r>
    <x v="3"/>
    <x v="3"/>
    <m/>
    <m/>
    <x v="23"/>
    <x v="23"/>
    <m/>
    <m/>
    <x v="60"/>
    <x v="60"/>
    <m/>
    <m/>
    <m/>
    <s v="Espacios físicos y servicios de atención al ciudadano mejorados y fortalecidos"/>
    <s v="Espacios físicos y servicios de atención al ciudadano mejorados y fortalecidos"/>
    <s v="50 puntos"/>
    <s v="80 puntos"/>
    <m/>
    <s v="Servicios de atención al_x000a_ciudadano de la Gobernación_x000a_de Bolívar Accesibles a la_x000a_población en condición de_x000a_discapacidad"/>
    <s v="Servicios de atención al_x000a_ciudadano de la Gobernación_x000a_de Bolívar Accesibles a la_x000a_población en condición de_x000a_discapacidad"/>
    <s v="50 puntos"/>
    <n v="80"/>
    <n v="0"/>
    <n v="0"/>
    <n v="0"/>
    <n v="5"/>
    <n v="0"/>
    <n v="0"/>
    <n v="0"/>
    <s v="Incremento"/>
    <m/>
    <s v="Gobierno Territorial"/>
    <n v="45"/>
    <s v="16. Paz, Justicia e Instituciones Sólidas"/>
    <s v="Secretaría General"/>
    <m/>
    <m/>
    <m/>
  </r>
  <r>
    <x v="3"/>
    <x v="3"/>
    <m/>
    <m/>
    <x v="23"/>
    <x v="23"/>
    <m/>
    <m/>
    <x v="60"/>
    <x v="60"/>
    <m/>
    <m/>
    <m/>
    <s v="Espacios físicos y servicios de atención al ciudadano mejorados y fortalecidos"/>
    <s v="Espacios físicos y servicios de atención al ciudadano mejorados y fortalecidos"/>
    <s v="50 puntos"/>
    <s v="80 puntos"/>
    <m/>
    <s v="3 nuevos canales de atención_x000a_al ciudadano del_x000a_Departamento de Bolívar_x000a_creados y en funcionamiento"/>
    <s v="3 nuevos canales de atención_x000a_al ciudadano del_x000a_Departamento de Bolívar_x000a_creados y en funcionamiento"/>
    <n v="3"/>
    <n v="6"/>
    <n v="0"/>
    <n v="0"/>
    <n v="0"/>
    <n v="1"/>
    <n v="0"/>
    <n v="0"/>
    <n v="0"/>
    <s v="Incremento"/>
    <m/>
    <s v="Gobierno Territorial"/>
    <n v="45"/>
    <s v="16. Paz, Justicia e Instituciones Sólidas"/>
    <s v="Secretaría General"/>
    <m/>
    <m/>
    <m/>
  </r>
  <r>
    <x v="3"/>
    <x v="3"/>
    <m/>
    <m/>
    <x v="23"/>
    <x v="23"/>
    <m/>
    <m/>
    <x v="60"/>
    <x v="60"/>
    <m/>
    <m/>
    <m/>
    <s v="Espacios físicos y servicios de atención al ciudadano mejorados y fortalecidos"/>
    <s v="Espacios físicos y servicios de atención al ciudadano mejorados y fortalecidos"/>
    <s v="50 puntos"/>
    <s v="80 puntos"/>
    <m/>
    <s v="Jornadas Itinerantes de_x000a_atención y Servicio al_x000a_Ciudadano"/>
    <s v="Jornadas Itinerantes de_x000a_atención y Servicio al_x000a_Ciudadano"/>
    <n v="2"/>
    <n v="8"/>
    <m/>
    <m/>
    <n v="0"/>
    <m/>
    <m/>
    <m/>
    <s v="NP"/>
    <s v="Incremento"/>
    <m/>
    <s v="Gobierno Territorial"/>
    <n v="45"/>
    <s v="16. Paz, Justicia e Instituciones Sólidas"/>
    <s v="Secretaría General"/>
    <m/>
    <m/>
    <m/>
  </r>
  <r>
    <x v="3"/>
    <x v="3"/>
    <m/>
    <m/>
    <x v="23"/>
    <x v="23"/>
    <m/>
    <m/>
    <x v="60"/>
    <x v="60"/>
    <m/>
    <m/>
    <m/>
    <s v="Espacios físicos y servicios de atención al ciudadano mejorados y fortalecidos"/>
    <s v="Espacios físicos y servicios de atención al ciudadano mejorados y fortalecidos"/>
    <s v="50 puntos"/>
    <s v="80 puntos"/>
    <m/>
    <s v="Mecanismo implementado_x000a_para recibir y tramitar_x000a_peticiones interpuestas en_x000a_lenguas nativas o dialectos_x000a_oficiales de Bolívar diferentes_x000a_al español"/>
    <s v="Mecanismo implementado_x000a_para recibir y tramitar_x000a_peticiones interpuestas en_x000a_lenguas nativas o dialectos_x000a_oficiales de Bolívar diferentes_x000a_al español"/>
    <n v="0"/>
    <n v="1"/>
    <m/>
    <m/>
    <n v="0"/>
    <m/>
    <m/>
    <m/>
    <s v="NP"/>
    <s v="Incremento"/>
    <m/>
    <s v="Gobierno Territorial"/>
    <n v="45"/>
    <s v="16. Paz, Justicia e Instituciones Sólidas"/>
    <s v="Secretaría General"/>
    <m/>
    <m/>
    <m/>
  </r>
  <r>
    <x v="3"/>
    <x v="3"/>
    <m/>
    <m/>
    <x v="23"/>
    <x v="23"/>
    <m/>
    <m/>
    <x v="61"/>
    <x v="61"/>
    <n v="3.2499999999999999E-4"/>
    <n v="0.5"/>
    <m/>
    <s v="Fortalecimiento y mejoramiento de la_x000a_Gestión Documental de la gobernación de_x000a_Bolívar"/>
    <s v="Fortalecimiento y mejoramiento de la_x000a_Gestión Documental de la gobernación de_x000a_Bolívar"/>
    <n v="65.599999999999994"/>
    <n v="80"/>
    <m/>
    <s v="Software de Gestión Documental Electrónica implementado para la gobernación de Bolívar"/>
    <s v="unidad"/>
    <n v="0"/>
    <n v="1"/>
    <m/>
    <m/>
    <n v="0"/>
    <m/>
    <m/>
    <m/>
    <s v="NP"/>
    <s v="Incremento"/>
    <m/>
    <s v="Gobierno Territorial"/>
    <n v="45"/>
    <s v="16. Paz, Justicia e Instituciones Sólidas"/>
    <s v="SECRETARÍA GENERAL "/>
    <m/>
    <m/>
    <m/>
  </r>
  <r>
    <x v="3"/>
    <x v="3"/>
    <m/>
    <m/>
    <x v="23"/>
    <x v="23"/>
    <m/>
    <m/>
    <x v="61"/>
    <x v="61"/>
    <m/>
    <m/>
    <m/>
    <s v="Fortalecimiento y mejoramiento de la_x000a_Gestión Documental de la gobernación de_x000a_Bolívar"/>
    <s v="Fortalecimiento y mejoramiento de la_x000a_Gestión Documental de la gobernación de_x000a_Bolívar"/>
    <n v="65.599999999999994"/>
    <n v="80"/>
    <m/>
    <s v="Centro de Digitalización Documental de la Gobernación de Bolívar creado y en funcionamiento"/>
    <s v="unidad"/>
    <n v="0"/>
    <n v="1"/>
    <m/>
    <m/>
    <n v="0"/>
    <m/>
    <m/>
    <m/>
    <s v="NP"/>
    <s v="Incremento"/>
    <m/>
    <s v="Gobierno Territorial"/>
    <n v="45"/>
    <s v="16. Paz, Justicia e Instituciones Sólidas"/>
    <s v="Secretaría General"/>
    <m/>
    <m/>
    <m/>
  </r>
  <r>
    <x v="3"/>
    <x v="3"/>
    <m/>
    <m/>
    <x v="23"/>
    <x v="23"/>
    <m/>
    <m/>
    <x v="61"/>
    <x v="61"/>
    <m/>
    <m/>
    <m/>
    <s v="Fortalecimiento y mejoramiento de la_x000a_Gestión Documental de la gobernación de_x000a_Bolívar"/>
    <s v="Fortalecimiento y mejoramiento de la_x000a_Gestión Documental de la gobernación de_x000a_Bolívar"/>
    <n v="65.599999999999994"/>
    <n v="80"/>
    <m/>
    <s v="Infraestructura para la_x000a_Gestión Documental_x000a_mejorada"/>
    <s v="porcentaje"/>
    <n v="60"/>
    <n v="90"/>
    <n v="0"/>
    <n v="0"/>
    <n v="0"/>
    <n v="5"/>
    <n v="0"/>
    <n v="0"/>
    <n v="0"/>
    <s v="Incremento"/>
    <m/>
    <s v="Gobierno Territorial"/>
    <n v="45"/>
    <s v="16. Paz, Justicia e Instituciones Sólidas"/>
    <s v="Secretaría General"/>
    <m/>
    <m/>
    <m/>
  </r>
  <r>
    <x v="3"/>
    <x v="3"/>
    <m/>
    <m/>
    <x v="23"/>
    <x v="23"/>
    <m/>
    <m/>
    <x v="61"/>
    <x v="61"/>
    <m/>
    <m/>
    <m/>
    <s v="Fortalecimiento y mejoramiento de la_x000a_Gestión Documental de la gobernación de_x000a_Bolívar"/>
    <s v="Fortalecimiento y mejoramiento de la_x000a_Gestión Documental de la gobernación de_x000a_Bolívar"/>
    <n v="65.599999999999994"/>
    <n v="80"/>
    <m/>
    <s v="Consejo Departamental de Archivo fortalecido"/>
    <s v="porcentaje"/>
    <n v="50"/>
    <n v="100"/>
    <n v="0"/>
    <n v="0.13"/>
    <n v="1.2999999999999999E-3"/>
    <n v="0.125"/>
    <n v="0"/>
    <n v="0.125"/>
    <n v="1"/>
    <s v="Incremento"/>
    <m/>
    <s v="Gobierno Territorial"/>
    <n v="45"/>
    <s v="16. Paz, Justicia e Instituciones Sólidas"/>
    <s v="Secretaría General"/>
    <m/>
    <m/>
    <m/>
  </r>
  <r>
    <x v="3"/>
    <x v="3"/>
    <m/>
    <m/>
    <x v="23"/>
    <x v="23"/>
    <m/>
    <m/>
    <x v="62"/>
    <x v="62"/>
    <n v="0.37301201754385971"/>
    <n v="0.61091666666666666"/>
    <m/>
    <s v="TIC para Gobierno Abierto"/>
    <s v="TIC para Gobierno Abierto"/>
    <s v="41,4/100"/>
    <s v="80/100"/>
    <m/>
    <s v="Accesibilidad, usabilidad y datos abiertos para garantizar la transparencia en la administración pública"/>
    <s v="Accesibilidad, usabilidad y datos abiertos para garantizar la transparencia en la administración pública"/>
    <s v="73,6/100"/>
    <n v="0.95"/>
    <s v="41.4/100"/>
    <n v="0.41399999999999998"/>
    <n v="0.4357894736842105"/>
    <n v="5.3499999999999999E-2"/>
    <s v="41.4/100"/>
    <n v="5.3499999999999999E-2"/>
    <n v="1"/>
    <s v="Incremento"/>
    <m/>
    <s v="Tecnologias de la información y las comunicaciones"/>
    <n v="23"/>
    <s v="16. Paz, Justicia e Instituciones Sólidas"/>
    <s v="SECRETARÍA GENERAL "/>
    <m/>
    <m/>
    <m/>
  </r>
  <r>
    <x v="3"/>
    <x v="3"/>
    <m/>
    <m/>
    <x v="23"/>
    <x v="23"/>
    <m/>
    <m/>
    <x v="62"/>
    <x v="62"/>
    <m/>
    <m/>
    <m/>
    <s v="TIC para Gobierno Abierto"/>
    <s v="TIC para Gobierno Abierto"/>
    <s v="41,4/100"/>
    <s v="80/100"/>
    <m/>
    <s v="Acciones de colaboración con terceros usando medios electrónicos"/>
    <s v="Acciones de colaboración con terceros usando medios electrónicos"/>
    <s v="0/100"/>
    <n v="0.6"/>
    <s v="41.4/100"/>
    <n v="0.41399999999999998"/>
    <n v="0.69"/>
    <n v="0.05"/>
    <s v="41.4/100"/>
    <n v="0.05"/>
    <n v="1"/>
    <s v="Incremento"/>
    <m/>
    <s v="Tecnologias de la información y las comunicaciones"/>
    <n v="23"/>
    <s v="16. Paz, Justicia e Instituciones Sólidas"/>
    <s v="SECRETARÍA GENERAL "/>
    <m/>
    <m/>
    <m/>
  </r>
  <r>
    <x v="3"/>
    <x v="3"/>
    <m/>
    <m/>
    <x v="23"/>
    <x v="23"/>
    <m/>
    <m/>
    <x v="62"/>
    <x v="62"/>
    <m/>
    <m/>
    <m/>
    <s v="TIC para Gobierno Abierto"/>
    <s v="TIC para Gobierno Abierto"/>
    <s v="41,4/100"/>
    <s v="80/100"/>
    <m/>
    <s v="Actualización de canales de participación ciudadana a través de medios electrónicos"/>
    <s v="Actualización de canales de participación ciudadana a través de medios electrónicos"/>
    <s v="100/100"/>
    <n v="100"/>
    <s v="41.4/100"/>
    <n v="0.41399999999999998"/>
    <n v="4.1399999999999996E-3"/>
    <n v="1"/>
    <s v="41.4/100"/>
    <n v="0.41399999999999998"/>
    <n v="0.41399999999999998"/>
    <s v="Mantenimiento"/>
    <m/>
    <s v="Tecnologias de la información y las comunicaciones"/>
    <n v="23"/>
    <s v="16. Paz, Justicia e Instituciones Sólidas"/>
    <s v="SECRETARÍA GENERAL "/>
    <m/>
    <m/>
    <m/>
  </r>
  <r>
    <x v="3"/>
    <x v="3"/>
    <m/>
    <m/>
    <x v="23"/>
    <x v="23"/>
    <m/>
    <m/>
    <x v="62"/>
    <x v="62"/>
    <m/>
    <m/>
    <m/>
    <s v="TIC para la Gestión"/>
    <s v="TIC para la Gestión"/>
    <s v="12,3/100"/>
    <s v="75/100"/>
    <m/>
    <s v="Implementación Estrategia de TI"/>
    <s v="Implementación Estrategia de TI"/>
    <s v="76/100"/>
    <n v="0.8"/>
    <s v="15/100"/>
    <n v="0.15"/>
    <n v="0.18749999999999997"/>
    <n v="0.5"/>
    <s v="15/100"/>
    <n v="0.15"/>
    <n v="0.3"/>
    <s v="Incremento"/>
    <m/>
    <s v="Tecnologias de la información y las comunicaciones"/>
    <n v="23"/>
    <s v="16. Paz, Justicia e Instituciones Sólidas"/>
    <s v="SECRETARÍA GENERAL "/>
    <m/>
    <m/>
    <m/>
  </r>
  <r>
    <x v="3"/>
    <x v="3"/>
    <m/>
    <m/>
    <x v="23"/>
    <x v="23"/>
    <m/>
    <m/>
    <x v="62"/>
    <x v="62"/>
    <m/>
    <m/>
    <m/>
    <s v="TIC para la Gestión"/>
    <s v="TIC para la Gestión"/>
    <s v="12,3/100"/>
    <s v="75/100"/>
    <m/>
    <s v="Fortalecimiento de Gobierno de TI"/>
    <s v="Fortalecimiento de Gobierno de TI"/>
    <s v="47,5/100"/>
    <n v="0.7"/>
    <s v="15/100"/>
    <n v="0.15"/>
    <n v="0.2142857142857143"/>
    <n v="3.5000000000000003E-2"/>
    <s v="15/100"/>
    <n v="3.5000000000000003E-2"/>
    <n v="1"/>
    <s v="Incremento"/>
    <m/>
    <s v="Tecnologias de la información y las comunicaciones"/>
    <n v="23"/>
    <s v="16. Paz, Justicia e Instituciones Sólidas"/>
    <s v="SECRETARÍA GENERAL "/>
    <m/>
    <m/>
    <m/>
  </r>
  <r>
    <x v="3"/>
    <x v="3"/>
    <m/>
    <m/>
    <x v="23"/>
    <x v="23"/>
    <m/>
    <m/>
    <x v="62"/>
    <x v="62"/>
    <m/>
    <m/>
    <m/>
    <s v="TIC para la Gestión"/>
    <s v="TIC para la Gestión"/>
    <s v="12,3/100"/>
    <s v="75/100"/>
    <m/>
    <s v="Fortalecimiento de las capacidades institucionales en TICS"/>
    <s v="Fortalecimiento de las capacidades institucionales en TICS"/>
    <s v="33,3/100"/>
    <n v="0.7"/>
    <s v="20/100"/>
    <n v="0.2"/>
    <n v="0.28571428571428575"/>
    <n v="5"/>
    <s v="20/100"/>
    <n v="0.2"/>
    <n v="0.04"/>
    <s v="Incremento"/>
    <m/>
    <s v="Tecnologias de la información y las comunicaciones"/>
    <n v="23"/>
    <s v="16. Paz, Justicia e Instituciones Sólidas"/>
    <s v="SECRETARÍA GENERAL "/>
    <m/>
    <m/>
    <m/>
  </r>
  <r>
    <x v="3"/>
    <x v="3"/>
    <m/>
    <m/>
    <x v="23"/>
    <x v="23"/>
    <m/>
    <m/>
    <x v="62"/>
    <x v="62"/>
    <m/>
    <m/>
    <m/>
    <s v="Seguridad y Privacidad de la Información"/>
    <s v="Seguridad y Privacidad de la Información"/>
    <s v="36,8/100"/>
    <s v="80/100"/>
    <m/>
    <s v="Política de seguridad y privacidad de la información implementada"/>
    <s v="Política de seguridad y privacidad de la información implementada"/>
    <s v="20,8/100"/>
    <n v="0.8"/>
    <s v="40/100"/>
    <n v="0.4"/>
    <n v="0.5"/>
    <n v="3"/>
    <s v="40/100"/>
    <n v="0.4"/>
    <n v="0.13333333333333333"/>
    <s v="Incremento"/>
    <m/>
    <s v="Tecnologias de la información y las comunicaciones"/>
    <n v="23"/>
    <s v="16. Paz, Justicia e Instituciones Sólidas"/>
    <s v="SECRETARÍA GENERAL "/>
    <m/>
    <m/>
    <m/>
  </r>
  <r>
    <x v="3"/>
    <x v="3"/>
    <m/>
    <m/>
    <x v="23"/>
    <x v="23"/>
    <m/>
    <m/>
    <x v="62"/>
    <x v="62"/>
    <m/>
    <m/>
    <m/>
    <s v="Seguridad y Privacidad de la Información"/>
    <s v="Seguridad y Privacidad de la Información"/>
    <s v="36,8/100"/>
    <s v="80/100"/>
    <m/>
    <s v="Tratamiento de riesgos de seguridad informática"/>
    <s v="Tratamiento de riesgos de seguridad informática"/>
    <s v="0/100"/>
    <n v="0.6"/>
    <s v="40/100"/>
    <n v="0.4"/>
    <n v="0.66666666666666674"/>
    <n v="0.2"/>
    <s v="40/100"/>
    <n v="0.2"/>
    <n v="1"/>
    <s v="Incremento"/>
    <m/>
    <s v="Tecnologias de la información y las comunicaciones"/>
    <n v="23"/>
    <s v="16. Paz, Justicia e Instituciones Sólidas"/>
    <s v="SECRETARÍA GENERAL "/>
    <m/>
    <m/>
    <m/>
  </r>
  <r>
    <x v="3"/>
    <x v="3"/>
    <m/>
    <m/>
    <x v="23"/>
    <x v="23"/>
    <m/>
    <m/>
    <x v="63"/>
    <x v="63"/>
    <n v="0"/>
    <n v="0"/>
    <m/>
    <s v="Mejoramiento de la infraestructura física_x000a_y bienes inmuebles de la gobernación de_x000a_Bolívar"/>
    <s v="Mejoramiento de la infraestructura física_x000a_y bienes inmuebles de la gobernación de_x000a_Bolívar"/>
    <n v="0.6"/>
    <n v="0.85"/>
    <m/>
    <s v="Optimizar las sedes de la_x000a_Gobernación de Bolívar para_x000a_mejoras en la atención al_x000a_público y garantizar el clima_x000a_laboral"/>
    <s v="porcentaje"/>
    <n v="0.6"/>
    <n v="0.85"/>
    <n v="0"/>
    <n v="0"/>
    <n v="0"/>
    <n v="2.5"/>
    <n v="0"/>
    <n v="0"/>
    <n v="0"/>
    <s v="Incremento"/>
    <m/>
    <s v="Gobierno Territorial"/>
    <n v="45"/>
    <s v="16. Paz, Justicia e Instituciones Sólidas"/>
    <s v="SECRETARÍA GENERAL "/>
    <m/>
    <m/>
    <m/>
  </r>
  <r>
    <x v="3"/>
    <x v="3"/>
    <m/>
    <m/>
    <x v="23"/>
    <x v="23"/>
    <m/>
    <m/>
    <x v="63"/>
    <x v="63"/>
    <m/>
    <m/>
    <m/>
    <s v="Mejoramiento de la infraestructura física_x000a_y bienes inmuebles de la gobernación de_x000a_Bolívar"/>
    <s v="Mejoramiento de la infraestructura física_x000a_y bienes inmuebles de la gobernación de_x000a_Bolívar"/>
    <n v="0.6"/>
    <n v="0.85"/>
    <m/>
    <s v="Inventario físico, saneamiento_x000a_y normalización de bienes inmuebles de la gobernación_x000a_de Bolívar actualizado"/>
    <s v="porcentaje"/>
    <n v="0.6"/>
    <n v="1"/>
    <n v="0"/>
    <n v="0"/>
    <n v="0"/>
    <n v="5"/>
    <n v="0"/>
    <n v="0"/>
    <n v="0"/>
    <s v="Incremento"/>
    <m/>
    <s v="Gobierno Territorial"/>
    <n v="45"/>
    <s v="16. Paz, Justicia e Instituciones Sólidas"/>
    <s v="SECRETARÍA GENERAL "/>
    <m/>
    <m/>
    <m/>
  </r>
  <r>
    <x v="3"/>
    <x v="3"/>
    <m/>
    <m/>
    <x v="23"/>
    <x v="23"/>
    <m/>
    <m/>
    <x v="63"/>
    <x v="63"/>
    <m/>
    <m/>
    <m/>
    <s v="Mejoramiento de la infraestructura física_x000a_y bienes inmuebles de la gobernación de_x000a_Bolívar"/>
    <s v="Mejoramiento de la infraestructura física_x000a_y bienes inmuebles de la gobernación de_x000a_Bolívar"/>
    <n v="0.6"/>
    <n v="0.85"/>
    <m/>
    <s v="Fortalecimiento de los_x000a_sistemas de vigilancia de los_x000a_diferentes inmuebles de la_x000a_gobernación de Bolívar"/>
    <s v="porcentaje"/>
    <n v="0.5"/>
    <n v="0.9"/>
    <n v="0"/>
    <n v="0"/>
    <n v="0"/>
    <n v="5"/>
    <n v="0"/>
    <n v="0"/>
    <n v="0"/>
    <s v="Incremento"/>
    <m/>
    <s v="Gobierno Territorial"/>
    <n v="45"/>
    <s v="16. Paz, Justicia e Instituciones Sólidas"/>
    <s v="SECRETARÍA GENERAL "/>
    <m/>
    <m/>
    <m/>
  </r>
  <r>
    <x v="3"/>
    <x v="3"/>
    <m/>
    <m/>
    <x v="23"/>
    <x v="23"/>
    <m/>
    <m/>
    <x v="64"/>
    <x v="64"/>
    <n v="0"/>
    <n v="0"/>
    <m/>
    <s v="Municipios con asistencia municipal"/>
    <s v="Municipios con asistencia municipal"/>
    <n v="45"/>
    <n v="45"/>
    <m/>
    <s v="Municipios con desempeño fiscal bajo asistidos."/>
    <s v="Municipios con desempeño fiscal bajo asistidos."/>
    <n v="0"/>
    <n v="10"/>
    <n v="0"/>
    <n v="0"/>
    <n v="0"/>
    <n v="1"/>
    <n v="0"/>
    <n v="0"/>
    <n v="0"/>
    <s v="Incremento"/>
    <m/>
    <s v="Gobierno territorial"/>
    <n v="45"/>
    <n v="16"/>
    <s v="SECRETARÍA DEL INTERIOR"/>
    <m/>
    <m/>
    <m/>
  </r>
  <r>
    <x v="3"/>
    <x v="3"/>
    <m/>
    <m/>
    <x v="23"/>
    <x v="23"/>
    <m/>
    <m/>
    <x v="65"/>
    <x v="65"/>
    <n v="0.08"/>
    <n v="1"/>
    <m/>
    <s v="Municipios con cuerpos de bomberos activos administrativamente"/>
    <s v="Municipios con cuerpos de bomberos activos administrativamente"/>
    <n v="16"/>
    <n v="25"/>
    <m/>
    <s v="Cuerpos de bomberos constituidos y reconocidos legalmente en Bolívar"/>
    <s v="Cuerpos de bomberos constituidos y reconocidos legalmente en Bolívar"/>
    <n v="16"/>
    <n v="25"/>
    <n v="0"/>
    <n v="2"/>
    <n v="0.08"/>
    <n v="2"/>
    <n v="0"/>
    <n v="2"/>
    <n v="1"/>
    <s v="Incremento"/>
    <m/>
    <s v="Gobierno territorial"/>
    <n v="45"/>
    <n v="16"/>
    <s v="SECRETARÍA DEL INTERIOR"/>
    <m/>
    <m/>
    <m/>
  </r>
  <r>
    <x v="3"/>
    <x v="3"/>
    <m/>
    <m/>
    <x v="23"/>
    <x v="23"/>
    <m/>
    <m/>
    <x v="66"/>
    <x v="66"/>
    <n v="0"/>
    <n v="0"/>
    <m/>
    <s v="Talento Humano en Teletrabajo"/>
    <s v="Talento Humano en Teletrabajo"/>
    <n v="0"/>
    <n v="40"/>
    <m/>
    <s v="Implementación modelo de Teletrabajo"/>
    <s v="Implementación modelo de Teletrabajo"/>
    <n v="0"/>
    <n v="1"/>
    <n v="0"/>
    <n v="0"/>
    <n v="0"/>
    <n v="1"/>
    <n v="0"/>
    <m/>
    <n v="0"/>
    <s v="Incremento"/>
    <m/>
    <s v="Gobierno Territorial"/>
    <n v="45"/>
    <s v="16. Paz, Justicia e Instituciones Sólidas"/>
    <s v="SECRETARÍA GENERAL "/>
    <m/>
    <m/>
    <m/>
  </r>
  <r>
    <x v="3"/>
    <x v="3"/>
    <m/>
    <m/>
    <x v="23"/>
    <x v="23"/>
    <m/>
    <m/>
    <x v="67"/>
    <x v="67"/>
    <n v="0"/>
    <n v="0"/>
    <m/>
    <s v="Acciones de desarrollo en territorio Departamental"/>
    <s v="Acciones de desarrollo en territorio Departamental"/>
    <n v="0"/>
    <n v="46"/>
    <m/>
    <s v="Ruta de protocolo y_x000a_atención"/>
    <s v="Ruta de protocolo y_x000a_atención"/>
    <n v="0"/>
    <n v="5"/>
    <n v="0"/>
    <n v="0"/>
    <n v="0"/>
    <n v="1"/>
    <n v="0"/>
    <n v="0"/>
    <n v="0"/>
    <s v="Incremento"/>
    <m/>
    <m/>
    <m/>
    <m/>
    <s v="SECRETARIA PRIVADA"/>
    <m/>
    <m/>
    <m/>
  </r>
  <r>
    <x v="3"/>
    <x v="3"/>
    <m/>
    <m/>
    <x v="23"/>
    <x v="23"/>
    <m/>
    <m/>
    <x v="67"/>
    <x v="67"/>
    <m/>
    <m/>
    <m/>
    <s v="Acciones de desarrollo en territorio Departamental"/>
    <s v="Acciones de desarrollo en territorio Departamental"/>
    <n v="0"/>
    <n v="46"/>
    <m/>
    <s v="Sistema de comunicación como herramienta vital para mantener una Red departamental  fortalecida"/>
    <s v="Sistema de comunicación como herramienta vital para mantener una Red departamental  fortalecida"/>
    <n v="0"/>
    <n v="46"/>
    <n v="0"/>
    <n v="0"/>
    <n v="0"/>
    <n v="9"/>
    <n v="0"/>
    <n v="0"/>
    <n v="0"/>
    <s v="Incremento"/>
    <m/>
    <m/>
    <m/>
    <m/>
    <s v="SECRETARIA PRIVADA"/>
    <m/>
    <m/>
    <m/>
  </r>
  <r>
    <x v="3"/>
    <x v="3"/>
    <m/>
    <m/>
    <x v="23"/>
    <x v="23"/>
    <m/>
    <m/>
    <x v="67"/>
    <x v="67"/>
    <m/>
    <m/>
    <m/>
    <s v="Acciones de desarrollo en territorio Departamental"/>
    <s v="Acciones de desarrollo en territorio Departamental"/>
    <n v="0"/>
    <n v="46"/>
    <m/>
    <s v="Canales De_x000a_Comunicación"/>
    <s v="Canales De_x000a_Comunicación"/>
    <n v="0"/>
    <n v="5"/>
    <n v="0"/>
    <n v="0"/>
    <n v="0"/>
    <n v="1"/>
    <n v="0"/>
    <n v="0"/>
    <n v="0"/>
    <s v="Incremento"/>
    <m/>
    <m/>
    <m/>
    <m/>
    <s v="SECRETARIA PRIVADA"/>
    <m/>
    <m/>
    <m/>
  </r>
  <r>
    <x v="3"/>
    <x v="3"/>
    <m/>
    <m/>
    <x v="24"/>
    <x v="24"/>
    <n v="3.5714285714285712E-2"/>
    <n v="0.5"/>
    <x v="68"/>
    <x v="68"/>
    <n v="3.5714285714285712E-2"/>
    <n v="0.5"/>
    <m/>
    <s v="Incremento del recaudo de los Ingresos Corriente de Libre Destinacion"/>
    <s v="Incremento del recaudo de los Ingresos Corriente de Libre Destinacion"/>
    <n v="0"/>
    <n v="0.12"/>
    <m/>
    <s v="Un sistema de Informacion tecnologico que permite el manejo eficiente de los tributos Departamentales"/>
    <s v="Un sistema de Informacion tecnologico que permite el manejo eficiente de los tributos Departamentales"/>
    <n v="0"/>
    <n v="1"/>
    <n v="0"/>
    <n v="0"/>
    <n v="0"/>
    <m/>
    <m/>
    <m/>
    <s v="NP"/>
    <s v="Incremento"/>
    <m/>
    <s v="A.17 FORTALECIMIENTO INSTITUCIONAL"/>
    <s v="01"/>
    <n v="17"/>
    <s v="SECRETARÍA DE HACIENDA"/>
    <m/>
    <m/>
    <m/>
  </r>
  <r>
    <x v="3"/>
    <x v="3"/>
    <m/>
    <m/>
    <x v="24"/>
    <x v="24"/>
    <m/>
    <m/>
    <x v="68"/>
    <x v="68"/>
    <m/>
    <m/>
    <m/>
    <s v="Incremento del recaudo de los Ingresos Corriente de Libre Destinacion"/>
    <s v="Incremento del recaudo de los Ingresos Corriente de Libre Destinacion"/>
    <n v="0"/>
    <n v="0.12"/>
    <m/>
    <s v="Un manual de procedimientos elaborado, socializado e implementado"/>
    <s v="Un manual de procedimientos elaborado, socializado e implementado"/>
    <n v="0"/>
    <n v="1"/>
    <m/>
    <m/>
    <n v="0"/>
    <m/>
    <m/>
    <m/>
    <s v="NP"/>
    <s v="Incremento"/>
    <m/>
    <s v="A.17 FORTALECIMIENTO INSTITUCIONAL"/>
    <s v="01"/>
    <n v="17"/>
    <s v="SECRETARÍA DE HACIENDA"/>
    <m/>
    <m/>
    <m/>
  </r>
  <r>
    <x v="3"/>
    <x v="3"/>
    <m/>
    <m/>
    <x v="24"/>
    <x v="24"/>
    <m/>
    <m/>
    <x v="68"/>
    <x v="68"/>
    <m/>
    <m/>
    <m/>
    <s v="Incremento del recaudo de los Ingresos Corriente de Libre Destinacion"/>
    <s v="Incremento del recaudo de los Ingresos Corriente de Libre Destinacion"/>
    <n v="0"/>
    <n v="0.12"/>
    <m/>
    <s v="Un sistema de informacion para la administracion de las bases de datos del Fondo de Pensiones del departamento de Bolivar"/>
    <s v="Un sistema de informacion para la administracion de las bases de datos del Fondo de Pensiones del departamento de Bolivar"/>
    <n v="0"/>
    <n v="1"/>
    <m/>
    <m/>
    <n v="0"/>
    <m/>
    <m/>
    <m/>
    <s v="NP"/>
    <s v="Incremento"/>
    <m/>
    <s v="A.17 FORTALECIMIENTO INSTITUCIONAL"/>
    <s v="01"/>
    <n v="17"/>
    <s v="SECRETARÍA DE HACIENDA"/>
    <m/>
    <m/>
    <m/>
  </r>
  <r>
    <x v="3"/>
    <x v="3"/>
    <m/>
    <m/>
    <x v="24"/>
    <x v="24"/>
    <m/>
    <m/>
    <x v="68"/>
    <x v="68"/>
    <m/>
    <m/>
    <m/>
    <s v="Incremento del recaudo de los Ingresos Corriente de Libre Destinacion"/>
    <s v="Incremento del recaudo de los Ingresos Corriente de Libre Destinacion"/>
    <n v="0"/>
    <n v="0.12"/>
    <m/>
    <s v="El departamento de Bolivar saneado contablemente"/>
    <s v="El departamento de Bolivar saneado contablemente"/>
    <n v="0"/>
    <n v="1"/>
    <n v="0"/>
    <n v="0"/>
    <n v="0"/>
    <n v="0.25"/>
    <n v="0"/>
    <n v="0"/>
    <n v="0"/>
    <s v="Incremento"/>
    <m/>
    <s v="A.17 FORTALECIMIENTO INSTITUCIONAL"/>
    <n v="99"/>
    <n v="17"/>
    <s v="SECRETARÍA DE HACIENDA"/>
    <m/>
    <m/>
    <m/>
  </r>
  <r>
    <x v="3"/>
    <x v="3"/>
    <m/>
    <m/>
    <x v="24"/>
    <x v="24"/>
    <m/>
    <m/>
    <x v="68"/>
    <x v="68"/>
    <m/>
    <m/>
    <m/>
    <s v="Incremento del recaudo de los Ingresos Corriente de Libre Destinacion"/>
    <s v="Incremento del recaudo de los Ingresos Corriente de Libre Destinacion"/>
    <n v="0"/>
    <n v="0.12"/>
    <m/>
    <s v="Politica Contable Implementada y socializada"/>
    <s v="Politica Contable Implementada y socializada"/>
    <n v="0"/>
    <n v="1"/>
    <m/>
    <m/>
    <n v="0"/>
    <m/>
    <m/>
    <m/>
    <s v="NP"/>
    <s v="Incremento"/>
    <m/>
    <s v="A.17 FORTALECIMIENTO INSTITUCIONAL"/>
    <n v="99"/>
    <n v="17"/>
    <s v="SECRETARÍA DE HACIENDA"/>
    <m/>
    <m/>
    <m/>
  </r>
  <r>
    <x v="3"/>
    <x v="3"/>
    <m/>
    <m/>
    <x v="24"/>
    <x v="24"/>
    <m/>
    <m/>
    <x v="68"/>
    <x v="68"/>
    <m/>
    <m/>
    <m/>
    <s v="Incremento del recaudo de los Ingresos Corriente de Libre Destinacion"/>
    <s v="Incremento del recaudo de los Ingresos Corriente de Libre Destinacion"/>
    <n v="0"/>
    <n v="0.12"/>
    <m/>
    <s v="Cuatro convenios suscritos, uno cada año para el apoyo financiero y operativo de la Secretaria de Hacienda parala lucha contra el contrabando y la evasion"/>
    <s v="Cuatro convenios suscritos, uno cada año para el apoyo financiero y operativo de la Secretaria de Hacienda parala lucha contra el contrabando y la evasion"/>
    <n v="0"/>
    <n v="4"/>
    <n v="1"/>
    <n v="1"/>
    <n v="0.25"/>
    <n v="1"/>
    <n v="1"/>
    <n v="1"/>
    <n v="1"/>
    <s v="Incremento"/>
    <m/>
    <s v="A.17 FORTALECIMIENTO INSTITUCIONAL"/>
    <n v="99"/>
    <n v="17"/>
    <s v="SECRETARÍA DE HACIENDA"/>
    <m/>
    <m/>
    <m/>
  </r>
  <r>
    <x v="3"/>
    <x v="3"/>
    <m/>
    <m/>
    <x v="24"/>
    <x v="24"/>
    <m/>
    <m/>
    <x v="68"/>
    <x v="68"/>
    <m/>
    <m/>
    <m/>
    <s v="Incremento del recaudo de los Ingresos Corriente de Libre Destinacion"/>
    <s v="Incremento del recaudo de los Ingresos Corriente de Libre Destinacion"/>
    <n v="0"/>
    <n v="0.12"/>
    <m/>
    <s v="Numero de municipios capacitados y con asistencia tecnica en materia financiera, tributaria y fiscal"/>
    <s v="Numero de municipios capacitados y con asistencia tecnica en materia financiera, tributaria y fiscal"/>
    <n v="0"/>
    <n v="46"/>
    <m/>
    <m/>
    <n v="0"/>
    <m/>
    <m/>
    <m/>
    <s v="NP"/>
    <s v="Incremento"/>
    <m/>
    <s v="A.17 FORTALECIMIENTO INSTITUCIONAL"/>
    <n v="99"/>
    <n v="17"/>
    <s v="SECRETARÍA DE HACIENDA"/>
    <m/>
    <m/>
    <m/>
  </r>
  <r>
    <x v="3"/>
    <x v="3"/>
    <m/>
    <m/>
    <x v="25"/>
    <x v="23"/>
    <n v="0.10217987134502925"/>
    <n v="0.3429275362318841"/>
    <x v="69"/>
    <x v="69"/>
    <n v="0"/>
    <n v="0.5"/>
    <m/>
    <s v="Ciudadanos con percepción positiva sobre la participación ciudadana en el departamento de Bolívar"/>
    <s v="Ciudadanos con percepción positiva sobre la participación ciudadana en el departamento de Bolívar"/>
    <n v="0"/>
    <n v="50"/>
    <m/>
    <s v="Estrategia integral de Fomento de las veedurías ciudadanas"/>
    <s v="Estrategia integral de Fomento de las veedurías ciudadanas"/>
    <n v="0"/>
    <n v="1"/>
    <m/>
    <m/>
    <n v="0"/>
    <m/>
    <m/>
    <m/>
    <s v="NP"/>
    <s v="Incremento"/>
    <s v="Gobierno territorial"/>
    <n v="45"/>
    <m/>
    <s v="SECRETARÍA DEL INTERIOR"/>
    <s v="SECRETARÍA DEL INTERIOR"/>
    <m/>
    <m/>
    <m/>
  </r>
  <r>
    <x v="3"/>
    <x v="3"/>
    <m/>
    <m/>
    <x v="25"/>
    <x v="23"/>
    <m/>
    <m/>
    <x v="69"/>
    <x v="69"/>
    <m/>
    <m/>
    <m/>
    <s v="Ciudadanos con percepción positiva sobre la participación ciudadana en el departamento de Bolívar"/>
    <s v="Ciudadanos con percepción positiva sobre la participación ciudadana en el departamento de Bolívar"/>
    <n v="0"/>
    <n v="50"/>
    <m/>
    <s v="Consejos Departamental de Participación Ciudadana constituido y en operatividad"/>
    <s v="Consejos Departamental de Participación Ciudadana constituido y en operatividad"/>
    <n v="100"/>
    <n v="100"/>
    <m/>
    <m/>
    <n v="0"/>
    <m/>
    <m/>
    <m/>
    <s v="NP"/>
    <s v="mantiene"/>
    <s v="Gobierno territorial"/>
    <n v="45"/>
    <m/>
    <s v="SECRETARIA DEL INTERIOR"/>
    <s v="SECRETARÍA DEL INTERIOR"/>
    <m/>
    <m/>
    <m/>
  </r>
  <r>
    <x v="3"/>
    <x v="3"/>
    <m/>
    <m/>
    <x v="25"/>
    <x v="23"/>
    <m/>
    <m/>
    <x v="69"/>
    <x v="69"/>
    <m/>
    <m/>
    <m/>
    <s v="Ciudadanos con percepción positiva sobre la participación ciudadana en el departamento de Bolívar"/>
    <s v="Ciudadanos con percepción positiva sobre la participación ciudadana en el departamento de Bolívar"/>
    <n v="0"/>
    <n v="50"/>
    <m/>
    <s v="Comités, consejos, consultivas, otros espacios de participación ciudadana orientados por la ley y política públicas en operatividad"/>
    <s v="Comités, consejos, consultivas, otros espacios de participación ciudadana orientados por la ley y política públicas en operatividad"/>
    <n v="50"/>
    <n v="80"/>
    <s v="12.5%"/>
    <n v="0"/>
    <n v="0"/>
    <n v="10"/>
    <n v="10"/>
    <n v="10"/>
    <n v="1"/>
    <s v="Incremento"/>
    <s v="Gobierno territorial"/>
    <n v="45"/>
    <m/>
    <s v="SECRETARÍA DEL INTERIOR"/>
    <s v="SECRETARÍA DEL INTERIOR"/>
    <m/>
    <m/>
    <m/>
  </r>
  <r>
    <x v="3"/>
    <x v="3"/>
    <m/>
    <m/>
    <x v="25"/>
    <x v="23"/>
    <m/>
    <m/>
    <x v="69"/>
    <x v="69"/>
    <m/>
    <m/>
    <m/>
    <s v="Ciudadanos con percepción positiva sobre la participación ciudadana en el departamento de Bolívar"/>
    <s v="Ciudadanos con percepción positiva sobre la participación ciudadana en el departamento de Bolívar"/>
    <n v="0"/>
    <n v="50"/>
    <m/>
    <s v="Rendición de cuentas de la administración departamental coordinada y realizada"/>
    <s v="Rendición de cuentas de la administración departamental coordinada y realizada"/>
    <n v="4"/>
    <n v="4"/>
    <n v="0"/>
    <n v="0"/>
    <n v="0"/>
    <n v="1"/>
    <n v="0"/>
    <n v="0"/>
    <n v="0"/>
    <s v="mantiene"/>
    <s v="Gobierno territorial"/>
    <n v="45"/>
    <m/>
    <s v="SECRETARÍA DEL INTERIOR"/>
    <s v="SECRETARÍA DEL INTERIOR"/>
    <m/>
    <m/>
    <m/>
  </r>
  <r>
    <x v="3"/>
    <x v="3"/>
    <m/>
    <m/>
    <x v="25"/>
    <x v="25"/>
    <m/>
    <m/>
    <x v="70"/>
    <x v="70"/>
    <n v="7.4999999999999997E-2"/>
    <n v="1"/>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Política Publica Departamental Comunal elaborada e implementada (con seguimiento)"/>
    <s v="Política Publica Departamental Comunal elaborada e implementada (con seguimiento)"/>
    <n v="0"/>
    <n v="40"/>
    <n v="0"/>
    <n v="5"/>
    <n v="0.125"/>
    <n v="5"/>
    <n v="0"/>
    <n v="5"/>
    <n v="1"/>
    <s v="Incremento"/>
    <m/>
    <s v="Gobierno territorial"/>
    <n v="45"/>
    <n v="10"/>
    <s v="SECRETARÍA DEL INTERIOR"/>
    <m/>
    <m/>
    <m/>
  </r>
  <r>
    <x v="3"/>
    <x v="3"/>
    <m/>
    <m/>
    <x v="25"/>
    <x v="25"/>
    <m/>
    <m/>
    <x v="70"/>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Organizaciones comunales participantes en los procesos de elecciones según calendario"/>
    <s v="Organizaciones comunales participantes en los procesos de elecciones según calendario"/>
    <s v="N/D"/>
    <n v="1000"/>
    <n v="0"/>
    <n v="100"/>
    <n v="0.1"/>
    <n v="100"/>
    <n v="0"/>
    <n v="100"/>
    <n v="1"/>
    <s v="Incremento"/>
    <m/>
    <s v="Gobierno territorial"/>
    <n v="45"/>
    <n v="10"/>
    <s v="SECRETARÍA DEL INTERIOR"/>
    <m/>
    <m/>
    <m/>
  </r>
  <r>
    <x v="3"/>
    <x v="3"/>
    <m/>
    <m/>
    <x v="25"/>
    <x v="25"/>
    <m/>
    <m/>
    <x v="70"/>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Dependencia o instituto departamental de fortalecimiento de la participación ciudadana y la acción comunal gestionado"/>
    <s v="Dependencia o instituto departamental de fortalecimiento de la participación ciudadana y la acción comunal gestionado"/>
    <n v="0"/>
    <n v="1"/>
    <m/>
    <m/>
    <n v="0"/>
    <m/>
    <m/>
    <m/>
    <s v="NP"/>
    <s v="Incremento"/>
    <m/>
    <s v="Gobierno territorial"/>
    <n v="45"/>
    <n v="10"/>
    <s v="SECRETARÍA DEL INTERIOR"/>
    <m/>
    <m/>
    <m/>
  </r>
  <r>
    <x v="3"/>
    <x v="3"/>
    <m/>
    <m/>
    <x v="25"/>
    <x v="25"/>
    <m/>
    <m/>
    <x v="71"/>
    <x v="71"/>
    <n v="0.5"/>
    <n v="1"/>
    <m/>
    <s v="Municipios con elecciones libres y seguras"/>
    <s v="Municipios con elecciones libres y seguras"/>
    <n v="45"/>
    <n v="45"/>
    <m/>
    <s v="Procesos electorales desarrollados en Bolívar"/>
    <s v="procesos electorales"/>
    <n v="1"/>
    <n v="2"/>
    <n v="0"/>
    <n v="1"/>
    <n v="0.5"/>
    <n v="1"/>
    <n v="0"/>
    <n v="1"/>
    <n v="1"/>
    <s v="Incremento"/>
    <m/>
    <s v="Gobierno territorial"/>
    <n v="45"/>
    <n v="16"/>
    <s v="SECRETARÍA DEL INTERIOR"/>
    <m/>
    <m/>
    <m/>
  </r>
  <r>
    <x v="3"/>
    <x v="3"/>
    <m/>
    <m/>
    <x v="25"/>
    <x v="25"/>
    <m/>
    <m/>
    <x v="72"/>
    <x v="72"/>
    <n v="0"/>
    <s v="NP"/>
    <m/>
    <s v="Lograr que los Bolivarenses se sienten orgullosos de su Departamento"/>
    <s v="Lograr que los Bolivarenses se sienten orgullosos de su Departamento"/>
    <n v="0"/>
    <n v="0.6"/>
    <m/>
    <s v="Realizar un sondeo para determinar el orgullo Bolivarense"/>
    <s v="Realizar un sondeo para determinar el orgullo Bolivarense"/>
    <s v="N/D"/>
    <n v="1"/>
    <m/>
    <m/>
    <n v="0"/>
    <m/>
    <m/>
    <m/>
    <s v="NP"/>
    <s v="Incremento"/>
    <m/>
    <s v="Gobierno territorial"/>
    <n v="45"/>
    <n v="16"/>
    <s v="SECRETARÍA DEL INTERIOR"/>
    <m/>
    <m/>
    <m/>
  </r>
  <r>
    <x v="3"/>
    <x v="3"/>
    <m/>
    <m/>
    <x v="25"/>
    <x v="25"/>
    <m/>
    <m/>
    <x v="72"/>
    <x v="72"/>
    <m/>
    <m/>
    <m/>
    <s v="Lograr que los Bolivarenses se sienten orgullosos de su Departamento"/>
    <s v="Lograr que los Bolivarenses se sienten orgullosos de su Departamento"/>
    <n v="0"/>
    <n v="0.6"/>
    <m/>
    <s v="Realizar 4 campañas para fomentar el sentido de pertenencia y la identidad en municipios del Departamento de Bolívar"/>
    <s v="Realizar 4 campañas para fomentar el sentido de pertenencia y la identidad en municipios del Departamento de Bolívar"/>
    <n v="1"/>
    <n v="4"/>
    <m/>
    <m/>
    <n v="0"/>
    <m/>
    <m/>
    <m/>
    <s v="NP"/>
    <s v="Incremento"/>
    <m/>
    <s v="Gobierno territorial"/>
    <n v="45"/>
    <n v="16"/>
    <s v="SECRETARÍA DEL INTERIOR"/>
    <m/>
    <m/>
    <m/>
  </r>
  <r>
    <x v="3"/>
    <x v="3"/>
    <m/>
    <m/>
    <x v="25"/>
    <x v="25"/>
    <m/>
    <m/>
    <x v="72"/>
    <x v="72"/>
    <m/>
    <m/>
    <m/>
    <s v="Lograr que los Bolivarenses se sienten orgullosos de su Departamento"/>
    <s v="Lograr que los Bolivarenses se sienten orgullosos de su Departamento"/>
    <n v="0"/>
    <n v="0.6"/>
    <m/>
    <s v="Establecer el día del Orgullo Bolivarense"/>
    <s v="Establecer el día del Orgullo Bolivarense"/>
    <n v="0"/>
    <n v="1"/>
    <m/>
    <m/>
    <n v="0"/>
    <m/>
    <m/>
    <m/>
    <s v="NP"/>
    <s v="Incremento"/>
    <m/>
    <s v="Gobierno territorial"/>
    <n v="45"/>
    <n v="16"/>
    <s v="SECRETARÍA DEL INTERIOR"/>
    <m/>
    <m/>
    <m/>
  </r>
  <r>
    <x v="4"/>
    <x v="4"/>
    <n v="6.2378711484593841E-2"/>
    <n v="0.77633333333333332"/>
    <x v="26"/>
    <x v="26"/>
    <n v="6.2378711484593841E-2"/>
    <n v="0.77633333333333332"/>
    <x v="73"/>
    <x v="73"/>
    <n v="0"/>
    <s v="NP"/>
    <m/>
    <s v="100 % de Población rural bolivarense a la que se le garantiza el goce y disfrute de sus derechos sociales."/>
    <s v="Población rural bolivarense a la que se le garantiza el goce y disfrute de sus derechos sociales."/>
    <s v="ND"/>
    <n v="100"/>
    <m/>
    <s v="22 Jornadas de tramites de_x000a_documentos a miembros de la población rural del departamento de Bolívar"/>
    <s v="Jornadas de tramites de_x000a_documentos a miembros de la población rural del departamento de Bolívar"/>
    <s v="ND"/>
    <n v="22"/>
    <m/>
    <m/>
    <n v="0"/>
    <m/>
    <m/>
    <m/>
    <s v="NP"/>
    <s v="Incremento"/>
    <m/>
    <s v="NA"/>
    <m/>
    <n v="1"/>
    <s v="SECRETARÍA DE LA MUJER"/>
    <m/>
    <m/>
    <m/>
  </r>
  <r>
    <x v="4"/>
    <x v="4"/>
    <m/>
    <m/>
    <x v="26"/>
    <x v="26"/>
    <m/>
    <m/>
    <x v="73"/>
    <x v="73"/>
    <m/>
    <m/>
    <m/>
    <s v="100 % de Población rural bolivarense a la que se le garantiza el goce y disfrute de sus derechos sociales."/>
    <s v="Población rural bolivarense a la que se le garantiza el goce y disfrute de sus derechos sociales."/>
    <s v="ND"/>
    <n v="100"/>
    <m/>
    <s v="Familias rurales atendidas para el fortalecimiento del núcleo familiar y la convivencia comunitariar"/>
    <s v="Familias rurales atendidas para el fortalecimiento del núcleo familiar y la convivencia comunitariar"/>
    <s v="ND"/>
    <n v="100"/>
    <m/>
    <m/>
    <n v="0"/>
    <m/>
    <m/>
    <m/>
    <s v="NP"/>
    <s v="Incremento"/>
    <m/>
    <s v="NA"/>
    <m/>
    <n v="1"/>
    <s v="SECRETARÍA DE LA MUJER"/>
    <m/>
    <m/>
    <m/>
  </r>
  <r>
    <x v="4"/>
    <x v="4"/>
    <m/>
    <m/>
    <x v="26"/>
    <x v="26"/>
    <m/>
    <m/>
    <x v="73"/>
    <x v="73"/>
    <m/>
    <m/>
    <m/>
    <s v="Población rural bolivarense a la que se le garantiza el goce y disfrute de sus derechos sociales."/>
    <s v="Población rural bolivarense a la que se le garantiza el goce y disfrute de sus derechos sociales."/>
    <s v="ND"/>
    <n v="100"/>
    <m/>
    <s v="Casas de justicia operando que facilitan el acceso a la justicia a la población rural"/>
    <s v="Casas de justicia operando que facilitan el acceso a la justicia a la población rural"/>
    <s v="ND"/>
    <n v="1"/>
    <m/>
    <m/>
    <n v="0"/>
    <m/>
    <m/>
    <m/>
    <s v="NP"/>
    <s v="Incremento"/>
    <m/>
    <m/>
    <n v="45"/>
    <n v="10"/>
    <s v="SECRETARÍA DEL INTERIOR"/>
    <m/>
    <m/>
    <m/>
  </r>
  <r>
    <x v="4"/>
    <x v="4"/>
    <m/>
    <m/>
    <x v="26"/>
    <x v="26"/>
    <m/>
    <m/>
    <x v="73"/>
    <x v="73"/>
    <m/>
    <m/>
    <m/>
    <s v="Población rural bolivarense a la que se le garantiza el goce y disfrute de sus derechos sociales."/>
    <s v="Población rural bolivarense a la que se le garantiza el goce y disfrute de sus derechos sociales."/>
    <s v="ND"/>
    <n v="100"/>
    <m/>
    <s v="Personas del sector rural víctimas de un delito que denuncian"/>
    <s v="Personas del sector rural víctimas de un delito que denuncian"/>
    <s v="ND"/>
    <n v="10"/>
    <m/>
    <m/>
    <n v="0"/>
    <m/>
    <m/>
    <m/>
    <s v="NP"/>
    <s v="Incremento"/>
    <m/>
    <m/>
    <n v="45"/>
    <n v="10"/>
    <s v="SECRETARÍA DEL INTERIOR"/>
    <m/>
    <m/>
    <m/>
  </r>
  <r>
    <x v="4"/>
    <x v="4"/>
    <m/>
    <m/>
    <x v="26"/>
    <x v="26"/>
    <m/>
    <m/>
    <x v="73"/>
    <x v="73"/>
    <m/>
    <m/>
    <m/>
    <s v="Población rural bolivarense a la que se le garantiza el goce y disfrute de sus derechos sociales."/>
    <s v="Población rural bolivarense a la que se le garantiza el goce y disfrute de sus derechos sociales."/>
    <s v="ND"/>
    <n v="1"/>
    <m/>
    <s v="Viviendas nuevas rurales iniciadas con el proposito de reducir del deficit cuantitativo"/>
    <s v="Viviendas nuevas rurales iniciadas con el proposito de reducir del deficit cuantitativo"/>
    <n v="48042"/>
    <n v="800"/>
    <m/>
    <m/>
    <n v="0"/>
    <m/>
    <m/>
    <m/>
    <s v="NP"/>
    <s v="Incremento"/>
    <n v="0"/>
    <s v="Vivienda"/>
    <n v="40"/>
    <s v="11 Ciudades y comunidades sostenibles"/>
    <s v="SECRETARÍA DE HÁBITAT"/>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Mejoramiento de viviendas rurales iniciados para la reducción del deficit cualitativo"/>
    <s v="Mejoramiento de viviendas rurales iniciados para la reducción del deficit cualitativo"/>
    <n v="78004"/>
    <n v="800"/>
    <m/>
    <m/>
    <n v="0"/>
    <m/>
    <m/>
    <m/>
    <s v="NP"/>
    <s v="Incremento"/>
    <n v="0"/>
    <s v="Vivienda"/>
    <n v="40"/>
    <s v="11 Ciudades y comunidades sostenibles"/>
    <s v="SECRETARÍA DE HÁBITAT"/>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Viviendas nuevas rurales iniciadas para madres cabezas de familia"/>
    <s v="Viviendas nuevas rurales iniciadas para madres cabezas de familia"/>
    <s v="ND"/>
    <n v="200"/>
    <m/>
    <m/>
    <n v="0"/>
    <m/>
    <m/>
    <m/>
    <s v="NP"/>
    <s v="Incremento"/>
    <n v="0"/>
    <s v="Vivienda"/>
    <n v="40"/>
    <s v="11 Ciudades y comunidades sostenibles"/>
    <s v="SECRETARÍA DE HÁBITAT / SECRETARÍA DE LA MUJER"/>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Mejoramiento de viviendas rurales para madres campesinas cabezas de hogar"/>
    <s v="Mejoramiento de viviendas rurales para madres campesinas cabezas de hogar"/>
    <s v="ND"/>
    <n v="200"/>
    <m/>
    <m/>
    <n v="0"/>
    <m/>
    <m/>
    <m/>
    <s v="NP"/>
    <s v="Incremento"/>
    <n v="0"/>
    <s v="Vivienda"/>
    <n v="40"/>
    <s v="11 Ciudades y comunidades sostenibles"/>
    <s v="SECRETARÍA DE HÁBITAT / SECRETARÍA DE LA MUJER"/>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Espacio público rural habilitado."/>
    <s v="Espacio público rural habilitado."/>
    <s v="ND"/>
    <n v="5000"/>
    <m/>
    <m/>
    <n v="0"/>
    <m/>
    <m/>
    <m/>
    <s v="NP"/>
    <s v="Incremento"/>
    <m/>
    <s v="Vivienda"/>
    <n v="40"/>
    <s v="11 Ciudades y comunidades sostenibles"/>
    <s v="SECRETARÍA DE INFRAESTRUCTURA"/>
    <m/>
    <m/>
    <m/>
  </r>
  <r>
    <x v="4"/>
    <x v="4"/>
    <m/>
    <m/>
    <x v="26"/>
    <x v="26"/>
    <m/>
    <m/>
    <x v="74"/>
    <x v="74"/>
    <n v="0"/>
    <s v="NP"/>
    <m/>
    <s v="Establecimientos educativos del sector rural mejoran su infraestructura y calidad"/>
    <s v="Establecimientos educativos del sector rural mejoran su infraestructura y calidad"/>
    <s v="ND"/>
    <n v="1"/>
    <m/>
    <s v="Espacios pedagógicos rurales_x000a_nuevos y mejorados."/>
    <s v="Espacios pedagógicos rurales_x000a_nuevos y mejorados."/>
    <n v="0"/>
    <n v="0"/>
    <m/>
    <m/>
    <n v="0"/>
    <m/>
    <m/>
    <m/>
    <s v="NP"/>
    <s v="Incremento"/>
    <m/>
    <m/>
    <m/>
    <m/>
    <s v="SECRETARÍA DE EDUCACIÓN"/>
    <m/>
    <m/>
    <m/>
  </r>
  <r>
    <x v="4"/>
    <x v="4"/>
    <m/>
    <m/>
    <x v="26"/>
    <x v="26"/>
    <m/>
    <m/>
    <x v="74"/>
    <x v="74"/>
    <m/>
    <m/>
    <m/>
    <s v="Establecimientos educativos del sector rural mejoran su infraestructura y calidad"/>
    <s v="Establecimientos educativos del sector rural mejoran su infraestructura y calidad"/>
    <s v="ND"/>
    <n v="1"/>
    <m/>
    <s v="Establecimientos educativos  rurales con dotación básica y/o especializada"/>
    <s v="Establecimientos educativos  rurales con dotación básica y/o especializada"/>
    <n v="85"/>
    <n v="0.1"/>
    <m/>
    <m/>
    <n v="0"/>
    <m/>
    <m/>
    <m/>
    <s v="NP"/>
    <s v="Incremento"/>
    <m/>
    <m/>
    <m/>
    <m/>
    <s v="SECRETARÍA DE EDUCACIÓN"/>
    <m/>
    <m/>
    <m/>
  </r>
  <r>
    <x v="4"/>
    <x v="4"/>
    <m/>
    <m/>
    <x v="26"/>
    <x v="26"/>
    <m/>
    <m/>
    <x v="74"/>
    <x v="74"/>
    <m/>
    <m/>
    <m/>
    <s v="Establecimientos educativos del sector rural mejoran su infraestructura y calidad"/>
    <s v="Establecimientos educativos del sector rural mejoran su infraestructura y calidad"/>
    <s v="ND"/>
    <n v="1"/>
    <m/>
    <s v="Establecimientos Educativos rurales que mejoraron los resultados en las Pruebas Saber"/>
    <s v="Establecimientos Educativos rurales que mejoraron los resultados en las Pruebas Saber"/>
    <s v="N.D"/>
    <n v="10"/>
    <m/>
    <m/>
    <n v="0"/>
    <m/>
    <m/>
    <m/>
    <s v="NP"/>
    <s v="Incremento"/>
    <m/>
    <m/>
    <m/>
    <m/>
    <s v="SECRETARÍA DE EDUCACIÓN"/>
    <m/>
    <m/>
    <m/>
  </r>
  <r>
    <x v="4"/>
    <x v="4"/>
    <m/>
    <m/>
    <x v="26"/>
    <x v="26"/>
    <m/>
    <m/>
    <x v="74"/>
    <x v="74"/>
    <m/>
    <m/>
    <m/>
    <s v="Establecimientos educativos del sector rural mejoran su infraestructura y calidad"/>
    <s v="Establecimientos educativos del sector rural mejoran su infraestructura y calidad"/>
    <s v="ND"/>
    <n v="1"/>
    <m/>
    <s v="I.E rurales a los que se les garantiza seguridad alimentaria"/>
    <s v="I.E rurales a los que se les garantiza seguridad alimentaria"/>
    <s v="N.D"/>
    <n v="10"/>
    <m/>
    <m/>
    <n v="0"/>
    <m/>
    <m/>
    <m/>
    <s v="NP"/>
    <s v="Incremento"/>
    <m/>
    <m/>
    <m/>
    <m/>
    <s v="SECRETARÍA DE EDUCACIÓN"/>
    <m/>
    <m/>
    <m/>
  </r>
  <r>
    <x v="4"/>
    <x v="4"/>
    <m/>
    <m/>
    <x v="26"/>
    <x v="26"/>
    <m/>
    <m/>
    <x v="75"/>
    <x v="75"/>
    <n v="5.3333333333333337E-2"/>
    <n v="1"/>
    <m/>
    <s v="Aumento de cobertura en el suministro de agua potable en el sector rural"/>
    <s v="Aumento de cobertura en el suministro de agua potable en el sector rural"/>
    <n v="0.41"/>
    <s v="Aumentar en 9 puntos (a 50%) la cobertura de agua potable en zona rural en el departamento de Bolívar"/>
    <m/>
    <s v="Construcción y/o rehabilitación de sistemas de acueducto para aumentar cobertura del servicio en zona rural en el departamento de Bolívar"/>
    <s v="Construcción y/o rehabilitación de sistemas de acueducto para aumentar cobertura del servicio en zona rural en el departamento de Bolívar"/>
    <n v="13"/>
    <n v="25"/>
    <n v="1"/>
    <n v="4"/>
    <n v="0.16"/>
    <n v="1"/>
    <n v="1"/>
    <n v="1"/>
    <n v="1"/>
    <s v="Incremento"/>
    <m/>
    <s v="Vivienda"/>
    <n v="40"/>
    <s v="6 Agua limpia y saneamiento"/>
    <s v="SECRETARÍA DE HÁBITAT Y AGUAS DE BOLÍVAR S.A. E.S.P."/>
    <n v="0"/>
    <n v="0"/>
    <n v="0"/>
  </r>
  <r>
    <x v="4"/>
    <x v="4"/>
    <m/>
    <m/>
    <x v="26"/>
    <x v="26"/>
    <m/>
    <m/>
    <x v="75"/>
    <x v="75"/>
    <m/>
    <m/>
    <m/>
    <s v="Aumento de la cobertura en el servicio de alcantarillado en el sector rural"/>
    <s v="Aumento de la cobertura en el servicio de alcantarillado en el sector rural"/>
    <n v="0.03"/>
    <s v="Aumentar en 3 puntos (a 6%) la cobertura de alcantarillado en zona rural en el departamento de Bolívar"/>
    <m/>
    <s v="Construcción y/o rehabilitación de sistemas de alcantarillado para aumentar cobertura del servicio en zona rural en el departamento de Bolívar"/>
    <s v="Construcción y/o rehabilitación de sistemas de alcantarillado para aumentar cobertura del servicio en zona rural en el departamento de Bolívar"/>
    <n v="0"/>
    <n v="6"/>
    <m/>
    <m/>
    <n v="0"/>
    <m/>
    <m/>
    <m/>
    <s v="NP"/>
    <s v="Incremento"/>
    <m/>
    <s v="Vivienda"/>
    <n v="40"/>
    <s v="6 Agua limpia y saneamiento"/>
    <s v="SECRETARÍA DE HÁBITAT Y AGUAS DE BOLÍVAR S.A. E.S.P."/>
    <n v="0"/>
    <n v="0"/>
    <n v="0"/>
  </r>
  <r>
    <x v="4"/>
    <x v="4"/>
    <m/>
    <m/>
    <x v="26"/>
    <x v="26"/>
    <m/>
    <m/>
    <x v="75"/>
    <x v="75"/>
    <m/>
    <m/>
    <m/>
    <s v="Aumento de la cobertura en el suministro de Energía en el sector rural"/>
    <s v="Aumento de la cobertura en el suministro de Energía en el sector rural"/>
    <n v="0.7"/>
    <n v="0.85"/>
    <m/>
    <s v="Viviendas en zonas rurales_x000a_con suministro de energía_x000a_desde fuentes de energía_x000a_renovables"/>
    <s v="Viviendas en zonas rurales_x000a_con suministro de energía_x000a_desde fuentes de energía_x000a_renovables"/>
    <s v="N.D"/>
    <n v="1000"/>
    <m/>
    <m/>
    <n v="0"/>
    <m/>
    <m/>
    <m/>
    <s v="NP"/>
    <s v="Incremento"/>
    <m/>
    <m/>
    <m/>
    <m/>
    <s v="SECRETARÍA DE HÁBITAT Y AGUAS DE BOLÍVAR S.A. E.S.P."/>
    <m/>
    <m/>
    <m/>
  </r>
  <r>
    <x v="4"/>
    <x v="4"/>
    <m/>
    <m/>
    <x v="26"/>
    <x v="26"/>
    <m/>
    <m/>
    <x v="76"/>
    <x v="76"/>
    <n v="0.15526666666666666"/>
    <n v="0.80266666666666664"/>
    <m/>
    <s v="Hogares rurales de Bolívar que han aumentado su productividad"/>
    <s v="% de Hogares rurales de bolivar que han aumentado su productividad"/>
    <s v="ND"/>
    <n v="1"/>
    <m/>
    <s v="20 Hogares rurales de Bolívar que han aumentado su productividad"/>
    <s v="Numero de Hogares rurales de Bolívar que han aumentado su productividad"/>
    <s v="ND"/>
    <n v="20"/>
    <n v="0"/>
    <n v="20"/>
    <n v="1"/>
    <n v="20"/>
    <n v="0"/>
    <n v="20"/>
    <n v="1"/>
    <s v="Incremento"/>
    <s v="Entrega de insumos, semilla, herramienta, maquinaria para pequeños ´productores del departamento"/>
    <s v="Agropecuario"/>
    <m/>
    <s v="Hambre cero"/>
    <s v="SECRETARÍA DE AGRICULTURA"/>
    <m/>
    <m/>
    <m/>
  </r>
  <r>
    <x v="4"/>
    <x v="4"/>
    <m/>
    <m/>
    <x v="26"/>
    <x v="26"/>
    <m/>
    <m/>
    <x v="76"/>
    <x v="76"/>
    <m/>
    <m/>
    <m/>
    <s v="Escuelas rurales que brindan educación media articulada con la vocación del territorio."/>
    <s v="% Escuelas rurales que brindan educación media articulada con la vocación del territorio."/>
    <s v="ND"/>
    <n v="1"/>
    <m/>
    <s v="Escuelas rurales que brindan educación media articulada con la vocación del territorio."/>
    <s v="Numero de Escuelas rurales que brindan educación media articulada con la vocación del territorio."/>
    <s v="ND"/>
    <n v="1"/>
    <m/>
    <m/>
    <n v="0"/>
    <m/>
    <m/>
    <m/>
    <s v="NP"/>
    <s v="Incremento"/>
    <m/>
    <s v=" "/>
    <m/>
    <s v="Fin de la pobreza"/>
    <s v="SECRETARÍA DE AGRICULTURA"/>
    <m/>
    <m/>
    <m/>
  </r>
  <r>
    <x v="4"/>
    <x v="4"/>
    <m/>
    <m/>
    <x v="26"/>
    <x v="26"/>
    <m/>
    <m/>
    <x v="76"/>
    <x v="76"/>
    <m/>
    <m/>
    <m/>
    <s v="Encadenamientos productivos que benefician familias rurales acompañados y apoyados. "/>
    <s v="% de Encadenamientos productivos que benefician familias rurales acompañados y apoyados. "/>
    <s v="ND"/>
    <n v="1"/>
    <m/>
    <s v="4 Encadenamientos productivos que benefician familias rurales acompañados y apoyados. "/>
    <s v="Numero de  Encadenamientos productivos que benefician familias rurales acompañados y apoyados. "/>
    <s v="ND"/>
    <n v="4"/>
    <n v="0"/>
    <n v="1"/>
    <n v="0.25"/>
    <n v="1"/>
    <n v="0"/>
    <n v="1"/>
    <n v="1"/>
    <s v="Incremento"/>
    <s v="Entrega de insumos y semilla para pequeños ´productores del departamento"/>
    <s v="Agropecuario"/>
    <m/>
    <s v="Fin de la pobreza"/>
    <s v="SECRETARÍA DE AGRICULTURA"/>
    <m/>
    <m/>
    <m/>
  </r>
  <r>
    <x v="4"/>
    <x v="4"/>
    <m/>
    <m/>
    <x v="26"/>
    <x v="26"/>
    <m/>
    <m/>
    <x v="76"/>
    <x v="76"/>
    <m/>
    <m/>
    <m/>
    <s v="Asociaciones de pequeños productores conformadas y apoyadas."/>
    <s v="% de Asociaciones de pequeños productores conformadas y apoyadas."/>
    <s v="ND"/>
    <n v="0.2"/>
    <m/>
    <s v="una  Asociaciones de pequeños productores conformadas y apoyadas."/>
    <s v="Numero de   Asociaciones de pequeños productores conformadas y apoyadas."/>
    <s v="ND"/>
    <n v="1"/>
    <m/>
    <m/>
    <n v="0"/>
    <m/>
    <m/>
    <m/>
    <s v="NP"/>
    <s v="Incremento"/>
    <m/>
    <m/>
    <m/>
    <s v="Fin de la pobreza"/>
    <s v="SECRETARÍA DE AGRICULTURA"/>
    <m/>
    <m/>
    <m/>
  </r>
  <r>
    <x v="4"/>
    <x v="4"/>
    <m/>
    <m/>
    <x v="26"/>
    <x v="26"/>
    <m/>
    <m/>
    <x v="76"/>
    <x v="76"/>
    <m/>
    <m/>
    <m/>
    <s v="Proyectos productivos con enfoque poblacional, para población rural bolivarense_x000a_presentados y aprobados"/>
    <s v="% de Proyectos productivos con enfoque poblacional, para población rural bolivarense_x000a_presentados y aprobados"/>
    <s v="ND"/>
    <n v="1"/>
    <m/>
    <s v="Proyectos productivos con enfoque poblacional, para población rural bolivarense_x000a_presentados y aprobados"/>
    <s v="Numero de Proyectos productivos con enfoque poblacional, para población rural bolivarense_x000a_presentados y aprobados"/>
    <s v="ND"/>
    <n v="6"/>
    <m/>
    <m/>
    <n v="0"/>
    <m/>
    <m/>
    <m/>
    <s v="NP"/>
    <s v="Incremento"/>
    <s v="Proyectos productivos para poblaciones minorias"/>
    <m/>
    <m/>
    <s v="Fin de la pobreza"/>
    <s v="SECRETARÍA DE AGRICULTURA"/>
    <m/>
    <m/>
    <m/>
  </r>
  <r>
    <x v="4"/>
    <x v="4"/>
    <m/>
    <m/>
    <x v="26"/>
    <x v="26"/>
    <m/>
    <m/>
    <x v="76"/>
    <x v="76"/>
    <m/>
    <m/>
    <m/>
    <s v="Proyectos productivos con enfoque de género, para apoyar a mujeres campesinas_x000a_bolivarenses presentados y_x000a_aprobados."/>
    <s v="% de Proyectos productivos con enfoque de género, para apoyar a mujeres campesinas_x000a_bolivarenses presentados y_x000a_aprobados."/>
    <s v="ND"/>
    <n v="1"/>
    <m/>
    <s v="Proyectos productivos con enfoque de género, para apoyar a mujeres campesinas_x000a_bolivarenses presentados y_x000a_aprobados."/>
    <s v="Numero de Proyectos productivos con enfoque de género, para apoyar a mujeres campesinas_x000a_bolivarenses presentados y_x000a_aprobados."/>
    <s v="ND"/>
    <n v="4"/>
    <m/>
    <m/>
    <n v="0"/>
    <m/>
    <m/>
    <m/>
    <s v="NP"/>
    <s v="Incremento"/>
    <s v="Proyectos productivos con enfoque de genero"/>
    <m/>
    <m/>
    <s v="Fin de la pobreza"/>
    <s v="SECRETARÍA DE AGRICULTURA"/>
    <m/>
    <m/>
    <m/>
  </r>
  <r>
    <x v="4"/>
    <x v="4"/>
    <m/>
    <m/>
    <x v="26"/>
    <x v="26"/>
    <m/>
    <m/>
    <x v="76"/>
    <x v="76"/>
    <m/>
    <m/>
    <m/>
    <s v="Fondos de desarrollo rural creados para el fomento de la asociatividad."/>
    <s v="Fondos de desarrollo rural creados para el fomento de la asociatividad "/>
    <s v="ND"/>
    <n v="1"/>
    <m/>
    <s v="Un Fondos de desarrollo rural creados para el fomento de la asociatividad "/>
    <s v="Un Fondos de desarrollo rural creados para el fomento de la asociatividad "/>
    <s v="ND"/>
    <n v="1"/>
    <m/>
    <m/>
    <n v="0"/>
    <m/>
    <m/>
    <m/>
    <s v="NP"/>
    <s v="Incremento"/>
    <m/>
    <m/>
    <m/>
    <s v="Fin de la pobreza"/>
    <s v="SECRETARÍA DE AGRICULTURA"/>
    <m/>
    <m/>
    <m/>
  </r>
  <r>
    <x v="4"/>
    <x v="4"/>
    <m/>
    <m/>
    <x v="26"/>
    <x v="26"/>
    <m/>
    <m/>
    <x v="76"/>
    <x v="76"/>
    <m/>
    <m/>
    <m/>
    <s v="Talleres de capacitación para promover la productividad la asociatividad y los emprendimientos familiares "/>
    <s v="% Talleres de capacitación para promover la productividad la asociatividad y los emprendimientos familiares "/>
    <s v="ND"/>
    <n v="1"/>
    <m/>
    <s v="12 Talleres de capacitación para promover la productividad la asociatividad y los emprendimientos familiares "/>
    <s v="Numero de  Talleres de capacitación para promover la productividad la asociatividad y los emprendimientos familiares "/>
    <s v="ND"/>
    <n v="12"/>
    <n v="0"/>
    <n v="3"/>
    <n v="0.25"/>
    <n v="3"/>
    <n v="0"/>
    <n v="3"/>
    <n v="1"/>
    <s v="Incremento"/>
    <s v="Talleres realizados en el desarrollo del proyecto de extension agropecuria del departamento de Bolivar en 10 encadenamientos productivos"/>
    <m/>
    <m/>
    <s v="Fin de la pobreza"/>
    <s v="SECRETARÍA DE AGRICULTURA"/>
    <m/>
    <m/>
    <m/>
  </r>
  <r>
    <x v="4"/>
    <x v="4"/>
    <m/>
    <m/>
    <x v="26"/>
    <x v="26"/>
    <m/>
    <m/>
    <x v="76"/>
    <x v="76"/>
    <m/>
    <m/>
    <m/>
    <s v="Jóvenes rurales adquieren competencias laborales a través de la Educación para el Trabajo y el Desarrollo_x000a_Humano"/>
    <s v="% de Jóvenes rurales adquieren competencias laborales a través de la Educación para el Trabajo y el Desarrollo_x000a_Humano"/>
    <s v="ND"/>
    <n v="1"/>
    <m/>
    <s v="1500  Jóvenes rurales adquieren competencias laborales a través de la Educación para el Trabajo y el Desarrollo_x000a_Humano"/>
    <s v="Numero de   Jóvenes rurales adquieren competencias laborales a través de la Educación para el Trabajo y el Desarrollo_x000a_Humano"/>
    <s v="ND"/>
    <n v="1500"/>
    <n v="0"/>
    <n v="79"/>
    <n v="5.2666666666666667E-2"/>
    <n v="375"/>
    <n v="0"/>
    <n v="79"/>
    <n v="0.21066666666666667"/>
    <s v="Incremento"/>
    <s v="Programacion de cursos con el sena Bolivar agroempresarial"/>
    <m/>
    <m/>
    <s v="Fin de la pobreza"/>
    <s v="SECRETARÍA DE AGRICULTURA"/>
    <m/>
    <m/>
    <m/>
  </r>
  <r>
    <x v="4"/>
    <x v="4"/>
    <m/>
    <m/>
    <x v="26"/>
    <x v="26"/>
    <m/>
    <m/>
    <x v="76"/>
    <x v="76"/>
    <m/>
    <m/>
    <m/>
    <s v="Mujeres rurales adquieren competencias laborales a través de la Educación para el Trabajo y el Desarrollo_x000a_Humano."/>
    <s v="% de Mujeres rurales adquieren competencias laborales a través de la Educación para el Trabajo y el Desarrollo_x000a_Humano."/>
    <s v="ND"/>
    <n v="1"/>
    <m/>
    <s v="500  Mujeres rurales adquieren competencias laborales a través de la Educación para el Trabajo y el Desarrollo_x000a_Humano."/>
    <s v="Numero de   Mujeres rurales adquieren competencias laborales a través de la Educación para el Trabajo y el Desarrollo_x000a_Humano."/>
    <s v="ND"/>
    <n v="500"/>
    <m/>
    <m/>
    <n v="0"/>
    <m/>
    <m/>
    <m/>
    <s v="NP"/>
    <s v="Incremento"/>
    <s v="Programacion de cursos con el sena Bolivar agroempresarial"/>
    <m/>
    <m/>
    <s v="Fin de la pobreza"/>
    <s v="SECRETARÍA DE AGRICULTURA"/>
    <m/>
    <m/>
    <m/>
  </r>
  <r>
    <x v="4"/>
    <x v="4"/>
    <m/>
    <m/>
    <x v="26"/>
    <x v="26"/>
    <m/>
    <m/>
    <x v="77"/>
    <x v="77"/>
    <n v="0.18529411764705883"/>
    <n v="0.5"/>
    <m/>
    <s v="Mejorar las condiciones de las vías para transportarse entre zonas rurales y los centros urbanos"/>
    <s v="Mejorar las condiciones de las vías para transportarse entre zonas rurales y los centros urbanos"/>
    <s v="552,13 Km"/>
    <s v="170 Kilometros"/>
    <m/>
    <s v="Intervenir kilometros de  Red vial terciaria, para interconectar el sector rural con centros urbanos."/>
    <s v="170 Km de la Red vial terciaria intervenida"/>
    <s v="ND"/>
    <n v="170"/>
    <n v="15"/>
    <n v="63"/>
    <n v="0.37058823529411766"/>
    <n v="40"/>
    <n v="15"/>
    <n v="40"/>
    <n v="1"/>
    <s v="Incremento"/>
    <s v="Mejorar, rehabilitar y/o mantener  Kilometros de red vial terciaria para interconectar el sector rural con centros urbanos "/>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m/>
    <m/>
    <n v="8000000000"/>
  </r>
  <r>
    <x v="4"/>
    <x v="4"/>
    <m/>
    <m/>
    <x v="26"/>
    <x v="26"/>
    <m/>
    <m/>
    <x v="77"/>
    <x v="77"/>
    <m/>
    <m/>
    <m/>
    <s v="Mejorar las condiciones de las vías para transportarse entre zonas rurales y los centros urbanos"/>
    <s v="Mejorar las condiciones de las vías para transportarse entre zonas rurales y los centros urbanos"/>
    <s v="552,13 Km"/>
    <s v="170 Kilometros"/>
    <m/>
    <s v="Construir, mejorar y/o rehabilitar   metros lineales de puentes en el sector rural.  "/>
    <s v="200 Metros lineales de puentes construidos o intervenidos en el sector rural"/>
    <s v="ND"/>
    <n v="200"/>
    <n v="0"/>
    <n v="0"/>
    <n v="0"/>
    <n v="60"/>
    <n v="0"/>
    <n v="0"/>
    <n v="0"/>
    <s v="Incremento"/>
    <s v="Construir, mejorar, rehabilitar y/o mantener  puentes en el sector rural"/>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m/>
    <m/>
    <m/>
  </r>
  <r>
    <x v="4"/>
    <x v="4"/>
    <m/>
    <m/>
    <x v="26"/>
    <x v="26"/>
    <m/>
    <m/>
    <x v="78"/>
    <x v="78"/>
    <n v="1.4285714285714287E-2"/>
    <n v="1"/>
    <m/>
    <s v="Municipios de Bolívar con población rural apoyados en sus procesos artísticos, deportivos y culturales."/>
    <s v="Municipios de Bolívar con población rural apoyados en sus procesos artísticos, deportivos y culturales."/>
    <s v="N.D"/>
    <n v="1"/>
    <m/>
    <s v="Eventos para la visibilizarían de las manifestaciones artísticas y culturales de población RURAL en el departamento de Bolívar"/>
    <s v="Eventos para la visibilizarían de las manifestaciones artísticas y culturales de población RURAL en el departamento de Bolívar"/>
    <s v="N.D"/>
    <n v="100"/>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Espacios institucionales en medios de comunicación apoyados para difundir las manifestaciones socioculturales de la población RURAL"/>
    <s v="Espacios institucionales en medios de comunicación apoyados para difundir las manifestaciones socioculturales de la población RURAL"/>
    <s v="N.D"/>
    <n v="100"/>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Eventos anuales realizados para la promoción, reconocimiento, rescate y salvaguarda de valores, hábitos, tradiciones y costumbres del campesino bolivarense."/>
    <s v="Eventos anuales realizados para la promoción, reconocimiento, rescate y salvaguarda de valores, hábitos, tradiciones y costumbres del campesino bolivarense."/>
    <s v="N.D"/>
    <n v="4"/>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Convocatorias de estímulos a artistas, creadores y Gestores culturales RURAL realizadas"/>
    <s v="Convocatorias de estímulos a artistas, creadores y Gestores culturales RURAL realizadas"/>
    <s v="N.D"/>
    <n v="4"/>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Artistas, creadores y Gestores culturales rurales capacitados"/>
    <s v="Artistas, creadores y Gestores culturales rurales capacitados"/>
    <s v="N.D"/>
    <n v="100"/>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Actividades deportivas rurales, organizadas y apoyadas"/>
    <s v="Actividades deportivas rurales, organizadas y apoyadas"/>
    <s v="N.D"/>
    <n v="10"/>
    <m/>
    <m/>
    <n v="0"/>
    <m/>
    <m/>
    <m/>
    <s v="NP"/>
    <s v="Incremento"/>
    <m/>
    <m/>
    <m/>
    <m/>
    <s v="IDERBOL"/>
    <m/>
    <m/>
    <m/>
  </r>
  <r>
    <x v="4"/>
    <x v="4"/>
    <m/>
    <m/>
    <x v="26"/>
    <x v="26"/>
    <m/>
    <m/>
    <x v="78"/>
    <x v="78"/>
    <m/>
    <m/>
    <m/>
    <s v="Municipios de Bolívar con población rural_x000a_apoyados en sus procesos artísticos,_x000a_deportivos y culturales."/>
    <s v="% de Municipios de Bolívar con población rural_x000a_apoyados en sus procesos artísticos,_x000a_deportivos y culturales."/>
    <s v="ND"/>
    <n v="100"/>
    <m/>
    <s v="Actividades deportivas rurales, organizadas y apoyadas"/>
    <s v="No. de Actividades deportivas rurales, organizadas y apoyadas."/>
    <s v="ND"/>
    <n v="10"/>
    <n v="1"/>
    <n v="1"/>
    <n v="0.1"/>
    <n v="1"/>
    <n v="1"/>
    <n v="1"/>
    <n v="1"/>
    <s v="Incremento"/>
    <s v="Programa Juegos Intercolegiados.         "/>
    <s v="Deporte y Recreación"/>
    <s v="A.4"/>
    <s v="Salud  y Bienestar"/>
    <s v="IDERBOL/SECRETARÍA PRIVADA"/>
    <m/>
    <m/>
    <m/>
  </r>
  <r>
    <x v="5"/>
    <x v="5"/>
    <n v="0.12959012494412531"/>
    <n v="0.42199436042040506"/>
    <x v="27"/>
    <x v="27"/>
    <n v="0"/>
    <n v="0"/>
    <x v="79"/>
    <x v="79"/>
    <n v="0"/>
    <n v="0"/>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que han superado la carencia de Subsistencia mínima "/>
    <n v="127"/>
    <n v="400"/>
    <m/>
    <m/>
    <n v="0"/>
    <n v="50"/>
    <m/>
    <m/>
    <n v="0"/>
    <s v="Incremento"/>
    <m/>
    <m/>
    <m/>
    <s v="3,4,5,10,16 "/>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Unidades productivas creadas y/o fortalecidas por población víctima para la generación de ingresos."/>
    <n v="0"/>
    <n v="70"/>
    <m/>
    <m/>
    <n v="0"/>
    <n v="10"/>
    <m/>
    <m/>
    <n v="0"/>
    <s v="Incremento"/>
    <m/>
    <m/>
    <m/>
    <s v="3,4,5,10,16"/>
    <s v="SECRETARÍA DE VÍCTIMAS"/>
    <s v="Recursos Propios"/>
    <s v="Asistencia y Atencion"/>
    <n v="200000000"/>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colocadas laboralmente para la generación de ingresos con enfoque diferencial y étnico"/>
    <n v="0"/>
    <n v="300"/>
    <m/>
    <m/>
    <n v="0"/>
    <n v="30"/>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fomento para el acceso a la educación inicial, preescolar, básica y media."/>
    <s v="88.8%"/>
    <n v="0.95"/>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Fortalecimiento del acceso a cupos diferenciado especiales de educación superior para la población víctima, de acuerdo a resolución de la Universidad de Cartagena"/>
    <n v="9"/>
    <n v="30"/>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del conflicto armado VINCULADAS con centros de formación técnica y superior "/>
    <s v="N/D"/>
    <n v="7"/>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beneficiarias con modelos de alfabetización con enfoque diferencial y étnico"/>
    <n v="0"/>
    <n v="1000"/>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afiliación al Regimen subsidiado en salud."/>
    <n v="0.97"/>
    <n v="0.99"/>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atendida en acciones de promoción social con enfoque diferencial y étnico"/>
    <s v="N/D"/>
    <n v="0.1"/>
    <m/>
    <m/>
    <n v="0"/>
    <n v="0.02"/>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Iniciativas para la recuperación emocional y la resiliencia con enfoque de genero"/>
    <s v="N/D"/>
    <n v="10"/>
    <m/>
    <m/>
    <n v="0"/>
    <n v="2"/>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que reciben recursos para el mejoramiento de condiciones de habitabilidad "/>
    <s v="60.4%"/>
    <n v="0.65"/>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con unidades productivas para autoconsumo instaladas"/>
    <n v="0.95"/>
    <n v="0.98"/>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Centro Regional de atención a víctimas construidos y en funcionamiento "/>
    <n v="0"/>
    <n v="2"/>
    <m/>
    <m/>
    <n v="0"/>
    <n v="1"/>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untos de atención a víctimas fortalecidos y/o dotación  "/>
    <n v="14"/>
    <n v="14"/>
    <m/>
    <m/>
    <n v="0"/>
    <n v="2"/>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Jornadas Itinerante para la atención integral a victimas"/>
    <n v="0"/>
    <n v="8"/>
    <m/>
    <m/>
    <n v="0"/>
    <n v="1"/>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con atención humanitaria "/>
    <n v="127"/>
    <n v="200"/>
    <m/>
    <m/>
    <n v="0"/>
    <n v="20"/>
    <m/>
    <m/>
    <n v="0"/>
    <s v="Incremento"/>
    <m/>
    <m/>
    <m/>
    <s v="3,4,5,10,16"/>
    <s v="SECRETARÍA DE VÍCTIMAS"/>
    <s v="Recursos Propios"/>
    <s v="Asistencia y Atencion"/>
    <n v="150000000"/>
  </r>
  <r>
    <x v="5"/>
    <x v="5"/>
    <m/>
    <m/>
    <x v="27"/>
    <x v="27"/>
    <m/>
    <m/>
    <x v="80"/>
    <x v="80"/>
    <n v="0"/>
    <n v="0"/>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Plan de Prevención formulado, ejecutado y revisado anualmente"/>
    <s v="N/D"/>
    <n v="4"/>
    <m/>
    <n v="0"/>
    <n v="0"/>
    <n v="1"/>
    <m/>
    <n v="0"/>
    <n v="0"/>
    <s v="Mantenimiento"/>
    <m/>
    <m/>
    <m/>
    <s v="3,5,10,16"/>
    <s v="SECRETARÍA DE VÍCTIMAS"/>
    <s v="Recursos Propios"/>
    <s v="PREVENCION Y PROTECCION "/>
    <n v="25000000"/>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1.85"/>
    <m/>
    <s v="Tiene el propósito de enfrentar los factores de riesgo, eliminar las amenazas y disminuir su impacto en la comunidad"/>
    <s v="Plan de Contingencia formulado, ejecutado y revisado anualmente"/>
    <s v="N/D"/>
    <n v="4"/>
    <m/>
    <m/>
    <n v="0"/>
    <n v="1"/>
    <m/>
    <m/>
    <n v="0"/>
    <s v="Mantenimiento"/>
    <m/>
    <m/>
    <m/>
    <s v="3,5,10,16"/>
    <s v="SECRETARÍA DE VÍCTIMAS"/>
    <s v="Recursos Propios"/>
    <s v="PREVENCION Y PROTECCION "/>
    <n v="25000000"/>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Recursos para líderes de Victimas, sociales, reincorporados y defensores de ddhh, amenazados con ayuda y atención humanitaria (en especie y/o dinero)"/>
    <s v="N/D"/>
    <n v="400000000"/>
    <m/>
    <m/>
    <n v="0"/>
    <n v="0.125"/>
    <m/>
    <m/>
    <n v="0"/>
    <s v="Incremento"/>
    <m/>
    <m/>
    <m/>
    <s v="3,5,10,16"/>
    <s v="SECRETARÍA DE VÍCTIMAS"/>
    <s v="Recursos Propios"/>
    <s v="PREVENCION Y PROTECCION "/>
    <n v="50000000"/>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3.85"/>
    <m/>
    <s v="Tiene el propósito de enfrentar los factores de riesgo, eliminar las amenazas y disminuir su impacto en la comunidad"/>
    <s v="Zonas identificadas y actualizadas con riesgos de minas antipersonales "/>
    <s v="N/D"/>
    <n v="4"/>
    <m/>
    <m/>
    <n v="0"/>
    <n v="1"/>
    <m/>
    <m/>
    <n v="0"/>
    <s v="Mantenimiento"/>
    <m/>
    <m/>
    <m/>
    <s v="3,5,10,16"/>
    <s v="SECRETARÍA DE VÍCTIMAS"/>
    <m/>
    <m/>
    <m/>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4.8499999999999996"/>
    <m/>
    <s v="Tiene el propósito de enfrentar los factores de riesgo, eliminar las amenazas y disminuir su impacto en la comunidad"/>
    <s v="Atención y seguimiento a las alertas tempranas emanadas por la Defensoría del Pueblo"/>
    <n v="4"/>
    <n v="1"/>
    <m/>
    <m/>
    <n v="0"/>
    <n v="1"/>
    <m/>
    <m/>
    <n v="0"/>
    <s v="Mantenimiento"/>
    <m/>
    <m/>
    <m/>
    <s v="3,5,10,16"/>
    <s v="SECRETARÍA DE VÍCTIMAS"/>
    <m/>
    <m/>
    <m/>
  </r>
  <r>
    <x v="5"/>
    <x v="5"/>
    <m/>
    <m/>
    <x v="27"/>
    <x v="27"/>
    <m/>
    <m/>
    <x v="81"/>
    <x v="81"/>
    <n v="0"/>
    <n v="0"/>
    <m/>
    <s v="monitoreo y seguimiento realizados en la implementación de las intervenciones para la inclusión social y productiva de la población en situación de_x000a_vulnerabilidad,"/>
    <s v="Porcentaje de Víctimas que han superado la condición de vulnerabilidad"/>
    <s v="80.2%"/>
    <n v="0.85"/>
    <m/>
    <s v="implica contribuir a la reconstrucción del proyecto de vida y dignificación de las víctimas en sus dimensiones individual, colectiva, material, moral y simbólica."/>
    <s v="numero de Informes de monitoreo y seguimiento elaborados a planes de reparación colectiva"/>
    <n v="0"/>
    <n v="8"/>
    <m/>
    <m/>
    <n v="0"/>
    <n v="2"/>
    <m/>
    <m/>
    <n v="0"/>
    <s v="Mantenimiento"/>
    <m/>
    <m/>
    <m/>
    <s v="3, 6, 7 y 10"/>
    <s v="SECRETARÍA DE VÍCTIMAS"/>
    <m/>
    <m/>
    <m/>
  </r>
  <r>
    <x v="5"/>
    <x v="5"/>
    <m/>
    <m/>
    <x v="27"/>
    <x v="27"/>
    <m/>
    <m/>
    <x v="81"/>
    <x v="81"/>
    <m/>
    <m/>
    <m/>
    <s v="contribuir a la reconstruccion del proyecto de vida de las victimas garantizando las medidas de reparacion integral"/>
    <s v="Porcentaje de Víctimas que han superado la condición de vulnerabilidad"/>
    <s v="80.2%"/>
    <n v="0.85"/>
    <m/>
    <s v="implica contribuir a la reconstrucción del proyecto de vida y dignificación de las víctimas en sus dimensiones individual, colectiva, material, moral y simbólica."/>
    <s v="Acciones cumplidas dentro del plan de reparación colectiva, aplicando el decreto de corresponsabilidad"/>
    <s v="N/D"/>
    <n v="40"/>
    <m/>
    <m/>
    <n v="0"/>
    <n v="5"/>
    <m/>
    <m/>
    <n v="0"/>
    <s v="Incremento "/>
    <m/>
    <m/>
    <m/>
    <s v="3, 6, 7 y 10"/>
    <s v="SECRETARÍA DE VÍCTIMAS"/>
    <s v="Recursos Propios"/>
    <s v="REPARACION COLECTIVA,  RETORNOS Y REUBICACIONES "/>
    <n v="150000000"/>
  </r>
  <r>
    <x v="5"/>
    <x v="5"/>
    <m/>
    <m/>
    <x v="27"/>
    <x v="27"/>
    <m/>
    <m/>
    <x v="81"/>
    <x v="81"/>
    <m/>
    <m/>
    <m/>
    <s v="Garantizar la dignificacion de las victimas en su dimension coletiva y la no repeticion de los  hechos victimizantes"/>
    <s v="porcentaje de Victimas que han superado la_x000a_condición de vulnerabilidad "/>
    <s v="80.2%"/>
    <n v="0.85"/>
    <m/>
    <s v="construccion de canchas, acueducto, y alcantarillado , vias, instituciones educativas, puestos de salud, cultura y recreacion  en municipios con procesos retornos y reubicaciones"/>
    <s v="Numero de Acciones cumplidas dentro del_x000a_plan de retorno y reubicación y_x000a_restitución de tierras, aplicando_x000a_el decreto de corresponsabilidad_x000a_departamental "/>
    <s v="N/D"/>
    <n v="20"/>
    <m/>
    <m/>
    <n v="0"/>
    <n v="4"/>
    <m/>
    <m/>
    <n v="0"/>
    <s v="Incremento "/>
    <m/>
    <m/>
    <m/>
    <s v="3, 6, 7 y 10"/>
    <s v="SECRETARÍA DE VÍCTIMAS"/>
    <m/>
    <m/>
    <m/>
  </r>
  <r>
    <x v="5"/>
    <x v="5"/>
    <m/>
    <m/>
    <x v="27"/>
    <x v="27"/>
    <m/>
    <m/>
    <x v="82"/>
    <x v="82"/>
    <n v="0"/>
    <n v="0"/>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Jornadas de asistencia técnica integral presenciales a entes territoriales"/>
    <n v="11"/>
    <n v="46"/>
    <m/>
    <m/>
    <n v="0"/>
    <n v="8"/>
    <m/>
    <m/>
    <n v="0"/>
    <s v="Incremento"/>
    <m/>
    <m/>
    <m/>
    <n v="10.16"/>
    <s v="SECRETARÍA DE VÍCTIMAS"/>
    <s v="Recursos Propios"/>
    <s v="PARTICIPACION EFECTIVA "/>
    <n v="20000000"/>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1.85"/>
    <m/>
    <s v="Las Mesas de Participación Efectiva son las que a nombre de las víctimas concertarán con el Estado los planes, programas y proyectos, destinados a desarrollar las políticas públicas de Victimas. "/>
    <s v="Asistencia Técnica y jurídica a la Mesa Departamental y a las Mesas Municipales de Participación de víctimas del conflicto armado en el Departamento de Bolívar"/>
    <n v="0"/>
    <n v="46"/>
    <m/>
    <m/>
    <n v="0"/>
    <n v="8"/>
    <m/>
    <m/>
    <n v="0"/>
    <s v="Incremento"/>
    <m/>
    <m/>
    <m/>
    <n v="10.16"/>
    <s v="SECRETARÍA DE VÍCTIMAS"/>
    <s v="Recursos Propios"/>
    <s v="PARTICIPACION EFECTIVA "/>
    <n v="10000000"/>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Convocatoria y elección de la Mesa Departamental de victimas"/>
    <s v="N/D"/>
    <n v="2"/>
    <m/>
    <m/>
    <n v="0"/>
    <m/>
    <m/>
    <m/>
    <s v="NP"/>
    <s v="Mantenimiento"/>
    <m/>
    <m/>
    <m/>
    <n v="10.16"/>
    <s v="SECRETARÍA DE VÍCTIMAS"/>
    <m/>
    <m/>
    <m/>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Plan de Acción de Mesa Departamental concertado y ejecutado "/>
    <n v="1"/>
    <n v="4"/>
    <m/>
    <m/>
    <n v="0"/>
    <n v="1"/>
    <m/>
    <m/>
    <n v="0"/>
    <s v="Mantenimiento"/>
    <m/>
    <m/>
    <m/>
    <n v="10.16"/>
    <s v="SECRETARÍA DE VÍCTIMAS"/>
    <s v="Recursos Propios"/>
    <s v="PARTICIPACION EFECTIVA "/>
    <n v="30000000"/>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Espacios de coordinación y participación en la política pública de víctimas de la mesa departamental. "/>
    <n v="8"/>
    <n v="64"/>
    <m/>
    <m/>
    <n v="0"/>
    <n v="16"/>
    <m/>
    <m/>
    <n v="0"/>
    <s v="Mantenimiento"/>
    <m/>
    <m/>
    <m/>
    <n v="10.16"/>
    <s v="SECRETARÍA DE VÍCTIMAS"/>
    <s v="Recursos Propios"/>
    <s v="PARTICIPACION EFECTIVA "/>
    <n v="420000000"/>
  </r>
  <r>
    <x v="5"/>
    <x v="5"/>
    <m/>
    <m/>
    <x v="27"/>
    <x v="27"/>
    <m/>
    <m/>
    <x v="83"/>
    <x v="83"/>
    <n v="0"/>
    <n v="0"/>
    <m/>
    <s v="Elaboración y ejecución de acciones, planes y proyectos para la gestión institucional"/>
    <s v="Fortalecimiento Institucional"/>
    <s v="N/D"/>
    <n v="1"/>
    <m/>
    <s v="Proyecto ejecutado"/>
    <s v="Proyecto para el fortalecimiento para la gestión institucional"/>
    <s v="N/D"/>
    <n v="1"/>
    <m/>
    <m/>
    <n v="0"/>
    <m/>
    <m/>
    <m/>
    <s v="NP"/>
    <s v="Incremento "/>
    <m/>
    <m/>
    <m/>
    <n v="16"/>
    <s v="SECRETARÍA DE VÍCTIMAS"/>
    <m/>
    <m/>
    <m/>
  </r>
  <r>
    <x v="5"/>
    <x v="5"/>
    <m/>
    <m/>
    <x v="27"/>
    <x v="27"/>
    <m/>
    <m/>
    <x v="83"/>
    <x v="83"/>
    <m/>
    <m/>
    <m/>
    <s v="Elaboración y ejecución de acciones, planes y proyectos para la gestión institucional"/>
    <s v="Fortalecimiento Institucional"/>
    <s v="N/D"/>
    <n v="1"/>
    <m/>
    <s v="Lograr la conformación y consolidación del Consejo Departamental y Municipales de Paz "/>
    <s v="Asistencia técnica para el fortalecimiento, la socialización y la elección del Consejo Departamental de Paz, reconciliación y Derechos Humanos y los Consejos Municipales de Paz"/>
    <s v="N/D"/>
    <n v="47"/>
    <m/>
    <m/>
    <n v="0"/>
    <n v="10"/>
    <m/>
    <m/>
    <n v="0"/>
    <s v="Incremento "/>
    <m/>
    <m/>
    <m/>
    <n v="16"/>
    <s v="SECRETARÍA DE VÍCTIMAS"/>
    <s v="Recursos Propios"/>
    <s v="FORTALECIMIENTO Y SISTEMAS DE INFORMACION  "/>
    <n v="25000000"/>
  </r>
  <r>
    <x v="5"/>
    <x v="5"/>
    <m/>
    <m/>
    <x v="27"/>
    <x v="27"/>
    <m/>
    <m/>
    <x v="83"/>
    <x v="83"/>
    <m/>
    <m/>
    <m/>
    <s v="Elaboración y ejecución de acciones, planes y proyectos para la gestión institucional"/>
    <s v="Fortalecimiento Institucional"/>
    <s v="N/D"/>
    <n v="1"/>
    <m/>
    <s v="Brindar asistencia tecnica para lograr la participación de todos los municipios en la oferta isntitucional"/>
    <s v="Asistencia Técnica a municipios para la participación en la oferta institucional"/>
    <s v="N/D"/>
    <n v="46"/>
    <m/>
    <m/>
    <n v="0"/>
    <n v="10"/>
    <m/>
    <m/>
    <n v="0"/>
    <s v="Incremento "/>
    <m/>
    <m/>
    <m/>
    <n v="16"/>
    <s v="SECRETARÍA DE VÍCTIMAS"/>
    <m/>
    <m/>
    <m/>
  </r>
  <r>
    <x v="5"/>
    <x v="5"/>
    <m/>
    <m/>
    <x v="27"/>
    <x v="27"/>
    <m/>
    <m/>
    <x v="83"/>
    <x v="83"/>
    <m/>
    <m/>
    <m/>
    <s v="Elaboración y ejecución de acciones, planes y proyectos para la gestión institucional"/>
    <s v="Fortalecimiento Institucional"/>
    <s v="N/D"/>
    <n v="1"/>
    <m/>
    <s v="Ejecutar el plan de acción territorial en todos los municipios"/>
    <s v="Asistencia Técnica a municipios para la formulación, ejecución y seguimiento del plan de acción territorial, contingencia, Prevención y protección."/>
    <s v="N/D"/>
    <n v="46"/>
    <m/>
    <m/>
    <n v="0"/>
    <n v="10"/>
    <m/>
    <m/>
    <n v="0"/>
    <s v="Incremento "/>
    <m/>
    <m/>
    <m/>
    <n v="16"/>
    <s v="SECRETARÍA DE VÍCTIMAS"/>
    <m/>
    <m/>
    <m/>
  </r>
  <r>
    <x v="5"/>
    <x v="5"/>
    <m/>
    <m/>
    <x v="27"/>
    <x v="27"/>
    <m/>
    <m/>
    <x v="83"/>
    <x v="83"/>
    <m/>
    <m/>
    <m/>
    <s v="Elaboración y ejecución de acciones, planes y proyectos para la gestión institucional"/>
    <s v="Fortalecimiento Institucional"/>
    <s v="N/D"/>
    <n v="1"/>
    <m/>
    <s v="Realizar asistecia técnica para la caracterización en los municipios del departamento de Bolívar, con enfoque diferencial y étnico"/>
    <s v="Asistencia Técnica y apoyo subsidiario a municipios para la caracterización de las víctimas con enfoque diferencial y étnico"/>
    <s v="N/D"/>
    <n v="46"/>
    <m/>
    <m/>
    <n v="0"/>
    <n v="10"/>
    <m/>
    <m/>
    <n v="0"/>
    <s v="Incremento"/>
    <m/>
    <m/>
    <m/>
    <n v="16"/>
    <s v="SECRETARÍA DE VÍCTIMAS"/>
    <m/>
    <m/>
    <m/>
  </r>
  <r>
    <x v="5"/>
    <x v="5"/>
    <m/>
    <m/>
    <x v="27"/>
    <x v="27"/>
    <m/>
    <m/>
    <x v="83"/>
    <x v="83"/>
    <m/>
    <m/>
    <m/>
    <s v="Elaboración y ejecución de acciones, planes y proyectos para la gestión institucional"/>
    <s v="Fortalecimiento Institucional"/>
    <s v="N/D"/>
    <n v="1"/>
    <m/>
    <s v="Ejecutar Plan de Acción Territorial PAT con enfoque diferencial y étnico "/>
    <s v="Formulación del Plan de Acción Territorial PAT con enfoque diferencial y étnico"/>
    <n v="1"/>
    <n v="1"/>
    <m/>
    <m/>
    <n v="0"/>
    <n v="1"/>
    <m/>
    <m/>
    <n v="0"/>
    <s v="Mantenimiento"/>
    <m/>
    <m/>
    <m/>
    <n v="16"/>
    <s v="SECRETARÍA DE VÍCTIMAS"/>
    <m/>
    <m/>
    <m/>
  </r>
  <r>
    <x v="5"/>
    <x v="5"/>
    <m/>
    <m/>
    <x v="27"/>
    <x v="27"/>
    <m/>
    <m/>
    <x v="83"/>
    <x v="83"/>
    <m/>
    <m/>
    <m/>
    <s v="Elaboración y ejecución de acciones, planes y proyectos para la gestión institucional"/>
    <s v="Fortalecimiento Institucional"/>
    <s v="N/D"/>
    <n v="1"/>
    <m/>
    <s v="Realizar la Construcción y seguimiento al modelo de gestión transversal departamental"/>
    <s v="Construcción y seguimiento al modelo de gestión transversal para la atención reparación, garantías de no repetición, la reconciliación y construcción de paz en el departamento de Bolívar"/>
    <s v="N/D"/>
    <n v="1"/>
    <m/>
    <m/>
    <n v="0"/>
    <n v="1"/>
    <m/>
    <m/>
    <n v="0"/>
    <s v="Incremento"/>
    <m/>
    <m/>
    <m/>
    <n v="16"/>
    <s v="SECRETARÍA DE VÍCTIMAS"/>
    <m/>
    <m/>
    <m/>
  </r>
  <r>
    <x v="5"/>
    <x v="5"/>
    <m/>
    <m/>
    <x v="27"/>
    <x v="27"/>
    <m/>
    <m/>
    <x v="83"/>
    <x v="83"/>
    <m/>
    <m/>
    <m/>
    <s v="Elaboración y ejecución de acciones, planes y proyectos para la gestión institucional"/>
    <s v="Fortalecimiento Institucional"/>
    <s v="N/D"/>
    <n v="1"/>
    <m/>
    <s v="Lograr Sensibilizar a los funcionarios publicos del departamento para la atención a victimas con enfoque diferencial "/>
    <s v="Sensibilización a funcionarios públicos del departamento para atención a víctimas con enfoque diferencial."/>
    <s v="N/D"/>
    <n v="300"/>
    <m/>
    <m/>
    <n v="0"/>
    <n v="70"/>
    <m/>
    <m/>
    <n v="0"/>
    <s v="Incremento"/>
    <m/>
    <m/>
    <m/>
    <n v="16"/>
    <s v="SECRETARÍA DE VÍCTIMAS"/>
    <m/>
    <m/>
    <m/>
  </r>
  <r>
    <x v="5"/>
    <x v="5"/>
    <m/>
    <m/>
    <x v="27"/>
    <x v="27"/>
    <m/>
    <m/>
    <x v="83"/>
    <x v="83"/>
    <m/>
    <m/>
    <m/>
    <s v="Elaboración y ejecución de acciones, planes y proyectos para la gestión institucional"/>
    <s v="Fortalecimiento Institucional"/>
    <s v="N/D"/>
    <n v="1"/>
    <m/>
    <s v="Reestructuración de las dependencias de la secretaría de victimas y reconciliación departamento de Bolívar según lo que indique la ley."/>
    <s v="Reestructurar la dependencia de la Secretaría de Víctimas de acuerdo a los lineamientos del gobierno Nacional en temas de paz, reconciliación y trabajo por las víctimas."/>
    <s v="N/D"/>
    <n v="1"/>
    <m/>
    <m/>
    <n v="0"/>
    <n v="1"/>
    <m/>
    <m/>
    <n v="0"/>
    <s v="Incremento"/>
    <m/>
    <m/>
    <m/>
    <n v="16"/>
    <s v="SECRETARÍA DE VÍCTIMAS"/>
    <m/>
    <m/>
    <m/>
  </r>
  <r>
    <x v="5"/>
    <x v="5"/>
    <m/>
    <m/>
    <x v="27"/>
    <x v="27"/>
    <m/>
    <m/>
    <x v="83"/>
    <x v="83"/>
    <m/>
    <m/>
    <m/>
    <s v="Elaboración y ejecución de acciones, planes y proyectos para la gestión institucional"/>
    <s v="Fortalecimiento Institucional"/>
    <s v="N/D"/>
    <n v="1"/>
    <m/>
    <s v="Convocar  y consolidar los comites de justicia transicional "/>
    <s v="Comités de Justicia Transicional Departamental realizados"/>
    <n v="4"/>
    <n v="16"/>
    <m/>
    <m/>
    <n v="0"/>
    <n v="4"/>
    <m/>
    <m/>
    <n v="0"/>
    <s v="Incremento"/>
    <m/>
    <m/>
    <m/>
    <n v="16"/>
    <s v="SECRETARÍA DE VÍCTIMAS"/>
    <m/>
    <m/>
    <m/>
  </r>
  <r>
    <x v="5"/>
    <x v="5"/>
    <m/>
    <m/>
    <x v="27"/>
    <x v="27"/>
    <m/>
    <m/>
    <x v="83"/>
    <x v="83"/>
    <m/>
    <m/>
    <m/>
    <s v="Elaboración y ejecución de acciones, planes y proyectos para la gestión institucional"/>
    <s v="Fortalecimiento Institucional"/>
    <s v="N/D"/>
    <n v="1"/>
    <m/>
    <s v="Actualizar todas las plataformas de los sistemas de información, en las fechas establecidas, en articulación con el SNARIV"/>
    <s v="Sistemas de información actualizados en articulación con entidades del SNARIV territorial Bolívar"/>
    <s v="N/D"/>
    <n v="1"/>
    <m/>
    <m/>
    <n v="0"/>
    <n v="1"/>
    <m/>
    <m/>
    <n v="0"/>
    <s v="Incremento"/>
    <m/>
    <m/>
    <m/>
    <n v="16"/>
    <s v="SECRETARÍA DE VÍCTIMAS"/>
    <m/>
    <m/>
    <m/>
  </r>
  <r>
    <x v="5"/>
    <x v="5"/>
    <m/>
    <m/>
    <x v="27"/>
    <x v="27"/>
    <m/>
    <m/>
    <x v="84"/>
    <x v="84"/>
    <n v="0"/>
    <n v="0"/>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beneficiarios de restitución de tierras "/>
    <s v="N/D"/>
    <n v="9"/>
    <m/>
    <n v="0"/>
    <n v="0"/>
    <n v="1"/>
    <m/>
    <n v="0"/>
    <n v="0"/>
    <s v="Incremento"/>
    <m/>
    <m/>
    <m/>
    <n v="16"/>
    <s v="SECRETARÍA DE VÍCTIMAS"/>
    <m/>
    <m/>
    <m/>
  </r>
  <r>
    <x v="5"/>
    <x v="5"/>
    <m/>
    <m/>
    <x v="27"/>
    <x v="27"/>
    <m/>
    <m/>
    <x v="84"/>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que aún no cuentan con fallos de restitución de tierras con datos cuantitativos que podrán ser utilizados en la construcción de diagnósticos municipales en materia de restitución de tierras. "/>
    <s v="N/D"/>
    <n v="37"/>
    <m/>
    <m/>
    <n v="0"/>
    <n v="5"/>
    <m/>
    <m/>
    <n v="0"/>
    <s v="Incremento"/>
    <m/>
    <m/>
    <m/>
    <n v="16"/>
    <s v="SECRETARÍA DE VÍCTIMAS"/>
    <m/>
    <m/>
    <m/>
  </r>
  <r>
    <x v="5"/>
    <x v="5"/>
    <m/>
    <m/>
    <x v="27"/>
    <x v="27"/>
    <m/>
    <m/>
    <x v="84"/>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Coordinar las Medidas de protección integral a las víctimas, testigos y a los funcionarios públicos que intervengan en los procedimientos administrativos y judiciales de reparación y en especial de restitución de tierras."/>
    <s v="N/D"/>
    <n v="0.2"/>
    <m/>
    <m/>
    <n v="0"/>
    <n v="0.25"/>
    <m/>
    <m/>
    <n v="0"/>
    <s v="Incremento"/>
    <m/>
    <m/>
    <m/>
    <n v="16"/>
    <s v="SECRETARÍA DE VÍCTIMAS"/>
    <m/>
    <m/>
    <m/>
  </r>
  <r>
    <x v="5"/>
    <x v="5"/>
    <m/>
    <m/>
    <x v="27"/>
    <x v="27"/>
    <m/>
    <m/>
    <x v="84"/>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Atender los fallos de los jueces y magistrados en materia de restitución de tierras y derechos territoriales que involucran a las administraciones públicas"/>
    <s v="N/D"/>
    <n v="0.2"/>
    <m/>
    <m/>
    <n v="0"/>
    <n v="0.25"/>
    <m/>
    <m/>
    <n v="0"/>
    <s v="Incremento"/>
    <m/>
    <m/>
    <m/>
    <n v="16"/>
    <s v="SECRETARÍA DE VÍCTIMAS"/>
    <m/>
    <m/>
    <m/>
  </r>
  <r>
    <x v="5"/>
    <x v="5"/>
    <m/>
    <m/>
    <x v="27"/>
    <x v="27"/>
    <m/>
    <m/>
    <x v="85"/>
    <x v="85"/>
    <n v="0"/>
    <n v="0"/>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consolidación de conversación y articulación institucional para tratar temas relacionados a los procesos de reintegración y reincorporación en el departamento de Bolívar."/>
    <s v="Fortalecimiento y convocatoria de la Mesa Técnica de Reincorporación."/>
    <s v="N/D"/>
    <n v="12"/>
    <m/>
    <m/>
    <n v="0"/>
    <n v="3"/>
    <m/>
    <m/>
    <n v="0"/>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vivencia, la paz y la reconciliación a través de la ejecución de acciones e iniciativas en los municipios PDET."/>
    <s v="Proyectos de convivencia, paz y reconciliación en las dos zonas PDET del departamento de Bolívar"/>
    <s v="N/D"/>
    <n v="10"/>
    <m/>
    <m/>
    <n v="0"/>
    <n v="1"/>
    <m/>
    <m/>
    <n v="0"/>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strucción de Paz y convivencia a través de actividades relacionadas con el deporte y la cultura. "/>
    <s v="Jornadas de Integración deportivas y culturales."/>
    <s v="N/D"/>
    <n v="5"/>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Generar procesos efectivos de reconstrucción del tejido social, teniendo como motor la construcción y fortalecimiento de la reconciliación y la memoria histórica en el departamento de Bolívar."/>
    <s v="Iniciativas o acciones de Memoria Histórica para comunidades, que se requiere realizar o difundir en la entidad territorial."/>
    <s v="N/D"/>
    <n v="14"/>
    <m/>
    <m/>
    <n v="0"/>
    <n v="2"/>
    <m/>
    <m/>
    <n v="0"/>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la implementación de proyectos para el desarrollo y consolidadción de la Paz que cuenten con la participación de población civil y excombatientes FARC-EP. "/>
    <s v="Reincorporados en proyectos comunitarios y sociales implementados junto con las comunidades afectadas por la violencia"/>
    <s v="N/D"/>
    <n v="0.3"/>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Integrar asociaciones y cooperativas en el desarrollo de proyectos productivos junto con reincorporados"/>
    <s v="Cooperativas/asociaciones locales en proyectos productivos colectivos junto con reincorporados."/>
    <s v="N/D"/>
    <n v="2"/>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En cooperación institucional, lograr desarrollar proyectos para el mejoramiento de viviendas de los miembros de los procesos de reintegración y reincorporación."/>
    <s v="Mejoramientos de vivienda iniciados para familias de reincorporados."/>
    <s v="N/D"/>
    <n v="50"/>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aumentar la participación de los miembros del proceso de Reincorporación en programas de educación escolar, técnica y profesional en conjunto con instituciones academicas."/>
    <s v="Reincorporados, o familiares, incluidos en programas de educación."/>
    <s v="N/D"/>
    <n v="0.15"/>
    <m/>
    <m/>
    <n v="0"/>
    <m/>
    <m/>
    <m/>
    <s v="NP"/>
    <s v="Incremento "/>
    <m/>
    <m/>
    <m/>
    <n v="16"/>
    <s v="SECRETARÍA DE VÍCTIMAS"/>
    <m/>
    <m/>
    <m/>
  </r>
  <r>
    <x v="5"/>
    <x v="5"/>
    <m/>
    <m/>
    <x v="28"/>
    <x v="28"/>
    <n v="8.7837837837837843E-2"/>
    <n v="0.9"/>
    <x v="86"/>
    <x v="86"/>
    <n v="0.4375"/>
    <n v="1"/>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rocesos de capacitación y/o formación en fortalecimiento organizativo a Consejos comunitarios, Comisión Consultiva departamental y organizaciones de base"/>
    <s v="Procesos de capacitación y/o formación en fortalecimiento organizativo a Consejos comunitarios, Comisión Consultiva departamental y organizaciones de base"/>
    <n v="0"/>
    <n v="16"/>
    <n v="0"/>
    <n v="2"/>
    <n v="0.125"/>
    <n v="2"/>
    <n v="0"/>
    <n v="2"/>
    <n v="1"/>
    <s v="Incremento"/>
    <m/>
    <s v="Gobierno territorial"/>
    <n v="45"/>
    <n v="10"/>
    <s v="SECRETARÍA DEL INTERIOR"/>
    <m/>
    <m/>
    <m/>
  </r>
  <r>
    <x v="5"/>
    <x v="5"/>
    <m/>
    <m/>
    <x v="28"/>
    <x v="28"/>
    <m/>
    <m/>
    <x v="86"/>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olítica pública para la atención de la población negra, afrocolombiana, raizal, palenquera, indígena y rom asentada en Bolívar construida y aprobada por la Asamblea departamental"/>
    <s v="Política pública para la atención de la población negra, afrocolombiana, raizal, palenquera, indígena y rom asentada en Bolívar construida y aprobada por la Asamblea departamental"/>
    <n v="0"/>
    <n v="1"/>
    <n v="0"/>
    <n v="0.5"/>
    <n v="0.5"/>
    <n v="0.5"/>
    <n v="0"/>
    <n v="0.5"/>
    <n v="1"/>
    <s v="Incremento"/>
    <m/>
    <s v="Gobierno territorial"/>
    <n v="45"/>
    <n v="10"/>
    <s v="SECRETARÍA DEL INTERIOR"/>
    <m/>
    <m/>
    <m/>
  </r>
  <r>
    <x v="5"/>
    <x v="5"/>
    <m/>
    <m/>
    <x v="28"/>
    <x v="28"/>
    <m/>
    <m/>
    <x v="86"/>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pacios e instancias de representatividad étnicos creados, activos y en articulación con la administración departamental (consultiva departamental, consultiva de alto nivel, otros)"/>
    <s v="Espacios e instancias de representatividad étnicos creados, activos y en articulación con la administración departamental (consultiva departamental, consultiva de alto nivel, otros)"/>
    <n v="2"/>
    <n v="2"/>
    <n v="0.5"/>
    <n v="2"/>
    <n v="1"/>
    <n v="2"/>
    <n v="1"/>
    <n v="2"/>
    <n v="1"/>
    <s v="Mantenimiento"/>
    <m/>
    <s v="Gobierno territorial"/>
    <n v="45"/>
    <n v="10"/>
    <s v="SECRETARÍA DEL INTERIOR"/>
    <m/>
    <m/>
    <m/>
  </r>
  <r>
    <x v="5"/>
    <x v="5"/>
    <m/>
    <m/>
    <x v="28"/>
    <x v="28"/>
    <m/>
    <m/>
    <x v="86"/>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trategia integral para la concientización y respeto sobre la identidad, diversidad étnica y cultural de la población negra, afrocolombiana, raizal, palenquera, indígena y rom."/>
    <s v="Estrategia integral para la concientización y respeto sobre la identidad, diversidad étnica y cultural de la población negra, afrocolombiana, raizal, palenquera, indígena y rom."/>
    <n v="0"/>
    <n v="4"/>
    <n v="0"/>
    <n v="0.5"/>
    <n v="0.125"/>
    <n v="0.5"/>
    <n v="0"/>
    <n v="0.5"/>
    <n v="1"/>
    <s v="Incremento"/>
    <m/>
    <s v="Gobierno territorial"/>
    <n v="45"/>
    <n v="10"/>
    <s v="SECRETARÍA DEL INTERIOR"/>
    <m/>
    <m/>
    <m/>
  </r>
  <r>
    <x v="5"/>
    <x v="5"/>
    <m/>
    <m/>
    <x v="28"/>
    <x v="28"/>
    <m/>
    <m/>
    <x v="87"/>
    <x v="87"/>
    <n v="3.125E-2"/>
    <n v="0.5"/>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4 Eventos para la promoción de derechos de las mujeres población negra, afrocolombiana, raizal, palenquera, indígena y rom"/>
    <s v="Eventos para la promoción de derechos de las mujeres población negra, afrocolombiana, raizal, palenquera, indígena y rom"/>
    <s v="ND"/>
    <n v="4"/>
    <n v="0"/>
    <m/>
    <n v="0"/>
    <n v="1"/>
    <n v="0"/>
    <m/>
    <n v="0"/>
    <s v="Incremento"/>
    <s v="SI"/>
    <m/>
    <n v="41"/>
    <s v="ODS 5 "/>
    <s v="SECRETARÍA DE LA MUJER"/>
    <m/>
    <m/>
    <m/>
  </r>
  <r>
    <x v="5"/>
    <x v="5"/>
    <m/>
    <m/>
    <x v="28"/>
    <x v="28"/>
    <m/>
    <m/>
    <x v="87"/>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1 Estudio de caracterización de la_x000a_situación económica, política y social de la mujer población negra, afrocolombiana, raizal, palenquera, indígena y rom asentada en el departamento de Bolívar."/>
    <s v="Estudios de caracterización de la_x000a_situación económica, política y social de la mujer población negra, afrocolombiana, raizal, palenquera, indígena y rom asentada en el departamento de Bolívar."/>
    <s v="ND"/>
    <n v="1"/>
    <m/>
    <m/>
    <n v="0"/>
    <m/>
    <m/>
    <m/>
    <s v="NP"/>
    <s v="Incremento"/>
    <s v="NA"/>
    <s v="NA"/>
    <n v="41"/>
    <s v="ODS 5 "/>
    <s v="SECRETARÍA DE LA MUJER"/>
    <m/>
    <m/>
    <m/>
  </r>
  <r>
    <x v="5"/>
    <x v="5"/>
    <m/>
    <m/>
    <x v="28"/>
    <x v="28"/>
    <m/>
    <m/>
    <x v="87"/>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2 Acciones afirmativas con perspectiva de género en el ámbito de la educación"/>
    <s v="Acciones afirmativas con perspectiva de género en el ámbito de la educación"/>
    <s v="ND"/>
    <n v="2"/>
    <m/>
    <m/>
    <n v="0"/>
    <m/>
    <m/>
    <m/>
    <s v="NP"/>
    <s v="Incremento"/>
    <s v="NA"/>
    <s v="NA"/>
    <n v="41"/>
    <s v="ODS 5 "/>
    <s v="SECRETARÍA DE LA MUJER"/>
    <m/>
    <m/>
    <m/>
  </r>
  <r>
    <x v="5"/>
    <x v="5"/>
    <m/>
    <m/>
    <x v="28"/>
    <x v="28"/>
    <m/>
    <m/>
    <x v="87"/>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8 Espacios de capacitación y /o formación para mujeres Afro"/>
    <s v="Espacios de capacitación y /o formación para mujeres Afro"/>
    <s v="ND"/>
    <n v="8"/>
    <n v="0"/>
    <n v="1"/>
    <n v="0.125"/>
    <n v="1"/>
    <n v="0"/>
    <n v="1"/>
    <n v="1"/>
    <s v="Incremento"/>
    <s v="NO"/>
    <s v="GESTIÓN"/>
    <n v="41"/>
    <s v="ODS 5 "/>
    <s v="SECRETARÍA DE LA MUJER"/>
    <m/>
    <m/>
    <m/>
  </r>
  <r>
    <x v="5"/>
    <x v="5"/>
    <m/>
    <m/>
    <x v="28"/>
    <x v="28"/>
    <m/>
    <m/>
    <x v="88"/>
    <x v="88"/>
    <n v="0"/>
    <s v="NP"/>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ND"/>
    <n v="4"/>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Municipios población negra, afrocolombiana, raizal, palenquera, indígena y rom asistidos en la implementación de acciones de protección y salvaguarda del Patrimonio material e inmaterial bolivarense"/>
    <s v="Municipios población negra, afrocolombiana, raizal, palenquera, indígena y rom asistidos en la implementación de acciones de protección y salvaguarda del Patrimonio material e inmaterial bolivarense"/>
    <s v="N.D"/>
    <n v="100"/>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para la visibilizarían de las manifestaciones artísticas y culturales de población negra, afrocolombiana, raizal, palenquera, indígena y rom en el departamento de Bolívar"/>
    <s v="Eventos para la visibilizarían de las manifestaciones artísticas y culturales de población negra, afrocolombiana, raizal, palenquera, indígena y rom en el departamento de Bolívar"/>
    <s v="ND"/>
    <n v="4"/>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spacios institucionales en medios de comunicación apoyados para difundir las manifestaciones socioculturales de la población negra, afrocolombiana, raizal, palenquera, indígena y rom"/>
    <s v="espacios institucionales en medios de comunicación apoyados para difundir las manifestaciones socioculturales de la población negra, afrocolombiana, raizal, palenquera, indígena y rom"/>
    <s v="N.D "/>
    <n v="2"/>
    <m/>
    <m/>
    <n v="0"/>
    <m/>
    <m/>
    <m/>
    <s v="NP"/>
    <s v="Incremento"/>
    <m/>
    <m/>
    <m/>
    <m/>
    <s v="SECRETARIA PRIVADA"/>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Convocatorias de estímulos a artistas, creadores y Gestores culturales población negra, afrocolombiana, raizal, palenquera, indígena y rom realizadas"/>
    <s v="Convocatorias de estímulos a artistas, creadores y Gestores culturales población negra, afrocolombiana, raizal, palenquera, indígena y rom realizadas"/>
    <s v="N.D "/>
    <n v="2"/>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artísticos y culturales apoyados para promover e incentivar la participación de niños, niñas, adolescentes y jóvenes población negra, afrocolombiana, raizal,_x000a_palenquera, indígena y rom"/>
    <s v="Eventos artísticos y culturales apoyados para promover e incentivar la participación de niños, niñas, adolescentes y jóvenes población negra, afrocolombiana, raizal,_x000a_palenquera, indígena y rom"/>
    <s v="ND"/>
    <n v="8"/>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Artistas, creadores y Gestores culturales población negra, afrocolombiana, raizal, palenquera, indígena y rom capacitados"/>
    <s v="Artistas, creadores y Gestores culturales población negra, afrocolombiana, raizal, palenquera, indígena y rom capacitados"/>
    <s v="ND"/>
    <n v="100"/>
    <m/>
    <m/>
    <n v="0"/>
    <m/>
    <m/>
    <m/>
    <s v="NP"/>
    <s v="Incremento"/>
    <m/>
    <m/>
    <m/>
    <m/>
    <s v="ICULTUR"/>
    <m/>
    <m/>
    <m/>
  </r>
  <r>
    <x v="5"/>
    <x v="5"/>
    <m/>
    <m/>
    <x v="28"/>
    <x v="28"/>
    <m/>
    <m/>
    <x v="89"/>
    <x v="89"/>
    <n v="0"/>
    <s v="NP"/>
    <m/>
    <s v="Municipios de Bolívar con población negra,_x000a_afrocolombiana, raizal, palenquera, indígena y_x000a_rom organizada, apoyados en sus actividades deportivas dirigidas a población negra,_x000a_afrocolombiana, raizal, palenquera, indígena y_x000a_rom._x000a_"/>
    <s v="% Municipios de Bolívar con población negra,_x000a_afrocolombiana, raizal, palenquera, indígena y_x000a_rom organizada, apoyados en sus actividades deportivas dirigidas a población negra,_x000a_afrocolombiana, raizal, palenquera, indígena y_x000a_rom._x000a_"/>
    <s v="ND"/>
    <n v="100"/>
    <m/>
    <s v="Eventos deportivos y recreativos_x000a_organizados y realizados con la_x000a_participación de población negra,_x000a_afrocolombiana, raizal,_x000a_palenquera, indígena y rom"/>
    <s v="No. de eventos deportivos y recreativos_x000a_organizados y realizados con la_x000a_participación de población negra,_x000a_afrocolombiana, raizal,_x000a_palenquera, indígena y rom"/>
    <s v="ND"/>
    <n v="4"/>
    <m/>
    <m/>
    <n v="0"/>
    <m/>
    <m/>
    <m/>
    <s v="NP"/>
    <s v="Incremento"/>
    <s v="Deporte Social Comunitario"/>
    <s v="Deporte y Recreación"/>
    <s v="A.4"/>
    <s v="Salud  y Bienestar"/>
    <s v="IDERBOL/SECRETARÍA DEL INTERIOR/SECRETARÍA PRIVADA"/>
    <m/>
    <m/>
    <m/>
  </r>
  <r>
    <x v="5"/>
    <x v="5"/>
    <m/>
    <m/>
    <x v="28"/>
    <x v="28"/>
    <m/>
    <m/>
    <x v="90"/>
    <x v="90"/>
    <n v="3.5714285714285712E-2"/>
    <n v="1"/>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n v="1"/>
    <n v="1"/>
    <n v="0.25"/>
    <n v="1"/>
    <n v="1"/>
    <n v="1"/>
    <n v="1"/>
    <s v="Incremento"/>
    <m/>
    <s v="Atención a grupos vulnerables - Promoció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Desarrollar 4 iniciativas productivas en cabeza de la mujer población negra, afrocolombiana, raizal, palenquera, indígena y rom"/>
    <s v="iniciativas productivas en cabeza de la mujer población negra, afrocolombiana, raizal, palenquera, indígena y rom"/>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Emprendimientos culturales de población negra, afrocolombiana, raizal, palenquera, indígena y rom apoyados "/>
    <s v="Emprendimientos culturales de población negra, afrocolombiana, raizal, palenquera, indígena y rom apoyados "/>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delantar 4 procesos de formación y capacitación empresarial para población negra, afrocolombiana, raizal, palenquera, indígena y rom"/>
    <s v="procesos de formación y capacitación empresarial para población negra, afrocolombiana, raizal, palenquera, indígena y rom"/>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100%de losMunicipios con población negra, afrocolombiana, raizal, palenquera, indígena y rom organizada con asistencia técnica para la formulación y presentación de proyectos a la cooperación nacional e internacional, en el marco del Decenio Afro"/>
    <s v="Municipios con población negra, afrocolombiana, raizal, palenquera, indígena y rom organizada con asistencia técnica para la formulación y presentación de proyectos a la cooperación nacional e internacional, en el marco del Decenio Afro"/>
    <s v="ND"/>
    <n v="1"/>
    <m/>
    <m/>
    <n v="0"/>
    <m/>
    <m/>
    <m/>
    <s v="NP"/>
    <s v="Incremento"/>
    <n v="10"/>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sesorarías, procesos de asistencia técnica y acompañamiento   a micros, pequeños y medianos empresarios población negra, afrocolombiana, raizal, palenquera, indígena y rom"/>
    <s v="Asesorarías, procesos de asistencia técnica y acompañamiento   a micros, pequeños y medianos empresarios población negra, afrocolombiana, raizal, palenquera, indígena y rom"/>
    <s v="ND"/>
    <n v="40"/>
    <m/>
    <m/>
    <n v="0"/>
    <m/>
    <m/>
    <m/>
    <s v="NP"/>
    <s v="Incremento"/>
    <n v="10"/>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1"/>
    <x v="91"/>
    <n v="0"/>
    <s v="NP"/>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Programas etno educativos_x000a_implementados"/>
    <s v="Programas etno educativos_x000a_implementados"/>
    <s v="ND"/>
    <n v="4"/>
    <m/>
    <n v="0"/>
    <n v="0"/>
    <m/>
    <m/>
    <m/>
    <s v="NP"/>
    <s v="Increm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Foros y encuentros Para socializar experiencias e iniciativas relacionadas con la implementación de los Estudios_x000a_Afrocolombianos"/>
    <s v="Foros y encuentros Para socializar experiencias e iniciativas relacionadas con la implementación de los Estudios_x000a_Afrocolombianos"/>
    <s v="ND"/>
    <n v="4"/>
    <m/>
    <m/>
    <n v="0"/>
    <m/>
    <m/>
    <m/>
    <s v="NP"/>
    <s v="Increm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Docentes y directivos docentes, vinculados a la planta de personal que se auto reconocen población negra, afrocolombiana, raizal, palenquera, indígena y rom, en programas de alto nivel"/>
    <s v="Docentes y directivos docentes, vinculados a la planta de personal que se auto reconocen población negra, afrocolombiana, raizal, palenquera, indígena y rom, en programas de alto nivel"/>
    <s v="ND"/>
    <n v="30"/>
    <m/>
    <m/>
    <n v="0"/>
    <m/>
    <m/>
    <m/>
    <s v="NP"/>
    <s v="Increm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Sistema de estímulos creado para estimular a las I.E. oficiales que desarrollen experiencias significativas y exitosas en la implementación de la Afrocolombianidad."/>
    <s v="Sistema de estímulos creado para estimular a las I.E. oficiales que desarrollen experiencias significativas y exitosas en la implementación de la Afrocolombianidad."/>
    <n v="1"/>
    <n v="1"/>
    <m/>
    <m/>
    <n v="0"/>
    <m/>
    <m/>
    <m/>
    <s v="NP"/>
    <s v="Mantenimi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Estudiantes que se reconocen población negra, afrocolombiana, raizal, palenquera, indígena y rom apadrinados para cursar estudios de Educación Superior"/>
    <s v="Estudiantes que se reconocen población negra, afrocolombiana, raizal, palenquera, indígena y rom apadrinados para cursar estudios de Educación Superior"/>
    <s v="N.D "/>
    <n v="200"/>
    <m/>
    <m/>
    <n v="0"/>
    <m/>
    <m/>
    <m/>
    <s v="NP"/>
    <s v="Incremento"/>
    <m/>
    <m/>
    <m/>
    <m/>
    <s v="SECRETARÍA DE EDUCACIÓN"/>
    <m/>
    <m/>
    <m/>
  </r>
  <r>
    <x v="5"/>
    <x v="5"/>
    <m/>
    <m/>
    <x v="28"/>
    <x v="28"/>
    <m/>
    <m/>
    <x v="91"/>
    <x v="91"/>
    <m/>
    <m/>
    <m/>
    <s v="Municipios con población negra, afrocolombiana, raizal, palenquera, indígena y rom organizada, que mejoran la cobertura y calidad educativa de los estudiantes pertenecientes a la población negra, afrocolombiana, raizal, palenquera, indígena y rom"/>
    <s v="Municipios con población negra, afrocolombiana, raizal, palenquera, indígena y rom organizada, que mejoran la cobertura y calidad educativa de los estudiantes pertenecientes a la población negra, afrocolombiana, raizal, palenquera, indígena y rom"/>
    <s v="ND"/>
    <n v="1"/>
    <m/>
    <s v="Personas con título de pregrado, apoyados para cursar estudios de posgrados"/>
    <s v="Personas con título de pregrado, apoyados para cursar estudios de posgrados"/>
    <s v="N.D"/>
    <n v="0.2"/>
    <m/>
    <m/>
    <n v="0"/>
    <m/>
    <m/>
    <m/>
    <s v="NP"/>
    <s v="Incremento"/>
    <m/>
    <m/>
    <m/>
    <m/>
    <s v="SECRETARÍA DE EDUCACIÓN"/>
    <m/>
    <m/>
    <m/>
  </r>
  <r>
    <x v="5"/>
    <x v="5"/>
    <m/>
    <m/>
    <x v="28"/>
    <x v="28"/>
    <m/>
    <m/>
    <x v="92"/>
    <x v="92"/>
    <n v="0.16666666666666666"/>
    <n v="1"/>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ciones de atención y tratamiento especial a la población negra, afrocolombiana, raizal,  palenquera, indígena y rom asentada en Bolívar, víctima del conflicto armado"/>
    <s v="Acciones de atención y tratamiento especial a la población negra, afrocolombiana, raizal,  palenquera, indígena y rom asentada en Bolívar, víctima del conflicto armado"/>
    <s v="N.D"/>
    <n v="8"/>
    <m/>
    <m/>
    <n v="0"/>
    <m/>
    <m/>
    <m/>
    <s v="NP"/>
    <s v="Incremento"/>
    <m/>
    <m/>
    <m/>
    <m/>
    <s v="SECRETARÍA DE VÍCTIMAS"/>
    <m/>
    <m/>
    <m/>
  </r>
  <r>
    <x v="5"/>
    <x v="5"/>
    <m/>
    <m/>
    <x v="28"/>
    <x v="28"/>
    <m/>
    <m/>
    <x v="92"/>
    <x v="92"/>
    <m/>
    <m/>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tividades para propiciar la inclusión y participación de la población negra, afrocolombiana, raizal, palenquera, indígena y rom, asentada en Bolívar, en el sistema departamental de justicia. "/>
    <s v="Actividades para propiciar la inclusión y participación de la población negra, afrocolombiana, raizal, palenquera, indígena y rom, asentada en Bolívar, en el sistema departamental de justicia. "/>
    <s v="N.D "/>
    <n v="4"/>
    <m/>
    <m/>
    <n v="0"/>
    <m/>
    <m/>
    <m/>
    <s v="NP"/>
    <s v="Incremento"/>
    <m/>
    <m/>
    <m/>
    <m/>
    <s v="SECRETARÍA DEL INTERIOR"/>
    <m/>
    <m/>
    <m/>
  </r>
  <r>
    <x v="5"/>
    <x v="5"/>
    <m/>
    <m/>
    <x v="28"/>
    <x v="28"/>
    <m/>
    <m/>
    <x v="92"/>
    <x v="92"/>
    <m/>
    <m/>
    <m/>
    <s v="Municipios de Bolívar en los que se garantiza la protección y respecto de los derechos humanos de la población negra, afrocolombiana, raizal, palenquera, indígena y rom en el marco del derecho internacional Humanitario"/>
    <s v="PORCENTAJE"/>
    <s v="ND"/>
    <n v="100"/>
    <m/>
    <s v="Observatorio para el control, seguimiento y vigilancia de los derechos humanos de la población negra, afrocolombiana, raizal, palenquera, indígena y rom"/>
    <s v="Observatorio para el control, seguimiento y vigilancia de los derechos humanos de la población negra, afrocolombiana, raizal, palenquera, indígena y rom"/>
    <s v="ND"/>
    <n v="1"/>
    <n v="0"/>
    <n v="0.5"/>
    <n v="0.5"/>
    <n v="0.5"/>
    <n v="0"/>
    <n v="0.5"/>
    <n v="1"/>
    <s v="Incremento"/>
    <m/>
    <s v="Gobierno territorial"/>
    <n v="45"/>
    <n v="16"/>
    <s v="SECRETARÍA DEL INTERIOR"/>
    <m/>
    <m/>
    <m/>
  </r>
  <r>
    <x v="5"/>
    <x v="5"/>
    <m/>
    <m/>
    <x v="28"/>
    <x v="28"/>
    <m/>
    <m/>
    <x v="93"/>
    <x v="93"/>
    <n v="0.125"/>
    <n v="1"/>
    <m/>
    <s v="Comunidades indígenas asentadas en territorio bolivarense que mejoran sus condiciones de vida al tiempo que fortalecen su identidad y cultura"/>
    <s v="porcentaje"/>
    <s v="ND"/>
    <n v="100"/>
    <m/>
    <s v="Política pública indígena formulada"/>
    <s v="Política pública indígena formulada"/>
    <s v="ND"/>
    <n v="1"/>
    <n v="0"/>
    <n v="0.5"/>
    <n v="0.5"/>
    <n v="0.5"/>
    <n v="0"/>
    <n v="0.5"/>
    <n v="1"/>
    <s v="Incremento"/>
    <m/>
    <s v="Gobierno territorial"/>
    <n v="45"/>
    <n v="10"/>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spacios de capacitación y/o formación para representantes legales de población indígena (cabildos y otros reconocidos legalmente y registrados ante el Ministerio del Interior)."/>
    <s v="Espacios de capacitación y/o formación para representantes legales de población indígena (cabildos y otros reconocidos legalmente y registrados ante el Ministerio del Interior)."/>
    <s v="ND"/>
    <n v="8"/>
    <n v="0"/>
    <n v="1"/>
    <n v="0.125"/>
    <n v="1"/>
    <n v="0"/>
    <n v="1"/>
    <n v="1"/>
    <s v="Incremento"/>
    <m/>
    <s v="Gobierno territorial"/>
    <n v="45"/>
    <n v="10"/>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iniciativas productivas de población indígena bolivarense apoyadas"/>
    <s v="iniciativas productivas de población indígena bolivarense apoyadas"/>
    <s v="ND"/>
    <n v="16"/>
    <m/>
    <m/>
    <n v="0"/>
    <m/>
    <m/>
    <m/>
    <s v="NP"/>
    <s v="Incremento"/>
    <m/>
    <s v="Gobierno territorial"/>
    <n v="45"/>
    <n v="10"/>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mprendimientos culturales de población indígena apoyados"/>
    <s v="Emprendimientos culturales de población indígena apoyados"/>
    <s v="ND"/>
    <n v="20"/>
    <m/>
    <m/>
    <n v="0"/>
    <m/>
    <m/>
    <m/>
    <s v="NP"/>
    <s v="Incremento"/>
    <m/>
    <m/>
    <m/>
    <m/>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ventos apoyados para la visibilizarían de las manifestaciones artísticas y culturales de población indígena en el departamento de Bolívar "/>
    <s v="Eventos apoyados para la visibilizarían de las manifestaciones artísticas y culturales de población indígena en el departamento de Bolívar "/>
    <s v="ND"/>
    <n v="8"/>
    <m/>
    <m/>
    <n v="0"/>
    <m/>
    <m/>
    <m/>
    <s v="NP"/>
    <s v="Incremento"/>
    <m/>
    <m/>
    <m/>
    <m/>
    <s v="ICULTUR"/>
    <m/>
    <m/>
    <m/>
  </r>
  <r>
    <x v="5"/>
    <x v="5"/>
    <m/>
    <m/>
    <x v="29"/>
    <x v="29"/>
    <n v="0.36296296296296293"/>
    <n v="0.65714285714285714"/>
    <x v="94"/>
    <x v="94"/>
    <n v="0.36296296296296293"/>
    <n v="0.65714285714285714"/>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50.000 Niños, niñas y adolescentes beneficiarios de Proyectos realizados para la Celebración del Día de la Niñez."/>
    <s v="Niños, niñas y adolescentes beneficiarios de Proyectos realizados para la Celebración del Día de la Niñez."/>
    <n v="30000"/>
    <n v="50000"/>
    <n v="5000"/>
    <n v="5000"/>
    <n v="0.1"/>
    <n v="5000"/>
    <n v="5000"/>
    <n v="5000"/>
    <n v="1"/>
    <s v="Incremento"/>
    <s v="NO"/>
    <s v="GESTIÓN"/>
    <n v="41"/>
    <s v="ODS 3"/>
    <s v="SECRETARÍA DE LA MUJER"/>
    <m/>
    <m/>
    <m/>
  </r>
  <r>
    <x v="5"/>
    <x v="5"/>
    <m/>
    <m/>
    <x v="29"/>
    <x v="29"/>
    <m/>
    <m/>
    <x v="94"/>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1 Programa implementado para la prevención del trabajo infantil dirigido a los niños y niñas con familias afectadas económicamente por el COVID-18"/>
    <s v="implementado para la prevención del trabajo infantil dirigido a los niños y niñas con familias afectadas económicamente por el COVID-19"/>
    <n v="0"/>
    <n v="1"/>
    <n v="1"/>
    <n v="1"/>
    <n v="1"/>
    <n v="1"/>
    <n v="1"/>
    <n v="1"/>
    <n v="1"/>
    <s v="Incremento"/>
    <s v="SI"/>
    <s v="NA"/>
    <n v="41"/>
    <s v="ODS 3"/>
    <s v="SECRETARÍA DE LA MUJER"/>
    <m/>
    <m/>
    <m/>
  </r>
  <r>
    <x v="5"/>
    <x v="5"/>
    <m/>
    <m/>
    <x v="29"/>
    <x v="29"/>
    <m/>
    <m/>
    <x v="94"/>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8 espacios adecuados y/o construidos y dotados para su funcionamiento como ludotecas en zonas urbanas y rurales de Bolívar "/>
    <s v="Número de espacios adecuados y/o construidos y dotados para su funcionamiento como ludotecas en zonas urbanas y rurales de Bolívar "/>
    <n v="5"/>
    <n v="8"/>
    <m/>
    <m/>
    <n v="0"/>
    <m/>
    <m/>
    <m/>
    <s v="NP"/>
    <s v="Incremento"/>
    <s v="NA"/>
    <s v="NA"/>
    <n v="41"/>
    <s v="ODS 3"/>
    <s v="SECRETARÍA DE LA MUJER"/>
    <m/>
    <m/>
    <m/>
  </r>
  <r>
    <x v="5"/>
    <x v="5"/>
    <m/>
    <m/>
    <x v="29"/>
    <x v="29"/>
    <m/>
    <m/>
    <x v="94"/>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24000"/>
    <n v="26000"/>
    <m/>
    <s v="12Agentes educativos formados y cualificados en la atención a la primera infancia"/>
    <s v="Agentes educativos formados y cualificados en la atención a la primera infancia"/>
    <n v="12"/>
    <n v="18"/>
    <n v="0"/>
    <n v="0"/>
    <n v="0"/>
    <n v="5"/>
    <n v="0"/>
    <n v="0"/>
    <n v="0"/>
    <s v="Incremento"/>
    <s v="NO"/>
    <m/>
    <n v="41"/>
    <s v="ODS 3"/>
    <s v="SECRETARÍA DE LA MUJER"/>
    <m/>
    <m/>
    <m/>
  </r>
  <r>
    <x v="5"/>
    <x v="5"/>
    <m/>
    <m/>
    <x v="29"/>
    <x v="29"/>
    <m/>
    <m/>
    <x v="94"/>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24000"/>
    <n v="26000"/>
    <m/>
    <s v="8 sedes para la educación inicial de niños y niñas que cuentan con dotación para el fortalecimiento de ambientes pedagógicos en la primera infancia"/>
    <s v="Número de sedes para la educación inicial de niños y niñas que cuentan con dotación para el fortalecimiento de ambientes pedagógicos en la primera infancia"/>
    <n v="5"/>
    <n v="8"/>
    <m/>
    <m/>
    <n v="0"/>
    <m/>
    <m/>
    <m/>
    <s v="NP"/>
    <s v="Incremento"/>
    <s v="no"/>
    <m/>
    <n v="41"/>
    <s v="ODS 5"/>
    <s v="SECRETARÍA DE LA MUJER"/>
    <m/>
    <m/>
    <m/>
  </r>
  <r>
    <x v="5"/>
    <x v="5"/>
    <m/>
    <m/>
    <x v="29"/>
    <x v="29"/>
    <m/>
    <m/>
    <x v="94"/>
    <x v="94"/>
    <m/>
    <m/>
    <m/>
    <s v="26.000 adolescentes sensibilizados a través de estrategia para la prevención de embarazo en adolescente"/>
    <s v="Número de adolescentes sensibilizados a través de estrategia para la prevención de embarazo en adolescente"/>
    <n v="24000"/>
    <n v="26000"/>
    <m/>
    <s v="18 actividades y/o proyectos realizados en zonas urbanas y rurales en el marco de la implementación de la Política Pública de Infancia, Adolescencia y Familia del departamento de Bolívar"/>
    <s v="Número de actividades y/o proyectos realizados en zonas urbanas y rurales en el marco de la implementación de la Política Pública de Infancia, Adolescencia y Familia del departamento de Bolívar"/>
    <n v="12"/>
    <n v="18"/>
    <n v="3"/>
    <n v="3"/>
    <n v="0.16666666666666666"/>
    <n v="5"/>
    <n v="3"/>
    <n v="3"/>
    <n v="0.6"/>
    <s v="Incremento"/>
    <s v="no"/>
    <m/>
    <n v="41"/>
    <s v="ods3"/>
    <s v="SECRETARÍA DE LA MUJER"/>
    <m/>
    <m/>
    <m/>
  </r>
  <r>
    <x v="5"/>
    <x v="5"/>
    <m/>
    <m/>
    <x v="29"/>
    <x v="29"/>
    <m/>
    <m/>
    <x v="94"/>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ón del embarazo en adolescentes y matrimonio infantil, precoz y/o forzado"/>
    <s v="Programa creado e implementado para la prevención del embarazo en adolescentes y matrimonio infantil, precoz y/o forzado"/>
    <n v="1"/>
    <n v="1"/>
    <n v="1"/>
    <n v="1"/>
    <n v="1"/>
    <n v="1"/>
    <n v="1"/>
    <n v="1"/>
    <n v="1"/>
    <s v="Incremento"/>
    <s v="SI"/>
    <s v="NA"/>
    <n v="41"/>
    <s v="ODS 5 "/>
    <s v="SECRETARÍA DE LA MUJER"/>
    <m/>
    <m/>
    <m/>
  </r>
  <r>
    <x v="5"/>
    <x v="5"/>
    <m/>
    <m/>
    <x v="29"/>
    <x v="29"/>
    <m/>
    <m/>
    <x v="94"/>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ón abuso y explotación sexual y comercial en NNA "/>
    <s v="Programa creado e implementado para la prevención abuso y explotación sexual y comercial en NNA "/>
    <n v="1"/>
    <n v="1"/>
    <n v="1"/>
    <n v="1"/>
    <n v="1"/>
    <n v="1"/>
    <n v="1"/>
    <n v="1"/>
    <n v="1"/>
    <s v="Incremento"/>
    <s v="si"/>
    <s v="NA"/>
    <n v="41"/>
    <s v="ODS5"/>
    <s v="SECRETARÍA DE LA MUJER"/>
    <m/>
    <m/>
    <m/>
  </r>
  <r>
    <x v="5"/>
    <x v="5"/>
    <m/>
    <m/>
    <x v="29"/>
    <x v="29"/>
    <m/>
    <m/>
    <x v="94"/>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0"/>
    <n v="20"/>
    <m/>
    <s v="45 municipios con estrategias implementadas para la prevención de la vulneración de los derechos de los niños, las niñas y los adolescentes durante y posterior al COVID - 19"/>
    <s v="Número de sedes para la educación inicial de niños y niñas que cuentan con dotación para el fortalecimiento de ambientes pedagógicos en la primera infancia"/>
    <n v="5"/>
    <n v="8"/>
    <n v="0"/>
    <n v="0"/>
    <n v="0"/>
    <n v="1"/>
    <n v="0"/>
    <n v="0"/>
    <n v="0"/>
    <s v="Incremento"/>
    <s v="SI"/>
    <s v="BA"/>
    <n v="41"/>
    <s v="ODS 3"/>
    <s v="SECRETARÍA DE LA MUJER"/>
    <m/>
    <m/>
    <m/>
  </r>
  <r>
    <x v="5"/>
    <x v="5"/>
    <m/>
    <m/>
    <x v="30"/>
    <x v="30"/>
    <n v="0.52594819611470855"/>
    <n v="0.8563829787234043"/>
    <x v="95"/>
    <x v="95"/>
    <n v="0.52594819611470855"/>
    <n v="0.8563829787234043"/>
    <m/>
    <s v="Organizaciones sociales de jóvenes participando del sistema departamental de juventud"/>
    <s v="Organizaciones sociales de jóvenes participando del sistema departamental de juventud"/>
    <n v="264"/>
    <n v="350"/>
    <m/>
    <s v="Política Pública Departamental de juventud elaborada e implementada (con seguimiento)"/>
    <s v="porcentaje"/>
    <n v="0"/>
    <n v="50"/>
    <n v="0"/>
    <n v="10"/>
    <n v="0.2"/>
    <n v="10"/>
    <n v="0"/>
    <n v="10"/>
    <n v="1"/>
    <s v="Incremento"/>
    <m/>
    <s v="Gobierno territorial"/>
    <n v="45"/>
    <n v="10"/>
    <s v="SECRETARÍA DEL INTERIOR"/>
    <m/>
    <m/>
    <m/>
  </r>
  <r>
    <x v="5"/>
    <x v="5"/>
    <m/>
    <m/>
    <x v="30"/>
    <x v="30"/>
    <m/>
    <m/>
    <x v="95"/>
    <x v="95"/>
    <m/>
    <m/>
    <m/>
    <s v="Organizaciones sociales de jóvenes participando del sistema departamental de juventud"/>
    <s v="Organizaciones sociales de jóvenes participando del sistema departamental de juventud"/>
    <n v="264"/>
    <n v="350"/>
    <m/>
    <s v="Plataformas municipales y departamental de juventud constituidas y activas"/>
    <s v="Plataformas municipales y departamental de juventud constituidas y activas"/>
    <n v="0"/>
    <n v="47"/>
    <n v="0"/>
    <n v="20"/>
    <n v="0.42553191489361702"/>
    <n v="47"/>
    <n v="0"/>
    <n v="20"/>
    <n v="0.42553191489361702"/>
    <s v="Incremento"/>
    <m/>
    <s v="Gobierno territorial"/>
    <n v="45"/>
    <n v="10"/>
    <s v="SECRETARÍA DEL INTERIOR"/>
    <m/>
    <m/>
    <m/>
  </r>
  <r>
    <x v="5"/>
    <x v="5"/>
    <m/>
    <m/>
    <x v="30"/>
    <x v="30"/>
    <m/>
    <m/>
    <x v="95"/>
    <x v="95"/>
    <m/>
    <m/>
    <m/>
    <s v="Organizaciones sociales de jóvenes participando del sistema departamental de juventud"/>
    <s v="Organizaciones sociales de jóvenes participando del sistema departamental de juventud"/>
    <n v="264"/>
    <n v="350"/>
    <m/>
    <s v="Municipios con Consejos Municipales de Juventud elegidos."/>
    <s v="Municipios con Consejos Municipales de Juventud elegidos."/>
    <n v="0"/>
    <n v="46"/>
    <n v="0"/>
    <n v="45"/>
    <n v="0.97826086956521741"/>
    <n v="45"/>
    <n v="0"/>
    <n v="45"/>
    <n v="1"/>
    <s v="Incremento"/>
    <m/>
    <s v="Gobierno territorial"/>
    <n v="45"/>
    <n v="10"/>
    <s v="SECRETARÍA DEL INTERIOR"/>
    <m/>
    <m/>
    <m/>
  </r>
  <r>
    <x v="5"/>
    <x v="5"/>
    <m/>
    <m/>
    <x v="30"/>
    <x v="30"/>
    <m/>
    <m/>
    <x v="95"/>
    <x v="95"/>
    <m/>
    <m/>
    <m/>
    <s v="Jóvenes infractores en el SRPA con medidas protectoras, educativas y restaurativas"/>
    <s v="Jóvenes infractores en el SRPA con medidas protectoras, educativas y restaurativas"/>
    <n v="287"/>
    <n v="287"/>
    <m/>
    <s v="Apoyo al restablecimiento en administración de justicia de jóvenes infractores (acompañamiento técnico, inversión directa departamento, APP)"/>
    <s v="Apoyo al restablecimiento en administración de justicia de jóvenes infractores (acompañamiento técnico, inversión directa departamento, APP)"/>
    <n v="1"/>
    <n v="1"/>
    <n v="0"/>
    <n v="0.5"/>
    <n v="0.5"/>
    <n v="0.5"/>
    <n v="0"/>
    <n v="0.5"/>
    <n v="1"/>
    <s v="Mantenimiento"/>
    <m/>
    <s v="Gobierno territorial"/>
    <n v="45"/>
    <n v="10"/>
    <s v="SECRETARÍA DEL INTERIOR"/>
    <m/>
    <m/>
    <m/>
  </r>
  <r>
    <x v="5"/>
    <x v="5"/>
    <m/>
    <m/>
    <x v="31"/>
    <x v="31"/>
    <n v="0.61904761904761896"/>
    <n v="0.66666666666666663"/>
    <x v="96"/>
    <x v="96"/>
    <n v="0.61904761904761896"/>
    <n v="0.66666666666666663"/>
    <m/>
    <s v="7200 Adultos Mayores beneficiados a través de los recursos de estampilla para el Bienestar del Adulto Mayor"/>
    <s v="Número de Adultos Mayores beneficiados a través de los recursos de estampilla para el Bienestar del Adulto Mayor"/>
    <n v="7000"/>
    <n v="7200"/>
    <m/>
    <s v="45 Centros de Vida Municipal apoyados a través de los recursos de estampilla para el Bienestar del Adulto Mayor"/>
    <s v="Número de Centros de Vida Municipal apoyados a través de los recursos de estampilla para el Bienestar del Adulto Mayor"/>
    <n v="45"/>
    <n v="45"/>
    <n v="45"/>
    <n v="45"/>
    <n v="1"/>
    <n v="45"/>
    <n v="45"/>
    <n v="45"/>
    <n v="1"/>
    <s v="Mantenimiento"/>
    <s v="NA"/>
    <s v="NA"/>
    <n v="41"/>
    <s v="ODS10"/>
    <s v="SECRETARÍA DE LA MUJER"/>
    <m/>
    <m/>
    <m/>
  </r>
  <r>
    <x v="5"/>
    <x v="5"/>
    <m/>
    <m/>
    <x v="31"/>
    <x v="31"/>
    <m/>
    <m/>
    <x v="96"/>
    <x v="96"/>
    <m/>
    <m/>
    <m/>
    <s v="7200 Adultos Mayores beneficiados a través de los recursos de estampilla para el Bienestar del Adulto Mayor"/>
    <s v="Número de Adultos Mayores beneficiados a través de los recursos de estampilla para el Bienestar del Adulto Mayor"/>
    <n v="7000"/>
    <n v="7200"/>
    <m/>
    <s v="40 Centros de Vida Municipal ubicados en zona rural apoyados a través de los recursos de estampilla para el Bienestar del Adulto Mayor"/>
    <s v="Número de Centros de Vida Municipal ubicados en zona rural apoyados a través de los recursos de estampilla para el Bienestar del Adulto Mayor"/>
    <n v="36"/>
    <n v="40"/>
    <n v="36"/>
    <n v="40"/>
    <n v="1"/>
    <n v="36"/>
    <n v="36"/>
    <n v="36"/>
    <n v="1"/>
    <s v="Incremento"/>
    <s v="NA"/>
    <s v="NA"/>
    <n v="41"/>
    <s v="ODS10"/>
    <s v="SECRETARÍA DE LA MUJER"/>
    <m/>
    <m/>
    <m/>
  </r>
  <r>
    <x v="5"/>
    <x v="5"/>
    <m/>
    <m/>
    <x v="31"/>
    <x v="31"/>
    <m/>
    <m/>
    <x v="96"/>
    <x v="96"/>
    <m/>
    <m/>
    <m/>
    <s v="7200 Adultos Mayores beneficiados a través de los recursos de estampilla para el Bienestar del Adulto Mayor"/>
    <s v="Número de Adultos Mayores beneficiados a través de los recursos de estampilla para el Bienestar del Adulto Mayor"/>
    <n v="7000"/>
    <n v="7200"/>
    <m/>
    <s v="8 Centros de Protección apoyados a través de los recursos de estampilla para el Bienestar del Adulto Mayor"/>
    <s v="Número de Centros de Protección apoyados a través de los recursos de estampilla para el Bienestar del Adulto Mayor"/>
    <n v="5"/>
    <n v="8"/>
    <n v="8"/>
    <n v="8"/>
    <n v="1"/>
    <n v="8"/>
    <n v="8"/>
    <n v="8"/>
    <n v="1"/>
    <s v="Incremento"/>
    <s v="NA"/>
    <s v="NA"/>
    <n v="41"/>
    <s v="ODS10"/>
    <s v="SECRETARÍA DE LA MUJER"/>
    <m/>
    <m/>
    <m/>
  </r>
  <r>
    <x v="5"/>
    <x v="5"/>
    <m/>
    <m/>
    <x v="31"/>
    <x v="31"/>
    <m/>
    <m/>
    <x v="96"/>
    <x v="96"/>
    <m/>
    <m/>
    <m/>
    <s v="600 Adultos Mayores alfabetizados"/>
    <s v="Número de Adultos Mayores alfabetizados"/>
    <n v="400"/>
    <n v="600"/>
    <m/>
    <s v="100  hogares y cuidadores de adultos mayores con acompañamiento familiar y psicosocial, rutinas de autocuidados"/>
    <s v="Número de hogares y cuidadores de adultos mayores con acompañamiento familiar y psicosocial, rutinas de autocuidados"/>
    <s v="ND"/>
    <n v="100"/>
    <n v="0"/>
    <n v="100"/>
    <n v="1"/>
    <n v="8"/>
    <n v="0"/>
    <n v="8"/>
    <n v="1"/>
    <s v="Incremento"/>
    <s v="NA"/>
    <s v="NA"/>
    <n v="41"/>
    <s v="ODS10"/>
    <s v="SECRETARÍA DE LA MUJER"/>
    <m/>
    <m/>
    <m/>
  </r>
  <r>
    <x v="5"/>
    <x v="5"/>
    <m/>
    <m/>
    <x v="31"/>
    <x v="31"/>
    <m/>
    <m/>
    <x v="96"/>
    <x v="96"/>
    <m/>
    <m/>
    <m/>
    <s v="600 Adultos Mayores alfabetizados"/>
    <s v="Número de Adultos Mayores alfabetizados"/>
    <n v="400"/>
    <n v="600"/>
    <m/>
    <s v="3 Encuentros Departamental de Adulto Mayor realizados"/>
    <s v="Número de Encuentros Departamental de Adulto Mayor realizados"/>
    <n v="4"/>
    <n v="3"/>
    <n v="0"/>
    <n v="1"/>
    <n v="0.33333333333333331"/>
    <m/>
    <m/>
    <m/>
    <s v="NP"/>
    <s v="Disminución"/>
    <s v="NA"/>
    <s v="NA"/>
    <n v="41"/>
    <s v="ODS10"/>
    <s v="SECRETARÍA DE LA MUJER"/>
    <m/>
    <m/>
    <m/>
  </r>
  <r>
    <x v="5"/>
    <x v="5"/>
    <m/>
    <m/>
    <x v="31"/>
    <x v="31"/>
    <m/>
    <m/>
    <x v="96"/>
    <x v="96"/>
    <m/>
    <m/>
    <m/>
    <s v="600 Adultos Mayores alfabetizados"/>
    <s v="Número de Adultos Mayores alfabetizados"/>
    <n v="400"/>
    <n v="600"/>
    <m/>
    <s v="3 Proyectos de Alfabetización para el Adulto Mayor realizados"/>
    <s v="Número de Proyectos de Alfabetización para el Adulto Mayor realizados"/>
    <n v="2"/>
    <n v="3"/>
    <n v="0"/>
    <n v="0"/>
    <n v="0"/>
    <n v="1"/>
    <n v="0"/>
    <n v="0"/>
    <n v="0"/>
    <s v="Incremento"/>
    <s v="SI"/>
    <s v="NA"/>
    <n v="41"/>
    <s v="ODS10"/>
    <s v="SECRETARÍA DE LA MUJER"/>
    <m/>
    <m/>
    <m/>
  </r>
  <r>
    <x v="5"/>
    <x v="5"/>
    <m/>
    <m/>
    <x v="31"/>
    <x v="31"/>
    <m/>
    <m/>
    <x v="96"/>
    <x v="96"/>
    <m/>
    <m/>
    <m/>
    <s v="600 Adultos Mayores alfabetizados"/>
    <s v="Número de Adultos Mayores alfabetizados"/>
    <n v="400"/>
    <n v="600"/>
    <m/>
    <s v="3 Proyectos para la Dignificación del Adulto Mayor ejecutado"/>
    <s v="Número de Proyectos para la Dignificación del Adulto Mayor ejecutado"/>
    <n v="3"/>
    <n v="3"/>
    <n v="0"/>
    <n v="0"/>
    <n v="0"/>
    <n v="1"/>
    <n v="0"/>
    <n v="0"/>
    <n v="0"/>
    <s v="Mantenimiento"/>
    <s v="NA"/>
    <s v="NA"/>
    <n v="41"/>
    <s v="ODS10"/>
    <s v="SECRETARÍA DE LA MUJER"/>
    <m/>
    <m/>
    <m/>
  </r>
  <r>
    <x v="5"/>
    <x v="5"/>
    <m/>
    <m/>
    <x v="32"/>
    <x v="32"/>
    <n v="0.25462962962962959"/>
    <n v="0.5"/>
    <x v="97"/>
    <x v="97"/>
    <n v="0.25462962962962959"/>
    <n v="0.5"/>
    <m/>
    <s v="1 Política Pública para la Equidad de Género y Autonomía de la Mujer Bolivarense implementada y actualizada"/>
    <s v="Política Pública para la Equidad de Género y Autonomía de la Mujer Bolivarense implementada y actualizada"/>
    <n v="1"/>
    <n v="1"/>
    <m/>
    <s v="8 actividades y/o proyectos realizados en zonas urbanas y rurales para la implementación de la Política Pública para la Equidad de Género y Autonomía de la Mujer Bolivarense"/>
    <s v="Número de actividades y/o proyectos realizados en zonas urbanas y rurales para la implementación de la Política Pública para la Equidad de Género y Autonomía de la Mujer Bolivarense"/>
    <n v="3"/>
    <n v="8"/>
    <n v="2"/>
    <n v="3"/>
    <n v="0.375"/>
    <n v="3"/>
    <n v="2"/>
    <n v="3"/>
    <n v="1"/>
    <s v="Incremento"/>
    <s v="SI"/>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1 Documento actualizado de Política Pública para la Equidad de Género y Autonomía de la Mujer Bolivarense"/>
    <s v="Documento actualizado de Política Pública para la Equidad de Género y Autonomía de la Mujer Bolivarense"/>
    <n v="0"/>
    <n v="1"/>
    <m/>
    <m/>
    <n v="0"/>
    <m/>
    <m/>
    <m/>
    <s v="NP"/>
    <s v="Incremento"/>
    <s v="NA"/>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3  actividades y/o proyectos realizados para el empoderamiento en derechos de la mujer bolivarense y la prevención de las VBG"/>
    <s v="Número de actividades y/o proyectos realizados para el fortalecimiento de las autoridades municipales en la atención de las Violencias basadas en el Género (VBG)"/>
    <n v="1"/>
    <n v="4"/>
    <n v="1"/>
    <n v="1"/>
    <n v="0.25"/>
    <n v="1"/>
    <n v="1"/>
    <n v="1"/>
    <n v="1"/>
    <s v="Incremento"/>
    <s v="SI"/>
    <s v="GESTIÓN, REALIZADO DE MANERA VIRTUAL"/>
    <n v="41"/>
    <s v="ODS5"/>
    <s v="SECRETARÍA DE LA MUJER"/>
    <m/>
    <m/>
    <m/>
  </r>
  <r>
    <x v="5"/>
    <x v="5"/>
    <m/>
    <m/>
    <x v="32"/>
    <x v="32"/>
    <m/>
    <m/>
    <x v="97"/>
    <x v="97"/>
    <m/>
    <m/>
    <m/>
    <s v="6000 personas sensibilizadas en_x000a_rechazo al maltrato a la mujer y las_x000a_violencias de género_x000a_"/>
    <s v="Número de personas sensibilizadas en_x000a_rechazo al maltrato a la mujer y las_x000a_violencias de género_x000a_"/>
    <n v="3400"/>
    <n v="6000"/>
    <m/>
    <s v="3 actividades y/o proyectos realizados para el empoderamiento en derechos de la mujer bolivarense y la prevención de las VBG"/>
    <s v="Número de actividades y/o proyectos realizados para el empoderamiento en derechos de la mujer bolivarense y la prevención de las VBG"/>
    <s v="ND"/>
    <n v="3"/>
    <n v="1"/>
    <n v="2"/>
    <n v="0.66666666666666663"/>
    <n v="1"/>
    <n v="1"/>
    <n v="1"/>
    <n v="1"/>
    <s v="Incremento"/>
    <s v="NA"/>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Creación y Puesta en Marcha de 1 Escuela de Participación Política y/o Control Político para Mujeres itinerante en el departamento de Bolívar"/>
    <s v="Creación y Puesta en Marcha de Escuela de Participación Política y/o Control Político para Mujeres itinerante en el departamento de Bolívar"/>
    <n v="0"/>
    <n v="1"/>
    <n v="0"/>
    <n v="0"/>
    <n v="0"/>
    <n v="1"/>
    <n v="0"/>
    <n v="0"/>
    <n v="0"/>
    <s v="Incremento"/>
    <s v="NA"/>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1 espacio construido para la protección y restablecimiento de derechos de mujeres víctimas de VBG y víctimas del conflicto armado"/>
    <s v="Número de espacios construidos para la protección y restablecimiento de derechos de mujeres víctimas de VBG y víctimas del conflicto armado"/>
    <n v="0"/>
    <n v="1"/>
    <n v="0"/>
    <n v="0"/>
    <n v="0"/>
    <n v="1"/>
    <n v="0"/>
    <n v="0"/>
    <n v="0"/>
    <s v="Incremento"/>
    <s v="NA"/>
    <s v="NA"/>
    <n v="41"/>
    <s v="ODS5"/>
    <s v="SECRETARÍA DE LA MUJER"/>
    <m/>
    <m/>
    <m/>
  </r>
  <r>
    <x v="5"/>
    <x v="5"/>
    <m/>
    <m/>
    <x v="32"/>
    <x v="32"/>
    <m/>
    <m/>
    <x v="97"/>
    <x v="97"/>
    <m/>
    <m/>
    <m/>
    <s v="500 iniciativas productivas de mujeres apoyadas"/>
    <s v="Número de iniciativas productivas de mujeres apoyadas"/>
    <n v="300"/>
    <n v="500"/>
    <m/>
    <s v="1 estrategia implementadas el empoderamiento productivo de la mujer bolivarense"/>
    <s v="Número de estrategias implementadas el empoderamiento productivo de la mujer bolivarense"/>
    <n v="1"/>
    <n v="1"/>
    <n v="0"/>
    <n v="0"/>
    <n v="0"/>
    <n v="1"/>
    <n v="0"/>
    <n v="0"/>
    <n v="0"/>
    <s v="Incremento"/>
    <s v="SI"/>
    <m/>
    <n v="41"/>
    <s v="ODS5"/>
    <s v="SECRETARÍA DE LA MUJER"/>
    <m/>
    <m/>
    <m/>
  </r>
  <r>
    <x v="5"/>
    <x v="5"/>
    <m/>
    <m/>
    <x v="32"/>
    <x v="32"/>
    <m/>
    <m/>
    <x v="97"/>
    <x v="97"/>
    <m/>
    <m/>
    <m/>
    <s v="1 Programa para el bienestar de la Mujer Rural Bolivarense implementado"/>
    <s v="Programa para el bienestar de la Mujer Rural Bolivarense implementado"/>
    <n v="0"/>
    <n v="1"/>
    <m/>
    <s v="1 alianzas estratégicas consolidadas para la rehabilitación en salud mental de mujeres afectadas por la emergencia sanitaria COVID-19 y sus consecuencias"/>
    <s v="Número de alianzas estratégicas consolidadas para la rehabilitación en salud mental de mujeres afectadas por la emergencia sanitaria COVID-19 y sus consecuencias"/>
    <n v="0"/>
    <n v="1"/>
    <n v="0"/>
    <n v="0"/>
    <n v="0"/>
    <n v="1"/>
    <n v="0"/>
    <n v="0"/>
    <n v="0"/>
    <s v="Incremento"/>
    <s v="SI"/>
    <s v="GESTIÓN, REALIZADO DE MANERA VIRTUAL"/>
    <n v="41"/>
    <s v="ODS5"/>
    <s v="SECRETARÍA DE LA MUJER"/>
    <m/>
    <m/>
    <m/>
  </r>
  <r>
    <x v="5"/>
    <x v="5"/>
    <m/>
    <m/>
    <x v="32"/>
    <x v="32"/>
    <m/>
    <m/>
    <x v="97"/>
    <x v="97"/>
    <m/>
    <m/>
    <m/>
    <s v="6000 personas sensibilizadas en rechazo al maltrato a la mujer y las violencias de género"/>
    <s v="Número de personas sensibilizadas en rechazo al maltrato a la mujer y las violencias de género"/>
    <n v="3400"/>
    <n v="6000"/>
    <m/>
    <s v="1 campaña informativa_x000a_y educativas realizadas para la_x000a_sensibilización de la participación_x000a_masculina en el trabajo doméstico_x000a_y la lucha contra el maltrato a la_x000a_mujer y la violencia intrafamiliar"/>
    <s v="Número de campañas informativas_x000a_y educativas realizadas para la_x000a_sensibilización de la participación_x000a_masculina en el trabajo doméstico_x000a_y la lucha contra el maltrato a la_x000a_mujer y la violencia intrafamiliar"/>
    <n v="0"/>
    <n v="1"/>
    <n v="1"/>
    <n v="1"/>
    <n v="1"/>
    <n v="1"/>
    <n v="1"/>
    <n v="1"/>
    <n v="1"/>
    <s v="Incremento"/>
    <s v="NA"/>
    <s v="NA"/>
    <n v="41"/>
    <s v="ODS5"/>
    <s v="SECRETARÍA DE LA MUJER"/>
    <m/>
    <m/>
    <m/>
  </r>
  <r>
    <x v="5"/>
    <x v="5"/>
    <m/>
    <m/>
    <x v="33"/>
    <x v="33"/>
    <n v="9.8333333333333342E-2"/>
    <n v="1"/>
    <x v="98"/>
    <x v="98"/>
    <n v="9.8333333333333342E-2"/>
    <n v="1"/>
    <m/>
    <s v="Municipios fortalecidos con organizaciones sociales LGBTIQ constituidas y activas"/>
    <s v="Municipios fortalecidos con organizaciones sociales LGBTIQ constituidas y activas"/>
    <n v="15"/>
    <n v="35"/>
    <m/>
    <s v="Política Pública de género y diversidad sexual Departamental formulada e implementada (con seguimiento)"/>
    <s v="porcentaje"/>
    <n v="50"/>
    <n v="100"/>
    <n v="0"/>
    <n v="10"/>
    <n v="0.1"/>
    <n v="10"/>
    <n v="0"/>
    <n v="10"/>
    <n v="1"/>
    <s v="Incremento"/>
    <m/>
    <s v="Gobierno territorial"/>
    <n v="45"/>
    <n v="10"/>
    <s v="SECRETARÍA DEL INTERIOR"/>
    <m/>
    <m/>
    <m/>
  </r>
  <r>
    <x v="5"/>
    <x v="5"/>
    <m/>
    <m/>
    <x v="33"/>
    <x v="33"/>
    <m/>
    <m/>
    <x v="98"/>
    <x v="98"/>
    <m/>
    <m/>
    <m/>
    <s v="Municipios fortalecidos con organizaciones sociales LGBTIQ constituidas y activas"/>
    <s v="Municipios fortalecidos con organizaciones sociales LGBTIQ constituidas y activas"/>
    <n v="15"/>
    <n v="35"/>
    <m/>
    <s v="Mesas municipales y departamental activas"/>
    <s v="Mesas municipales y departamental activas"/>
    <n v="25"/>
    <n v="40"/>
    <s v="2.5%"/>
    <n v="5"/>
    <n v="0.125"/>
    <n v="5"/>
    <n v="0"/>
    <n v="5"/>
    <n v="1"/>
    <s v="Incremento"/>
    <m/>
    <s v="Gobierno territorial"/>
    <n v="45"/>
    <n v="10"/>
    <s v="SECRETARÍA DEL INTERIOR"/>
    <m/>
    <m/>
    <m/>
  </r>
  <r>
    <x v="5"/>
    <x v="5"/>
    <m/>
    <m/>
    <x v="33"/>
    <x v="33"/>
    <m/>
    <m/>
    <x v="98"/>
    <x v="98"/>
    <m/>
    <m/>
    <m/>
    <s v="Municipios fortalecidos con organizaciones sociales LGBTIQ constituidas y activas"/>
    <s v="Municipios fortalecidos con organizaciones sociales LGBTIQ constituidas y activas"/>
    <n v="15"/>
    <n v="35"/>
    <m/>
    <s v="Acciones afirmativas hacia la población LGBTIQ en el departamento de Bolívar"/>
    <s v="Acciones afirmativas hacia la población LGBTIQ en el departamento de Bolívar"/>
    <n v="0"/>
    <n v="6"/>
    <n v="0"/>
    <n v="1"/>
    <n v="0.16666666666666666"/>
    <n v="1"/>
    <n v="0"/>
    <n v="1"/>
    <n v="1"/>
    <s v="Incremento"/>
    <m/>
    <s v="Gobierno territorial"/>
    <n v="45"/>
    <n v="10"/>
    <s v="SECRETARÍA DEL INTERIOR"/>
    <m/>
    <m/>
    <m/>
  </r>
  <r>
    <x v="5"/>
    <x v="5"/>
    <m/>
    <m/>
    <x v="33"/>
    <x v="33"/>
    <m/>
    <m/>
    <x v="98"/>
    <x v="98"/>
    <m/>
    <m/>
    <m/>
    <s v="Municipios fortalecidos con organizaciones sociales LGBTIQ constituidas y activas"/>
    <s v="Municipios fortalecidos con organizaciones sociales LGBTIQ constituidas y activas"/>
    <n v="15"/>
    <n v="35"/>
    <m/>
    <s v="Organizaciones sociales LGBTIQ apoyando la implementación de un Programa departamental integral de sensibilización sobre el libre desarrollo de la personalidad"/>
    <s v="Organizaciones sociales LGBTIQ apoyando la implementación de un Programa departamental integral de sensibilización sobre el libre desarrollo de la personalidad"/>
    <n v="0"/>
    <n v="50"/>
    <n v="0"/>
    <n v="5"/>
    <n v="0.1"/>
    <n v="5"/>
    <n v="0"/>
    <n v="5"/>
    <n v="1"/>
    <s v="Incremento"/>
    <m/>
    <s v="Gobierno territorial"/>
    <n v="45"/>
    <n v="10"/>
    <s v="SECRETARÍA DEL INTERIOR"/>
    <m/>
    <m/>
    <m/>
  </r>
  <r>
    <x v="5"/>
    <x v="5"/>
    <m/>
    <m/>
    <x v="33"/>
    <x v="33"/>
    <m/>
    <m/>
    <x v="98"/>
    <x v="98"/>
    <m/>
    <m/>
    <m/>
    <s v="Municipios fortalecidos con organizaciones sociales LGBTIQ constituidas y activas."/>
    <s v="No. de Municipios fortalecidos con organizaciones sociales LGBTIQ constituidas y activa."/>
    <n v="15"/>
    <n v="35"/>
    <m/>
    <s v="Acciones afirmativas hacia la población LGBTIQ en el departamento de Bolívar"/>
    <s v="No. de Acciones afirmativas hacia la población LGBTIQ en el departamento de Bolívar"/>
    <n v="0"/>
    <n v="6"/>
    <m/>
    <m/>
    <n v="0"/>
    <m/>
    <m/>
    <m/>
    <s v="NP"/>
    <s v="Incremento"/>
    <s v="Deporte Social Comunitario"/>
    <s v="Deporte y Recreación"/>
    <s v="A.4"/>
    <s v="Salud  y Bienestar"/>
    <s v="SECRETARÍAS INTERIOR, EDUCACIÓN, SALUD, AGRICULTURA, ICULTUR - IDERBOL"/>
    <m/>
    <m/>
    <m/>
  </r>
  <r>
    <x v="5"/>
    <x v="5"/>
    <m/>
    <m/>
    <x v="34"/>
    <x v="34"/>
    <n v="0.17499999999999999"/>
    <n v="1"/>
    <x v="99"/>
    <x v="99"/>
    <n v="0.17499999999999999"/>
    <n v="1"/>
    <m/>
    <s v="Organizaciones sociales de discapacidad constituidas y activas en Municipios de Bolívar"/>
    <s v="Organizaciones sociales de discapacidad constituidas y activas en Municipios de Bolívar"/>
    <n v="5"/>
    <n v="45"/>
    <m/>
    <s v="Política Publica de discapacidad Departamental actualizada e implementada (con seguimiento)"/>
    <s v="Política Publica de discapacidad Departamental actualizada e implementada (con seguimiento)"/>
    <n v="50"/>
    <n v="100"/>
    <n v="0.1"/>
    <n v="10"/>
    <n v="0.1"/>
    <n v="10"/>
    <n v="5"/>
    <n v="10"/>
    <n v="1"/>
    <s v="Incremento"/>
    <m/>
    <s v="Gobierno territorial"/>
    <n v="45"/>
    <n v="10"/>
    <s v="SECRETARÍA DEL INTERIOR"/>
    <m/>
    <m/>
    <m/>
  </r>
  <r>
    <x v="5"/>
    <x v="5"/>
    <m/>
    <m/>
    <x v="34"/>
    <x v="34"/>
    <m/>
    <m/>
    <x v="99"/>
    <x v="99"/>
    <m/>
    <m/>
    <m/>
    <s v="Organizaciones sociales de discapacidad constituidas y activas en Municipios de Bolívar"/>
    <s v="Organizaciones sociales de discapacidad constituidas y activas en Municipios de Bolívar"/>
    <n v="5"/>
    <n v="45"/>
    <m/>
    <s v="Comités municipales y departamental activos y operando en el marco del sistema nacional de discapacidad"/>
    <s v="Comités municipales y departamental activos y operando en el marco del sistema nacional de discapacidad"/>
    <n v="100"/>
    <n v="100"/>
    <n v="0"/>
    <n v="25"/>
    <n v="0.25"/>
    <n v="25"/>
    <n v="1"/>
    <n v="25"/>
    <n v="1"/>
    <s v="Mantenimiento"/>
    <m/>
    <s v="Gobierno territorial"/>
    <n v="45"/>
    <n v="10"/>
    <s v="SECRETARÍA DEL INTERIOR"/>
    <m/>
    <m/>
    <m/>
  </r>
  <r>
    <x v="5"/>
    <x v="5"/>
    <m/>
    <m/>
    <x v="35"/>
    <x v="35"/>
    <n v="6.5000000000000002E-2"/>
    <n v="1"/>
    <x v="100"/>
    <x v="100"/>
    <n v="6.5000000000000002E-2"/>
    <n v="1"/>
    <m/>
    <s v="Entidades religiosas participantes de la elaboración e implementación de la política pública de asuntos religiosos"/>
    <s v="Entidades religiosas participantes de la elaboración e implementación de la política pública de asuntos religiosos"/>
    <n v="416"/>
    <n v="120"/>
    <m/>
    <s v="Política Publica Departamental asuntos religiosos elaborada e implementada (con seguimiento)"/>
    <s v="Política Publica Departamental asuntos religiosos elaborada e implementada (con seguimiento)"/>
    <n v="0"/>
    <n v="50"/>
    <n v="0"/>
    <n v="4"/>
    <n v="0.08"/>
    <n v="5"/>
    <n v="0"/>
    <n v="5"/>
    <n v="1"/>
    <s v="Incremento"/>
    <m/>
    <s v="Gobierno territorial"/>
    <n v="45"/>
    <n v="10"/>
    <s v="SECRETARÍA DEL INTERIOR"/>
    <m/>
    <m/>
    <m/>
  </r>
  <r>
    <x v="5"/>
    <x v="5"/>
    <m/>
    <m/>
    <x v="35"/>
    <x v="35"/>
    <m/>
    <m/>
    <x v="100"/>
    <x v="100"/>
    <m/>
    <m/>
    <m/>
    <s v="Entidades religiosas participantes de la elaboración e implementación de la política pública de asuntos religiosos"/>
    <s v="Entidades religiosas participantes de la elaboración e implementación de la política pública de asuntos religiosos"/>
    <n v="416"/>
    <n v="120"/>
    <m/>
    <s v="Municipios impactados por una estrategia de difusión y socialización del respeto a la libertad de cultos"/>
    <s v="Municipios impactados por una estrategia de difusión y socialización del respeto a la libertad de cultos"/>
    <n v="0"/>
    <n v="100"/>
    <n v="0"/>
    <n v="5"/>
    <n v="0.05"/>
    <n v="5"/>
    <n v="0"/>
    <n v="5"/>
    <n v="1"/>
    <s v="Incremento"/>
    <m/>
    <s v="Gobierno territorial"/>
    <n v="45"/>
    <n v="10"/>
    <s v="SECRETARÍA DEL INTERIOR"/>
    <m/>
    <m/>
    <m/>
  </r>
  <r>
    <x v="5"/>
    <x v="5"/>
    <m/>
    <m/>
    <x v="36"/>
    <x v="36"/>
    <n v="0.25"/>
    <n v="1"/>
    <x v="101"/>
    <x v="101"/>
    <n v="0.25"/>
    <n v="1"/>
    <m/>
    <s v="Personas sindicadas oriundas de Bolívar participes de beneficio de acciones institucionales"/>
    <s v="Personas sindicadas oriundas de Bolívar participes de beneficio de acciones institucionales"/>
    <n v="0"/>
    <n v="30"/>
    <m/>
    <s v="Construcción y/o adecuación de cárcel para sindicados mediante inversión directa del departamento y municipios, o en convenio APP"/>
    <s v="Construcción y/o adecuación de cárcel para sindicados mediante inversión directa del departamento y municipios, o en convenio APP"/>
    <n v="0"/>
    <n v="1"/>
    <n v="0"/>
    <n v="0.5"/>
    <n v="0.5"/>
    <n v="0.5"/>
    <n v="0"/>
    <n v="0.5"/>
    <n v="1"/>
    <s v="Incremento"/>
    <m/>
    <s v="Gobierno territorial"/>
    <n v="45"/>
    <n v="16"/>
    <s v="SECRETARÍA DEL INTERIOR"/>
    <m/>
    <m/>
    <m/>
  </r>
  <r>
    <x v="5"/>
    <x v="5"/>
    <m/>
    <m/>
    <x v="36"/>
    <x v="36"/>
    <m/>
    <m/>
    <x v="101"/>
    <x v="101"/>
    <m/>
    <m/>
    <m/>
    <s v="Personas sindicadas oriundas de Bolívar participes de beneficio de acciones institucionales"/>
    <s v="Personas sindicadas oriundas de Bolívar participes de beneficio de acciones institucionales"/>
    <n v="0"/>
    <n v="30"/>
    <m/>
    <s v="Personas atendidas con apoyo directo con abastecimiento de elementos y artículos personales para aseo personal, alojamiento."/>
    <s v="Personas atendidas con apoyo directo con abastecimiento de elementos y artículos personales para aseo personal, alojamiento."/>
    <n v="0"/>
    <n v="400"/>
    <n v="0"/>
    <n v="0"/>
    <n v="0"/>
    <n v="0.5"/>
    <n v="0"/>
    <n v="0.5"/>
    <n v="1"/>
    <s v="Incremento"/>
    <m/>
    <s v="Gobierno territorial"/>
    <n v="45"/>
    <n v="16"/>
    <s v="SECRETARÍA DEL INTERIOR"/>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55">
  <r>
    <n v="1"/>
    <s v="BOLIVAR PROGRESA, SUPERACIÓN DE LA POBREZA"/>
    <n v="0.34516083843119444"/>
    <n v="0.23273028272567417"/>
    <x v="0"/>
    <x v="0"/>
    <n v="0.10410714285714286"/>
    <n v="0.33333333333333331"/>
    <x v="0"/>
    <x v="0"/>
    <n v="0.10410714285714286"/>
    <n v="0.33333333333333331"/>
    <s v="1.1.1.1"/>
    <s v="100% de hogares acompañados priorizados de acuerdo a la estrategia Red Unidos"/>
    <s v="Porcentaje de hogares acompañados priorizados de acuerdo a la estrategia Red Unidos"/>
    <n v="1"/>
    <n v="1"/>
    <s v="1.1.1.1.1"/>
    <s v="1 alianza estratégica para disminuir la pobreza en el departamento de Bolívar"/>
    <s v="Número de alianzas estratégicas para disminuir la pobreza en el departamento de Bolívar"/>
    <n v="0"/>
    <n v="1"/>
    <s v="Incremento"/>
    <s v="NA"/>
    <s v="NA"/>
    <n v="41"/>
    <s v="ODS1"/>
    <s v="SECRETARÍA DE LA MUJER"/>
    <m/>
    <m/>
    <m/>
    <m/>
    <n v="0"/>
    <b v="0"/>
    <m/>
    <m/>
    <m/>
    <m/>
    <n v="0"/>
    <m/>
    <m/>
    <m/>
    <n v="0"/>
    <m/>
    <s v="NP"/>
    <n v="0"/>
    <m/>
    <m/>
    <m/>
    <n v="0"/>
    <s v="NP"/>
    <n v="0"/>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2"/>
    <s v="12  jornadas de identificación para población pobre y vulnerable"/>
    <s v="No. De jornadas de identificación para población pobre y vulnerable"/>
    <s v="ND"/>
    <n v="12"/>
    <s v="Incremento"/>
    <s v="NA"/>
    <s v="NA"/>
    <n v="41"/>
    <s v="ODS1"/>
    <s v="SECRETARÍA DE LA MUJER"/>
    <m/>
    <n v="5"/>
    <n v="4"/>
    <n v="4"/>
    <n v="13"/>
    <b v="0"/>
    <m/>
    <m/>
    <m/>
    <m/>
    <n v="0"/>
    <m/>
    <m/>
    <m/>
    <m/>
    <m/>
    <s v="NP"/>
    <n v="0"/>
    <m/>
    <m/>
    <m/>
    <n v="0"/>
    <n v="5"/>
    <n v="0"/>
    <m/>
    <m/>
    <m/>
    <n v="0"/>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3"/>
    <s v="% de Personas vinculadas al sistema de seguridad social en salud en el departamento"/>
    <s v="% de Personas vinculadas al sistema de seguridad social en salud en el departamento"/>
    <n v="0.879"/>
    <n v="0.92"/>
    <s v="Incremento"/>
    <m/>
    <m/>
    <m/>
    <m/>
    <s v="SECRETARÍA DE SALUD"/>
    <n v="1"/>
    <m/>
    <m/>
    <m/>
    <n v="1"/>
    <b v="0"/>
    <n v="0"/>
    <n v="0"/>
    <m/>
    <m/>
    <n v="0"/>
    <n v="1"/>
    <n v="0"/>
    <n v="0"/>
    <m/>
    <m/>
    <n v="0"/>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4"/>
    <s v="Número de municipios apoyados en la atención de niños menores de 10 años de familias en condición de pobreza con problemas de crecimiento y nutrición "/>
    <s v="Número de municipios apoyados en la atención de niños menores de 10 años de familias en condición de pobreza con problemas de crecimiento y nutrición "/>
    <s v="86.55"/>
    <n v="25"/>
    <s v="Incremento"/>
    <m/>
    <m/>
    <m/>
    <m/>
    <s v="SECRETARÍA DE SALUD"/>
    <m/>
    <m/>
    <m/>
    <m/>
    <n v="0"/>
    <b v="0"/>
    <m/>
    <m/>
    <m/>
    <m/>
    <n v="0"/>
    <m/>
    <m/>
    <m/>
    <m/>
    <m/>
    <s v="NP"/>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5"/>
    <s v="% de niños y jóvenes en edad escolar de hogares en pobreza y pobreza extrema atendido por el sistema educativo."/>
    <s v="% de niños y jóvenes en edad escolar de hogares en pobreza y pobreza extrema atendido por el sistema educativo."/>
    <n v="0.86529999999999996"/>
    <n v="0.9"/>
    <s v="Incremento"/>
    <m/>
    <m/>
    <m/>
    <m/>
    <s v="SECRETARÍA DE EDUCACIÓN"/>
    <m/>
    <m/>
    <m/>
    <m/>
    <n v="0"/>
    <b v="0"/>
    <m/>
    <m/>
    <m/>
    <m/>
    <n v="0"/>
    <m/>
    <m/>
    <m/>
    <m/>
    <m/>
    <s v="NP"/>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6"/>
    <s v="Alfabetizar a Los adultos de las familias en condición de pobreza extrema o en situación de desplazamiento entre 18 y 65 años "/>
    <s v="Alfabetizar a Los adultos de las familias en condición de pobreza extrema o en situación de desplazamiento entre 18 y 65 años "/>
    <n v="0.875"/>
    <n v="0.88500000000000001"/>
    <s v="Incremento"/>
    <m/>
    <m/>
    <m/>
    <m/>
    <s v="SECRETARÍA DE EDUCACIÓN"/>
    <m/>
    <m/>
    <m/>
    <m/>
    <n v="0"/>
    <b v="0"/>
    <m/>
    <m/>
    <m/>
    <m/>
    <n v="0"/>
    <m/>
    <m/>
    <m/>
    <m/>
    <m/>
    <s v="NP"/>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7"/>
    <s v="Capacitar a 400 personas con énfasis en la Educación para el Trabajo y el Emprendimiento "/>
    <s v="Capacitar a 400 personas con énfasis en la Educación para el Trabajo y el Emprendimiento "/>
    <s v="ND"/>
    <n v="400"/>
    <s v="Incremento"/>
    <m/>
    <s v="Atención a grupos vulnerables - Promoción Social"/>
    <s v="A.14"/>
    <s v="Poner fin a la pobreza en todas sus formas en todo el mundo  -  Promover el crecimiento económico sostenido, inclusivo y sostenible, el empleo pleno y productivo y el trabajo decente para todos"/>
    <s v="SECRETARÍA DE PLANEACIÓN"/>
    <n v="50"/>
    <n v="50"/>
    <n v="200"/>
    <n v="200"/>
    <n v="500"/>
    <b v="0"/>
    <n v="10"/>
    <n v="30"/>
    <n v="50"/>
    <n v="50"/>
    <n v="0.125"/>
    <n v="50"/>
    <n v="10"/>
    <n v="30"/>
    <m/>
    <n v="50"/>
    <n v="1"/>
    <n v="119"/>
    <m/>
    <m/>
    <m/>
    <n v="0.29749999999999999"/>
    <n v="50"/>
    <n v="69"/>
    <m/>
    <m/>
    <m/>
    <n v="1"/>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8"/>
    <s v="4 actividades y/o proyectos apoyados para la Productividad, el Empleo y el Emprendimiento de la población bolivarense"/>
    <s v="Número de actividades y/o proyectos apoyados para la Productividad, el Empleo y el Emprendimiento de la población bolivarense"/>
    <n v="1"/>
    <n v="4"/>
    <s v="Incremento"/>
    <s v="SI"/>
    <s v="NA"/>
    <n v="41"/>
    <s v="ODS1"/>
    <s v="SECRETARÍA DE LA MUJER"/>
    <n v="1"/>
    <n v="1"/>
    <n v="1"/>
    <n v="1"/>
    <n v="4"/>
    <b v="1"/>
    <n v="0"/>
    <n v="0"/>
    <m/>
    <n v="1"/>
    <n v="0.25"/>
    <n v="1"/>
    <n v="0"/>
    <n v="0"/>
    <m/>
    <n v="1"/>
    <n v="1"/>
    <n v="1"/>
    <m/>
    <m/>
    <m/>
    <n v="0.25"/>
    <n v="1"/>
    <n v="0"/>
    <m/>
    <m/>
    <m/>
    <n v="0"/>
    <m/>
    <m/>
    <m/>
    <m/>
    <m/>
    <m/>
    <m/>
    <m/>
    <m/>
    <m/>
    <m/>
    <m/>
    <m/>
    <m/>
    <m/>
    <m/>
    <m/>
    <m/>
    <m/>
    <m/>
    <m/>
    <m/>
    <s v="ICLD"/>
    <s v="12.6.10.01.01.03"/>
    <n v="120000000"/>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9"/>
    <s v="Promover la actualización de la política pública de seguridad alimentaria "/>
    <s v="Promover la actualización de la política pública de seguridad alimentaria "/>
    <n v="1"/>
    <n v="1"/>
    <s v="Mantenimiento"/>
    <m/>
    <m/>
    <m/>
    <m/>
    <s v="SECRETARÍA DE SALUD"/>
    <m/>
    <n v="1"/>
    <m/>
    <m/>
    <n v="1"/>
    <b v="1"/>
    <m/>
    <m/>
    <m/>
    <m/>
    <n v="0"/>
    <m/>
    <m/>
    <m/>
    <m/>
    <m/>
    <s v="NP"/>
    <n v="0.25"/>
    <m/>
    <m/>
    <m/>
    <n v="0.25"/>
    <n v="1"/>
    <n v="1"/>
    <m/>
    <m/>
    <m/>
    <n v="1"/>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s v="ND"/>
    <n v="1"/>
    <s v="1.1.1.1.10"/>
    <s v="Viviendas nuevas Iniciadas para hogares en condición de pobreza."/>
    <s v="Viviendas nuevas Iniciadas para hogares en condición de pobreza."/>
    <n v="48962"/>
    <n v="1000"/>
    <s v="Incremento"/>
    <m/>
    <s v="Vivienda"/>
    <n v="40"/>
    <s v="11 Ciudades y comunidades sostenibles"/>
    <s v="SECRETARÍA DE HÁBITAT"/>
    <n v="200"/>
    <m/>
    <m/>
    <m/>
    <n v="200"/>
    <b v="0"/>
    <n v="0"/>
    <n v="200"/>
    <n v="200"/>
    <n v="200"/>
    <n v="0.2"/>
    <n v="200"/>
    <n v="0"/>
    <n v="200"/>
    <m/>
    <n v="200"/>
    <n v="1"/>
    <n v="200"/>
    <m/>
    <m/>
    <m/>
    <n v="0.2"/>
    <s v="NP"/>
    <n v="0"/>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s v="ND"/>
    <n v="1"/>
    <s v="1.1.1.1.11"/>
    <s v="Mejoramientos de vivienda iniciados para hogares en condición de pobreza."/>
    <s v="Mejoramientos de vivienda iniciados para hogares en condición de pobreza."/>
    <n v="179570"/>
    <n v="2600"/>
    <s v="Incremento"/>
    <m/>
    <s v="Vivienda"/>
    <n v="40"/>
    <s v="11 Ciudades y comunidades sostenibles"/>
    <s v="SECRETARÍA DE HÁBITAT"/>
    <m/>
    <m/>
    <m/>
    <m/>
    <n v="0"/>
    <b v="0"/>
    <m/>
    <m/>
    <m/>
    <m/>
    <n v="0"/>
    <m/>
    <m/>
    <m/>
    <m/>
    <m/>
    <s v="NP"/>
    <n v="0"/>
    <m/>
    <m/>
    <m/>
    <n v="0"/>
    <s v="NP"/>
    <n v="0"/>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12"/>
    <s v="500 personas en pobreza y pobreza extrema con asistencia técnica para fortalecer sus unidades productivas"/>
    <s v="Número de personas en pobreza y pobreza extrema con asistencia técnica para fortalecer sus unidades productivas"/>
    <n v="0"/>
    <n v="500"/>
    <s v="Incremento"/>
    <s v="NO"/>
    <s v="GESTIÓN"/>
    <n v="41"/>
    <s v="ODS1"/>
    <s v="SECRETARÍA DE LA MUJER"/>
    <n v="50"/>
    <n v="100"/>
    <n v="200"/>
    <n v="200"/>
    <n v="550"/>
    <b v="0"/>
    <n v="0"/>
    <n v="0"/>
    <n v="130"/>
    <n v="130"/>
    <n v="0.26"/>
    <n v="50"/>
    <n v="0"/>
    <n v="0"/>
    <m/>
    <n v="130"/>
    <n v="1"/>
    <n v="130"/>
    <m/>
    <m/>
    <m/>
    <n v="0.26"/>
    <n v="100"/>
    <n v="0"/>
    <m/>
    <m/>
    <m/>
    <n v="0"/>
    <m/>
    <m/>
    <m/>
    <m/>
    <m/>
    <m/>
    <m/>
    <m/>
    <m/>
    <m/>
    <m/>
    <m/>
    <m/>
    <m/>
    <m/>
    <m/>
    <m/>
    <m/>
    <m/>
    <m/>
    <m/>
    <m/>
    <s v="NA"/>
    <s v="12.6.10.01.01.04"/>
    <s v="NA"/>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14"/>
    <s v="Número de apoyos técnicos y financiero a negocios familiares de población en condición de pobreza"/>
    <s v="Número de apoyos técnicos y financiero a negocios familiares de población en condición de pobreza"/>
    <n v="0"/>
    <n v="400"/>
    <s v="Incremento"/>
    <m/>
    <m/>
    <m/>
    <m/>
    <s v="SECRETARÍA DE LA MUJER"/>
    <m/>
    <m/>
    <m/>
    <m/>
    <n v="0"/>
    <b v="0"/>
    <m/>
    <m/>
    <m/>
    <m/>
    <n v="0"/>
    <m/>
    <m/>
    <m/>
    <m/>
    <m/>
    <s v="NP"/>
    <n v="0"/>
    <m/>
    <m/>
    <m/>
    <n v="0"/>
    <s v="NP"/>
    <m/>
    <m/>
    <m/>
    <m/>
    <s v="NP"/>
    <m/>
    <m/>
    <m/>
    <m/>
    <m/>
    <m/>
    <m/>
    <m/>
    <m/>
    <m/>
    <m/>
    <m/>
    <m/>
    <m/>
    <m/>
    <m/>
    <m/>
    <m/>
    <m/>
    <m/>
    <m/>
    <m/>
    <m/>
    <m/>
    <m/>
  </r>
  <r>
    <n v="1"/>
    <s v="BOLIVAR PROGRESA, SUPERACIÓN DE LA POBREZA"/>
    <m/>
    <m/>
    <x v="0"/>
    <x v="0"/>
    <m/>
    <m/>
    <x v="0"/>
    <x v="0"/>
    <m/>
    <m/>
    <s v="1.1.1.1"/>
    <s v="100 % de Población rural bolivarense a la que se le garantiza el goce y disfrute de sus derechos sociales."/>
    <s v="Porcentaje de hogares acompañados priorizados de acuerdo a la estrategia Red Unidos"/>
    <n v="1"/>
    <n v="1"/>
    <s v="1.1.1.1.15"/>
    <s v="500 familias_x000a_capacitadas acerca las_x000a_características de los_x000a_distintos servicios_x000a_financieros y accediendo_x000a_a ellos"/>
    <s v="Número de familias_x000a_capacitadas acerca las_x000a_características de los_x000a_distintos servicios_x000a_financieros y accediendo_x000a_a ellos"/>
    <n v="0"/>
    <n v="500"/>
    <s v="Incremento"/>
    <s v="NO"/>
    <s v="GESTIÓN"/>
    <n v="41"/>
    <s v="ODS1"/>
    <s v="SECRETARÍA DE LA MUJER"/>
    <n v="100"/>
    <n v="100"/>
    <m/>
    <m/>
    <n v="200"/>
    <b v="0"/>
    <n v="0"/>
    <n v="0"/>
    <n v="100"/>
    <n v="100"/>
    <n v="0.2"/>
    <n v="100"/>
    <n v="0"/>
    <n v="0"/>
    <m/>
    <n v="100"/>
    <n v="1"/>
    <n v="100"/>
    <m/>
    <m/>
    <m/>
    <n v="0.2"/>
    <n v="100"/>
    <n v="0"/>
    <m/>
    <m/>
    <m/>
    <n v="0"/>
    <m/>
    <m/>
    <m/>
    <m/>
    <m/>
    <m/>
    <m/>
    <m/>
    <m/>
    <m/>
    <m/>
    <m/>
    <m/>
    <m/>
    <m/>
    <m/>
    <m/>
    <m/>
    <m/>
    <m/>
    <m/>
    <m/>
    <s v="NA"/>
    <s v="12.6.10.01.01.05"/>
    <s v="NA"/>
  </r>
  <r>
    <n v="1"/>
    <s v="BOLIVAR PROGRESA, SUPERACIÓN DE LA POBREZA"/>
    <m/>
    <m/>
    <x v="1"/>
    <x v="1"/>
    <n v="0.44098975299150511"/>
    <n v="0.31519374055687455"/>
    <x v="1"/>
    <x v="1"/>
    <n v="0.34098599173680866"/>
    <n v="0.12839000155255395"/>
    <s v="1.2.1.1"/>
    <s v="Mejorar en las Instituciones Educativas Oficiales porcentualmente   los Resultados de Prueba Saber 11"/>
    <s v="Instituciones_x000a_Educativas oficiales que alcanzan_x000a_niveles destacados_x000a_de calificación (A+, A, B y C) en_x000a_pruebas saber 11."/>
    <n v="16.399999999999999"/>
    <n v="30"/>
    <s v="1.2.1.1.1"/>
    <s v="Implementar  la Jornada Única en los Establecimientos Educativos Oficiales  que cumplan con los Lineamientos del MEN"/>
    <s v="Establecimientos educativos con_x000a_jornada única"/>
    <n v="6"/>
    <n v="26"/>
    <s v="Incremento"/>
    <m/>
    <s v="A.1.1.2.1"/>
    <n v="22"/>
    <m/>
    <s v="SECRETARÍA DE EDUCACIÓN"/>
    <n v="9"/>
    <n v="6"/>
    <n v="6"/>
    <n v="5"/>
    <n v="26"/>
    <b v="1"/>
    <n v="9"/>
    <n v="9"/>
    <n v="9"/>
    <n v="9"/>
    <n v="0.34615384615384615"/>
    <n v="9"/>
    <n v="9"/>
    <n v="9"/>
    <m/>
    <n v="9"/>
    <n v="1"/>
    <n v="9"/>
    <m/>
    <m/>
    <m/>
    <n v="0.34615384615384615"/>
    <n v="6"/>
    <n v="0"/>
    <m/>
    <m/>
    <m/>
    <n v="0"/>
    <m/>
    <m/>
    <m/>
    <m/>
    <m/>
    <m/>
    <m/>
    <m/>
    <m/>
    <m/>
    <m/>
    <m/>
    <m/>
    <m/>
    <m/>
    <m/>
    <m/>
    <m/>
    <m/>
    <m/>
    <m/>
    <m/>
    <m/>
    <m/>
    <m/>
  </r>
  <r>
    <n v="1"/>
    <s v="BOLIVAR PROGRESA, SUPERACIÓN DE LA POBREZA"/>
    <m/>
    <m/>
    <x v="1"/>
    <x v="1"/>
    <m/>
    <m/>
    <x v="1"/>
    <x v="1"/>
    <m/>
    <m/>
    <s v="1.2.1.2"/>
    <s v="Mejorar el Indicador  numérico del ISCE de la Básica Primaria"/>
    <s v="Índice Sintético de Calidad Educativa_x000a_– ISCE Primaria"/>
    <n v="4.83"/>
    <n v="4.8499999999999996"/>
    <s v="1.2.1.2.1"/>
    <s v="Instituciones Educativas Oficiales  Construidas"/>
    <s v="Espacios pedagógicos Nuevos"/>
    <n v="555"/>
    <n v="420"/>
    <s v="Incremento"/>
    <m/>
    <s v="A.1.1.2.1 "/>
    <n v="22"/>
    <m/>
    <s v="SECRETARÍA DE EDUCACIÓN"/>
    <n v="200"/>
    <n v="100"/>
    <n v="60"/>
    <n v="60"/>
    <n v="420"/>
    <b v="1"/>
    <n v="0"/>
    <n v="139"/>
    <n v="139"/>
    <n v="139"/>
    <n v="0.33095238095238094"/>
    <n v="200"/>
    <n v="0"/>
    <n v="139"/>
    <m/>
    <n v="139"/>
    <n v="0.69499999999999995"/>
    <n v="139"/>
    <m/>
    <m/>
    <m/>
    <n v="0.33095238095238094"/>
    <n v="100"/>
    <n v="0"/>
    <m/>
    <m/>
    <m/>
    <n v="0"/>
    <m/>
    <m/>
    <m/>
    <m/>
    <m/>
    <m/>
    <m/>
    <m/>
    <m/>
    <m/>
    <m/>
    <m/>
    <m/>
    <m/>
    <m/>
    <m/>
    <m/>
    <m/>
    <m/>
    <m/>
    <m/>
    <m/>
    <m/>
    <m/>
    <m/>
  </r>
  <r>
    <n v="1"/>
    <s v="BOLIVAR PROGRESA, SUPERACIÓN DE LA POBREZA"/>
    <m/>
    <m/>
    <x v="1"/>
    <x v="1"/>
    <m/>
    <m/>
    <x v="1"/>
    <x v="1"/>
    <m/>
    <m/>
    <s v="1.2.1.3"/>
    <s v="Mejorar el Indicador  numérico del ISCE de la Básica Secundaria"/>
    <s v="Índice Sintético de Calidad Educativa_x000a_– ISCE Secundaria"/>
    <n v="4.74"/>
    <n v="4.75"/>
    <s v="1.2.1.3.1"/>
    <s v=" Ampliación y mejoramiento de_x000a_la infraestructura educativa por Ley 21 de 1982 "/>
    <s v="Espacios pedagógicos_x000a_mejorados"/>
    <n v="146"/>
    <n v="350"/>
    <s v="Incremento"/>
    <m/>
    <s v="A.1.1.2.1"/>
    <n v="22"/>
    <m/>
    <s v="SECRETARÍA DE EDUCACIÓN"/>
    <n v="200"/>
    <n v="100"/>
    <n v="50"/>
    <n v="50"/>
    <n v="400"/>
    <b v="0"/>
    <n v="0"/>
    <n v="25"/>
    <n v="35"/>
    <n v="35"/>
    <n v="0.1"/>
    <n v="200"/>
    <n v="0"/>
    <n v="25"/>
    <m/>
    <n v="35"/>
    <n v="0.17499999999999999"/>
    <n v="59"/>
    <m/>
    <m/>
    <m/>
    <n v="0.16857142857142857"/>
    <n v="100"/>
    <n v="24"/>
    <m/>
    <m/>
    <m/>
    <n v="0.24"/>
    <m/>
    <m/>
    <m/>
    <m/>
    <m/>
    <m/>
    <m/>
    <m/>
    <m/>
    <m/>
    <m/>
    <m/>
    <m/>
    <m/>
    <m/>
    <m/>
    <m/>
    <m/>
    <m/>
    <m/>
    <m/>
    <m/>
    <m/>
    <m/>
    <m/>
  </r>
  <r>
    <n v="1"/>
    <s v="BOLIVAR PROGRESA, SUPERACIÓN DE LA POBREZA"/>
    <m/>
    <m/>
    <x v="1"/>
    <x v="1"/>
    <m/>
    <m/>
    <x v="1"/>
    <x v="1"/>
    <m/>
    <m/>
    <s v="1.2.1.4"/>
    <s v="Mejorar el Indicador  numérico del ISCE de la Media"/>
    <s v="Índice Sintético de Calidad Educativa_x000a_– ISCE Media."/>
    <n v="4.5999999999999996"/>
    <n v="5"/>
    <s v="1.2.1.4.1"/>
    <s v="Dotar  con  Mobiliario  Escalar a las Instituciones Educativas Técnicas Oficiales "/>
    <s v="Establecimientos educativos con_x000a_dotación básica"/>
    <n v="43"/>
    <n v="100"/>
    <s v="Incremento"/>
    <m/>
    <s v="A.1.1.2.1 "/>
    <n v="22"/>
    <m/>
    <s v="SECRETARÍA DE EDUCACIÓN"/>
    <n v="35"/>
    <n v="30"/>
    <n v="20"/>
    <n v="15"/>
    <n v="100"/>
    <b v="1"/>
    <n v="0"/>
    <n v="26"/>
    <n v="26"/>
    <n v="26"/>
    <n v="0.26"/>
    <n v="35"/>
    <n v="0"/>
    <n v="25"/>
    <m/>
    <n v="26"/>
    <n v="1"/>
    <n v="26"/>
    <m/>
    <m/>
    <m/>
    <n v="0.26"/>
    <n v="30"/>
    <n v="0"/>
    <m/>
    <m/>
    <m/>
    <n v="0"/>
    <m/>
    <m/>
    <m/>
    <m/>
    <m/>
    <m/>
    <m/>
    <m/>
    <m/>
    <m/>
    <m/>
    <m/>
    <m/>
    <m/>
    <m/>
    <m/>
    <m/>
    <m/>
    <m/>
    <m/>
    <m/>
    <m/>
    <m/>
    <m/>
    <m/>
  </r>
  <r>
    <n v="1"/>
    <s v="BOLIVAR PROGRESA, SUPERACIÓN DE LA POBREZA"/>
    <m/>
    <m/>
    <x v="1"/>
    <x v="1"/>
    <m/>
    <m/>
    <x v="1"/>
    <x v="1"/>
    <m/>
    <m/>
    <s v="1.2.1.4"/>
    <s v="Mejorar el Indicador  numérico del ISCE de la Media"/>
    <s v="Índice Sintético de Calidad Educativa_x000a_– ISCE Media."/>
    <n v="4.5999999999999996"/>
    <n v="5"/>
    <s v="1.2.1.4.2"/>
    <s v="Dotar  con  Material Didáctico y Dispositivos  Electrónicos a las Instituciones Educativas  Técnicas Oficiales "/>
    <s v="Establecimiento educativo con_x000a_dotación especializada"/>
    <n v="4"/>
    <n v="50"/>
    <s v="Incremento"/>
    <m/>
    <s v="A.1.1.2.1"/>
    <n v="22"/>
    <m/>
    <s v="SECRETARÍA DE EDUCACIÓN"/>
    <n v="20"/>
    <n v="10"/>
    <n v="10"/>
    <n v="10"/>
    <n v="50"/>
    <b v="1"/>
    <n v="0"/>
    <n v="0"/>
    <n v="10"/>
    <n v="10"/>
    <n v="0.2"/>
    <n v="20"/>
    <n v="0"/>
    <n v="0"/>
    <m/>
    <n v="10"/>
    <n v="0.5"/>
    <n v="10"/>
    <m/>
    <m/>
    <m/>
    <n v="0.2"/>
    <n v="10"/>
    <n v="0"/>
    <m/>
    <m/>
    <m/>
    <n v="0"/>
    <m/>
    <m/>
    <m/>
    <m/>
    <m/>
    <m/>
    <m/>
    <m/>
    <m/>
    <m/>
    <m/>
    <m/>
    <m/>
    <m/>
    <m/>
    <m/>
    <m/>
    <m/>
    <m/>
    <m/>
    <m/>
    <m/>
    <m/>
    <m/>
    <m/>
  </r>
  <r>
    <n v="1"/>
    <s v="BOLIVAR PROGRESA, SUPERACIÓN DE LA POBREZA"/>
    <m/>
    <m/>
    <x v="1"/>
    <x v="1"/>
    <m/>
    <m/>
    <x v="1"/>
    <x v="1"/>
    <m/>
    <m/>
    <s v="1.2.1.3"/>
    <s v="Aumentar el servicio  de  Asistencia Técnica en  Instituciones educativas oficiales_x000a_"/>
    <s v="Índice Sintético de Calidad Educativa_x000a_– ISCE Secundaria"/>
    <n v="4.74"/>
    <n v="4.75"/>
    <s v="1.2.1.3.2"/>
    <s v="Prestar Asistencias Técnicas   Instituciones  Educativas oficiales"/>
    <s v="Asistencias técnicas a I.E. en_x000a_referentes técnicos de_x000a_Educación inicial, preescolar y_x000a_Bases curriculares"/>
    <n v="50"/>
    <n v="226"/>
    <s v="Incremento"/>
    <m/>
    <s v="A.1.1.2.1 "/>
    <n v="22"/>
    <m/>
    <s v="SECRETARÍA DE EDUCACIÓN"/>
    <n v="226"/>
    <n v="226"/>
    <n v="226"/>
    <n v="226"/>
    <n v="904"/>
    <b v="0"/>
    <n v="226"/>
    <n v="226"/>
    <n v="226"/>
    <n v="226"/>
    <n v="1"/>
    <n v="226"/>
    <n v="226"/>
    <n v="226"/>
    <m/>
    <n v="226"/>
    <n v="1"/>
    <n v="226"/>
    <m/>
    <m/>
    <m/>
    <n v="1"/>
    <n v="226"/>
    <m/>
    <m/>
    <m/>
    <m/>
    <n v="0"/>
    <m/>
    <m/>
    <m/>
    <m/>
    <m/>
    <m/>
    <m/>
    <m/>
    <m/>
    <m/>
    <m/>
    <m/>
    <m/>
    <m/>
    <m/>
    <m/>
    <m/>
    <m/>
    <m/>
    <m/>
    <m/>
    <m/>
    <m/>
    <m/>
    <m/>
  </r>
  <r>
    <n v="1"/>
    <s v="BOLIVAR PROGRESA, SUPERACIÓN DE LA POBREZA"/>
    <m/>
    <m/>
    <x v="1"/>
    <x v="1"/>
    <m/>
    <m/>
    <x v="1"/>
    <x v="1"/>
    <m/>
    <m/>
    <s v="1.2.1.3"/>
    <s v="Mejorar los Resultados de Prueba Saber  en las Instituciones Educativas Oficiales con la Intervención del PTA"/>
    <s v="Índice Sintético de Calidad Educativa_x000a_– ISCE Secundaria"/>
    <n v="4.74"/>
    <n v="4.75"/>
    <s v="1.2.1.3.3"/>
    <s v="Establecimientos Educativos  Oficiales Intervenidos con e l Programa Todos a Aprender  (PTA)"/>
    <s v="Establecimientos Educativos_x000a_que mejoraron los resultados en_x000a_las Pruebas Saber (PTA)"/>
    <n v="85"/>
    <n v="167"/>
    <s v="Incremento"/>
    <m/>
    <s v="A.1.1.2.1 "/>
    <n v="22"/>
    <m/>
    <s v="SECRETARÍA DE EDUCACIÓN"/>
    <n v="167"/>
    <n v="167"/>
    <n v="167"/>
    <n v="167"/>
    <n v="668"/>
    <b v="0"/>
    <n v="167"/>
    <n v="167"/>
    <n v="167"/>
    <n v="167"/>
    <n v="1"/>
    <n v="167"/>
    <n v="167"/>
    <n v="167"/>
    <m/>
    <n v="167"/>
    <n v="1"/>
    <n v="167"/>
    <m/>
    <m/>
    <m/>
    <n v="1"/>
    <n v="167"/>
    <m/>
    <m/>
    <m/>
    <m/>
    <n v="0"/>
    <m/>
    <m/>
    <m/>
    <m/>
    <m/>
    <m/>
    <m/>
    <m/>
    <m/>
    <m/>
    <m/>
    <m/>
    <m/>
    <m/>
    <m/>
    <m/>
    <m/>
    <m/>
    <m/>
    <m/>
    <m/>
    <m/>
    <m/>
    <m/>
    <m/>
  </r>
  <r>
    <n v="1"/>
    <s v="BOLIVAR PROGRESA, SUPERACIÓN DE LA POBREZA"/>
    <m/>
    <m/>
    <x v="1"/>
    <x v="1"/>
    <m/>
    <m/>
    <x v="1"/>
    <x v="1"/>
    <m/>
    <m/>
    <s v="1.2.1.4"/>
    <s v="Establecimientos Educativos  oficiales que articulan la educación_x000a_media con programas de_x000a_formación complementaria a_x000a_través de alianzas con el Sena,_x000a_IES e IETDH "/>
    <s v="Índice Sintético de Calidad Educativa_x000a_– ISCE Media."/>
    <n v="4.5999999999999996"/>
    <n v="5"/>
    <s v="1.2.1.4.3"/>
    <s v="( Convenio con el SENA ) Instituciones  Educativas Técnicas Oficiales  Fortalecidas  a través del Programas de Educación para el Trabajo y el Desarrollo "/>
    <s v="Establecimientos educativos_x000a_que articulan la educación_x000a_media con programas de_x000a_formación complementaria a_x000a_través de alianzas con el Sena,_x000a_IES e IETDH"/>
    <n v="40"/>
    <n v="150"/>
    <s v="Incremento"/>
    <m/>
    <s v="A.1.1.2.1 "/>
    <n v="22"/>
    <m/>
    <s v="SECRETARÍA DE EDUCACIÓN"/>
    <n v="40"/>
    <n v="50"/>
    <n v="40"/>
    <n v="20"/>
    <n v="150"/>
    <b v="1"/>
    <n v="0"/>
    <n v="0"/>
    <n v="0"/>
    <n v="0"/>
    <n v="0"/>
    <n v="40"/>
    <n v="0"/>
    <n v="0"/>
    <m/>
    <n v="0"/>
    <n v="0"/>
    <n v="45"/>
    <m/>
    <m/>
    <m/>
    <n v="0.3"/>
    <n v="50"/>
    <n v="45"/>
    <m/>
    <m/>
    <m/>
    <n v="0.9"/>
    <m/>
    <m/>
    <m/>
    <m/>
    <m/>
    <m/>
    <m/>
    <m/>
    <m/>
    <m/>
    <m/>
    <m/>
    <m/>
    <m/>
    <m/>
    <m/>
    <m/>
    <m/>
    <m/>
    <m/>
    <m/>
    <m/>
    <m/>
    <m/>
    <m/>
  </r>
  <r>
    <n v="1"/>
    <s v="BOLIVAR PROGRESA, SUPERACIÓN DE LA POBREZA"/>
    <m/>
    <m/>
    <x v="1"/>
    <x v="1"/>
    <m/>
    <m/>
    <x v="1"/>
    <x v="1"/>
    <m/>
    <m/>
    <s v="1.2.1.3"/>
    <s v=" Docentes y estudiantes  focalizados ,innovadores conociendo estrategias para generar el pensamiento crítico y creativo en el proceso de formación académica, ..."/>
    <s v="Índice Sintético de Calidad Educativa_x000a_– ISCE Secundaria"/>
    <n v="4.74"/>
    <n v="4.75"/>
    <s v="1.2.1.3.4"/>
    <s v=" Docentes y Estudiantes  focalizados empoderados con la innovación y la aplicación de  estrategias para generar el pensamiento crítico "/>
    <s v="Establecimientos focalizados_x000a_con Estrategias para el_x000a_fortalecimiento de las culturas_x000a_de la innovación y pensamiento_x000a_crítico."/>
    <n v="60"/>
    <n v="70"/>
    <s v="Incremento"/>
    <m/>
    <s v="A.1.1.2.1 "/>
    <n v="22"/>
    <m/>
    <s v="SECRETARÍA DE EDUCACIÓN"/>
    <m/>
    <n v="30"/>
    <n v="30"/>
    <n v="10"/>
    <n v="70"/>
    <b v="1"/>
    <m/>
    <m/>
    <m/>
    <m/>
    <n v="0"/>
    <m/>
    <m/>
    <m/>
    <m/>
    <m/>
    <s v="NP"/>
    <n v="20"/>
    <m/>
    <m/>
    <m/>
    <n v="0.2857142857142857"/>
    <n v="30"/>
    <n v="20"/>
    <m/>
    <m/>
    <m/>
    <n v="0.66666666666666663"/>
    <m/>
    <m/>
    <m/>
    <m/>
    <m/>
    <m/>
    <m/>
    <m/>
    <m/>
    <m/>
    <m/>
    <m/>
    <m/>
    <m/>
    <m/>
    <m/>
    <m/>
    <m/>
    <m/>
    <m/>
    <m/>
    <m/>
    <m/>
    <m/>
    <m/>
  </r>
  <r>
    <n v="1"/>
    <s v="BOLIVAR PROGRESA, SUPERACIÓN DE LA POBREZA"/>
    <m/>
    <m/>
    <x v="1"/>
    <x v="1"/>
    <m/>
    <m/>
    <x v="1"/>
    <x v="1"/>
    <m/>
    <m/>
    <s v="1.2.1.3"/>
    <s v="Aplicación de los DBA basado en los  Lineamientos_x000a_Curriculares y los Estándares Básicos de_x000a_Competencias  (EBC)) "/>
    <s v="Índice Sintético de Calidad Educativa_x000a_– ISCE Secundaria"/>
    <n v="4.74"/>
    <n v="4.75"/>
    <s v="1.2.1.3.5"/>
    <s v="Comunidad Educativa Fortalecida de acuerdo a sus procesos  de diseño curricular de área y de aulacon la incorporación de los DBA"/>
    <s v="Establecimientos educativos_x000a_fortalecidos en estándares y Derechos Básicos de_x000a_Aprendizaje."/>
    <n v="24"/>
    <n v="226"/>
    <s v="Incremento"/>
    <m/>
    <s v="A.1.1.2.1 "/>
    <n v="22"/>
    <m/>
    <s v="SECRETARÍA DE EDUCACIÓN"/>
    <n v="226"/>
    <n v="226"/>
    <n v="226"/>
    <n v="226"/>
    <n v="904"/>
    <b v="0"/>
    <n v="0"/>
    <n v="170"/>
    <n v="170"/>
    <n v="170"/>
    <n v="0.75221238938053092"/>
    <n v="226"/>
    <n v="0"/>
    <n v="170"/>
    <m/>
    <n v="170"/>
    <n v="0.75221238938053092"/>
    <n v="200"/>
    <m/>
    <m/>
    <m/>
    <n v="0.88495575221238942"/>
    <n v="226"/>
    <n v="30"/>
    <m/>
    <m/>
    <m/>
    <n v="0.13274336283185842"/>
    <m/>
    <m/>
    <m/>
    <m/>
    <m/>
    <m/>
    <m/>
    <m/>
    <m/>
    <m/>
    <m/>
    <m/>
    <m/>
    <m/>
    <m/>
    <m/>
    <m/>
    <m/>
    <m/>
    <m/>
    <m/>
    <m/>
    <m/>
    <m/>
    <m/>
  </r>
  <r>
    <n v="1"/>
    <s v="BOLIVAR PROGRESA, SUPERACIÓN DE LA POBREZA"/>
    <m/>
    <m/>
    <x v="1"/>
    <x v="1"/>
    <m/>
    <m/>
    <x v="1"/>
    <x v="1"/>
    <m/>
    <m/>
    <s v="1.2.1.3"/>
    <s v="Mejorar la Calidad Educativa con la implementación de un Observatorio  que responda a las necesidades Educativas  y sirva de Apoyo a la investigación  "/>
    <s v="Índice Sintético de Calidad Educativa_x000a_– ISCE Secundaria"/>
    <n v="4.74"/>
    <n v="4.75"/>
    <s v="1.2.1.3.6"/>
    <s v="Establecimiento Educativo Oficial que mejoran su Calidad Educativa"/>
    <s v="Observatorios de Calidad_x000a_Educativa creados e_x000a_implementados."/>
    <n v="0"/>
    <n v="1"/>
    <s v="Incremento"/>
    <m/>
    <s v="A.1.1.2.1"/>
    <n v="22"/>
    <m/>
    <s v="SECRETARÍA DE EDUCACIÓN"/>
    <m/>
    <m/>
    <n v="1"/>
    <n v="0"/>
    <n v="1"/>
    <b v="1"/>
    <m/>
    <m/>
    <n v="0"/>
    <n v="0"/>
    <n v="0"/>
    <m/>
    <m/>
    <m/>
    <m/>
    <m/>
    <s v="NP"/>
    <n v="0"/>
    <m/>
    <m/>
    <m/>
    <n v="0"/>
    <s v="NP"/>
    <n v="0"/>
    <m/>
    <m/>
    <m/>
    <s v="NP"/>
    <m/>
    <m/>
    <m/>
    <m/>
    <m/>
    <m/>
    <m/>
    <m/>
    <m/>
    <m/>
    <m/>
    <m/>
    <m/>
    <m/>
    <m/>
    <m/>
    <m/>
    <m/>
    <m/>
    <m/>
    <m/>
    <m/>
    <m/>
    <m/>
    <m/>
  </r>
  <r>
    <n v="1"/>
    <s v="BOLIVAR PROGRESA, SUPERACIÓN DE LA POBREZA"/>
    <m/>
    <m/>
    <x v="1"/>
    <x v="1"/>
    <m/>
    <m/>
    <x v="1"/>
    <x v="1"/>
    <m/>
    <m/>
    <s v="1.2.1.4"/>
    <s v="Implementar de manera prioritaria los Programas de Desarrollo con Enfoque Territorial (PDET) en la subregión Sur de Bolívar y Montes de María."/>
    <s v="Índice Sintético de Calidad Educativa_x000a_– ISCE Media."/>
    <n v="4.5999999999999996"/>
    <n v="5"/>
    <s v="1.2.1.4.4"/>
    <s v="Instituciones Educativas Oficiales Rurales  que disminuyen las Brechas de desigualdad"/>
    <s v="Municipios PDET aplicando_x000a_estrategias de cierre de brechas_x000a_en fortalecimiento de la_x000a_educación de emprendimiento y_x000a_desarrollo sostenible"/>
    <n v="0"/>
    <n v="13"/>
    <s v="Incremento"/>
    <m/>
    <s v="A.1.1.2.1 "/>
    <n v="22"/>
    <m/>
    <s v="SECRETARÍA DE EDUCACIÓN"/>
    <m/>
    <n v="7"/>
    <n v="4"/>
    <n v="4"/>
    <n v="15"/>
    <b v="0"/>
    <m/>
    <m/>
    <n v="0"/>
    <n v="0"/>
    <n v="0"/>
    <m/>
    <m/>
    <m/>
    <m/>
    <m/>
    <s v="NP"/>
    <n v="0"/>
    <m/>
    <m/>
    <m/>
    <n v="0"/>
    <n v="7"/>
    <n v="0"/>
    <m/>
    <m/>
    <m/>
    <n v="0"/>
    <m/>
    <m/>
    <m/>
    <m/>
    <m/>
    <m/>
    <m/>
    <m/>
    <m/>
    <m/>
    <m/>
    <m/>
    <m/>
    <m/>
    <m/>
    <m/>
    <m/>
    <m/>
    <m/>
    <m/>
    <m/>
    <m/>
    <m/>
    <m/>
    <m/>
  </r>
  <r>
    <n v="1"/>
    <s v="BOLIVAR PROGRESA, SUPERACIÓN DE LA POBREZA"/>
    <m/>
    <m/>
    <x v="1"/>
    <x v="1"/>
    <m/>
    <m/>
    <x v="1"/>
    <x v="1"/>
    <m/>
    <m/>
    <s v="1.2.1.2"/>
    <s v="Ruta establecida como estrategia  para el mejoramiento continuo del Sistema Institucional de Evaluación de los Estudiantes (SIEE)"/>
    <s v="Índice Sintético de Calidad Educativa_x000a_– ISCE Primaria"/>
    <n v="4.83"/>
    <n v="4.8499999999999996"/>
    <s v="1.2.1.2.2"/>
    <s v="Instituciones Educativas Oficiales Evaluadas"/>
    <s v="Establecimientos Educativos con_x000a_Acuerdos por la Excelencia del_x000a_día E"/>
    <n v="89"/>
    <n v="226"/>
    <s v="Mantenimiento"/>
    <m/>
    <s v="A.1.1.2.1 "/>
    <n v="22"/>
    <m/>
    <s v="SECRETARÍA DE EDUCACIÓN"/>
    <n v="226"/>
    <n v="226"/>
    <n v="226"/>
    <n v="226"/>
    <n v="904"/>
    <b v="0"/>
    <n v="0"/>
    <n v="0"/>
    <n v="0"/>
    <n v="0"/>
    <n v="0"/>
    <n v="226"/>
    <n v="0"/>
    <n v="0"/>
    <m/>
    <n v="0"/>
    <n v="0"/>
    <n v="0"/>
    <m/>
    <m/>
    <m/>
    <n v="0"/>
    <n v="226"/>
    <n v="0"/>
    <m/>
    <m/>
    <m/>
    <n v="0"/>
    <m/>
    <m/>
    <m/>
    <m/>
    <m/>
    <m/>
    <m/>
    <m/>
    <m/>
    <m/>
    <m/>
    <m/>
    <m/>
    <m/>
    <m/>
    <m/>
    <m/>
    <m/>
    <m/>
    <m/>
    <m/>
    <m/>
    <m/>
    <m/>
    <m/>
  </r>
  <r>
    <n v="1"/>
    <s v="BOLIVAR PROGRESA, SUPERACIÓN DE LA POBREZA"/>
    <m/>
    <m/>
    <x v="1"/>
    <x v="1"/>
    <m/>
    <m/>
    <x v="1"/>
    <x v="1"/>
    <m/>
    <m/>
    <s v="1.2.1.3"/>
    <s v="Prestar Asistencias Técnicas   como estrategia pedagógicas para fortalecer  las diferentes dimensiones del ser_x000a_(lúdicas, recreativas y culturales)"/>
    <s v="Índice Sintético de Calidad Educativa_x000a_– ISCE Secundaria"/>
    <n v="4.74"/>
    <n v="4.75"/>
    <s v="1.2.1.3.7"/>
    <s v="Establecimientos Educativos Oficiales  Fortalecidos  en el desarrollo de las aptitudes de los  estudiantes como base de formación integral"/>
    <s v="Establecimientos educativos con_x000a_asistencia técnica y apoyados en_x000a_actividades pedagógicas,_x000a_lúdicas, recreativas y culturales"/>
    <n v="225"/>
    <n v="226"/>
    <s v="Mantenimiento"/>
    <m/>
    <s v="A.1.1.2.1 "/>
    <n v="22"/>
    <m/>
    <s v="SECRETARÍA DE EDUCACIÓN"/>
    <n v="226"/>
    <n v="226"/>
    <n v="226"/>
    <n v="226"/>
    <n v="904"/>
    <b v="0"/>
    <n v="170"/>
    <n v="170"/>
    <n v="170"/>
    <n v="170"/>
    <n v="0.75221238938053092"/>
    <n v="226"/>
    <n v="170"/>
    <n v="170"/>
    <m/>
    <n v="170"/>
    <n v="0.75221238938053092"/>
    <n v="42.5"/>
    <m/>
    <m/>
    <m/>
    <n v="0.18805309734513273"/>
    <n v="226"/>
    <n v="0"/>
    <m/>
    <m/>
    <m/>
    <n v="0"/>
    <m/>
    <m/>
    <m/>
    <m/>
    <m/>
    <m/>
    <m/>
    <m/>
    <m/>
    <m/>
    <m/>
    <m/>
    <m/>
    <m/>
    <m/>
    <m/>
    <m/>
    <m/>
    <m/>
    <m/>
    <m/>
    <m/>
    <m/>
    <m/>
    <m/>
  </r>
  <r>
    <n v="1"/>
    <s v="BOLIVAR PROGRESA, SUPERACIÓN DE LA POBREZA"/>
    <m/>
    <m/>
    <x v="1"/>
    <x v="1"/>
    <m/>
    <m/>
    <x v="1"/>
    <x v="1"/>
    <m/>
    <m/>
    <s v="1.2.1.3"/>
    <s v="Docentes que mejoran sus competencias comunicativa en inglés nivel B2."/>
    <s v="Índice Sintético de Calidad Educativa_x000a_– ISCE Secundaria"/>
    <n v="4.74"/>
    <n v="4.75"/>
    <s v="1.2.1.3.8"/>
    <s v="Docentes con alta calidad de Acreditación"/>
    <s v="Docentes Capacitados y_x000a_certificados internacionalmente_x000a_en inglés nivel B2."/>
    <n v="65"/>
    <n v="96"/>
    <s v="Incremento"/>
    <m/>
    <s v="A.1.1.2.1 "/>
    <n v="22"/>
    <m/>
    <s v="SECRETARÍA DE EDUCACIÓN"/>
    <m/>
    <n v="30"/>
    <n v="36"/>
    <n v="30"/>
    <n v="96"/>
    <b v="1"/>
    <n v="0"/>
    <n v="0"/>
    <n v="0"/>
    <n v="0"/>
    <n v="0"/>
    <m/>
    <m/>
    <m/>
    <m/>
    <m/>
    <s v="NP"/>
    <n v="0"/>
    <m/>
    <m/>
    <m/>
    <n v="0"/>
    <n v="30"/>
    <n v="0"/>
    <m/>
    <m/>
    <m/>
    <n v="0"/>
    <m/>
    <m/>
    <m/>
    <m/>
    <m/>
    <m/>
    <m/>
    <m/>
    <m/>
    <m/>
    <m/>
    <m/>
    <m/>
    <m/>
    <m/>
    <m/>
    <m/>
    <m/>
    <m/>
    <m/>
    <m/>
    <m/>
    <m/>
    <m/>
    <m/>
  </r>
  <r>
    <n v="1"/>
    <s v="BOLIVAR PROGRESA, SUPERACIÓN DE LA POBREZA"/>
    <m/>
    <m/>
    <x v="1"/>
    <x v="1"/>
    <m/>
    <m/>
    <x v="1"/>
    <x v="1"/>
    <m/>
    <m/>
    <s v="1.2.1.2"/>
    <s v="Inclusión de niños,niñas y jóvenes al Sistema educativo_x000a_ con necesidades educativas especiales"/>
    <s v="Índice Sintético de Calidad Educativa_x000a_– ISCE Primaria"/>
    <n v="4.83"/>
    <n v="4.8499999999999996"/>
    <s v="1.2.1.2.3"/>
    <s v="Estudiantes con limitaciones  físicas, sensoriales, psíquicas, cognoscitivas, emocIonales o con capacidades  excepcionales Atendidos_x000a_'intelectuales excepcionales_x000a_'intelectuales excepcionales_x000a_'intelectuales excepcionales,Atentidos"/>
    <s v="Estudiantes con necesidades_x000a_educativas especiales_x000a_atendidos."/>
    <n v="3031"/>
    <n v="3506"/>
    <s v="Incremento"/>
    <m/>
    <s v="A.1.1.2.1 "/>
    <n v="22"/>
    <m/>
    <s v="SECRETARÍA DE EDUCACIÓN"/>
    <n v="3254"/>
    <n v="3510"/>
    <n v="3580"/>
    <n v="3600"/>
    <n v="13944"/>
    <b v="0"/>
    <n v="3254"/>
    <n v="3254"/>
    <n v="3254"/>
    <n v="3254"/>
    <n v="0.92812321734169989"/>
    <n v="3254"/>
    <n v="3254"/>
    <n v="3254"/>
    <m/>
    <n v="3254"/>
    <n v="1"/>
    <n v="3254"/>
    <m/>
    <m/>
    <m/>
    <n v="0.92812321734169989"/>
    <n v="3510"/>
    <n v="0"/>
    <m/>
    <m/>
    <m/>
    <n v="0"/>
    <m/>
    <m/>
    <m/>
    <m/>
    <m/>
    <m/>
    <m/>
    <m/>
    <m/>
    <m/>
    <m/>
    <m/>
    <m/>
    <m/>
    <m/>
    <m/>
    <m/>
    <m/>
    <m/>
    <m/>
    <m/>
    <m/>
    <m/>
    <m/>
    <m/>
  </r>
  <r>
    <n v="1"/>
    <s v="BOLIVAR PROGRESA, SUPERACIÓN DE LA POBREZA"/>
    <m/>
    <m/>
    <x v="1"/>
    <x v="1"/>
    <m/>
    <m/>
    <x v="1"/>
    <x v="1"/>
    <m/>
    <m/>
    <s v="1.2.1.2"/>
    <s v="Estudiantes con  potencial  y talentos  excepcionales identificados"/>
    <s v="Índice Sintético de Calidad Educativa_x000a_– ISCE Primaria"/>
    <n v="4.83"/>
    <n v="4.8499999999999996"/>
    <s v="1.2.1.2.4"/>
    <s v="Estudiantes con  potencial  y talentos  excepcionales Atendidos"/>
    <s v="Estudiantes con talentos_x000a_excepcionales atendidos"/>
    <n v="252"/>
    <n v="252"/>
    <s v="Incremento"/>
    <m/>
    <s v="A.1.1.2.1"/>
    <n v="22"/>
    <m/>
    <s v="SECRETARÍA DE EDUCACIÓN"/>
    <n v="252"/>
    <n v="252"/>
    <n v="252"/>
    <n v="252"/>
    <n v="1008"/>
    <b v="0"/>
    <n v="252"/>
    <n v="252"/>
    <n v="252"/>
    <n v="252"/>
    <n v="1"/>
    <n v="252"/>
    <n v="252"/>
    <n v="252"/>
    <m/>
    <n v="252"/>
    <n v="1"/>
    <n v="252"/>
    <m/>
    <m/>
    <m/>
    <n v="1"/>
    <n v="252"/>
    <n v="0"/>
    <m/>
    <m/>
    <m/>
    <n v="0"/>
    <m/>
    <m/>
    <m/>
    <m/>
    <m/>
    <m/>
    <m/>
    <m/>
    <m/>
    <m/>
    <m/>
    <m/>
    <m/>
    <m/>
    <m/>
    <m/>
    <m/>
    <m/>
    <m/>
    <m/>
    <m/>
    <m/>
    <m/>
    <m/>
    <m/>
  </r>
  <r>
    <n v="1"/>
    <s v="BOLIVAR PROGRESA, SUPERACIÓN DE LA POBREZA"/>
    <m/>
    <m/>
    <x v="1"/>
    <x v="1"/>
    <m/>
    <m/>
    <x v="1"/>
    <x v="1"/>
    <m/>
    <m/>
    <s v="1.2.1.4"/>
    <s v="Revisión y Retroalimentación de los proyectos Etnoeducativos como estrategia de desarrollo y sostenibilidad que responda a la preservación de sus costumbres, creencias  y tradiciones lingüísticas"/>
    <s v="Índice Sintético de Calidad Educativa_x000a_– ISCE Media."/>
    <n v="4.5999999999999996"/>
    <n v="5"/>
    <s v="1.2.1.4.5"/>
    <s v="Instituciones Etnoeducativas oficiales  Fortalecidas"/>
    <s v="Instituciones educativas_x000a_focalizadas en su PEC como_x000a_etnoeducativas fortalecidos"/>
    <n v="0"/>
    <n v="11"/>
    <s v="Mantenimiento"/>
    <m/>
    <s v="A.1.1.2.1"/>
    <n v="22"/>
    <m/>
    <s v="SECRETARÍA DE EDUCACIÓN"/>
    <n v="11"/>
    <n v="11"/>
    <n v="11"/>
    <n v="11"/>
    <n v="44"/>
    <b v="0"/>
    <n v="1"/>
    <n v="2"/>
    <n v="3"/>
    <n v="3"/>
    <n v="0.27272727272727271"/>
    <n v="11"/>
    <n v="1"/>
    <n v="2"/>
    <m/>
    <n v="3"/>
    <n v="0.27272727272727271"/>
    <n v="0.75"/>
    <m/>
    <m/>
    <m/>
    <n v="6.8181818181818177E-2"/>
    <n v="11"/>
    <n v="0"/>
    <m/>
    <m/>
    <m/>
    <n v="0"/>
    <m/>
    <m/>
    <m/>
    <m/>
    <m/>
    <m/>
    <m/>
    <m/>
    <m/>
    <m/>
    <m/>
    <m/>
    <m/>
    <m/>
    <m/>
    <m/>
    <m/>
    <m/>
    <m/>
    <m/>
    <m/>
    <m/>
    <m/>
    <m/>
    <m/>
  </r>
  <r>
    <n v="1"/>
    <s v="BOLIVAR PROGRESA, SUPERACIÓN DE LA POBREZA"/>
    <m/>
    <m/>
    <x v="1"/>
    <x v="1"/>
    <m/>
    <m/>
    <x v="1"/>
    <x v="1"/>
    <m/>
    <m/>
    <s v="1.2.1.2"/>
    <s v="Identificar las necesidades  educativas  y caracterización de Directivos Docente y Docentes por medio de los Planes Territoriales de Formación Docente(PTFD)"/>
    <s v="Índice Sintético de Calidad Educativa_x000a_– ISCE Primaria"/>
    <n v="4.83"/>
    <n v="4.8499999999999996"/>
    <s v="1.2.1.2.5"/>
    <s v="Directivos Docentes y Docentes Formados  con alta calidad de Acreditación"/>
    <s v="Docentes y directivos docentes_x000a_Vinculados a la planta educativa_x000a_en programas de alto nivel."/>
    <n v="358"/>
    <n v="500"/>
    <s v="Incremento"/>
    <m/>
    <s v="A.1.1.2.1"/>
    <n v="22"/>
    <m/>
    <s v="SECRETARÍA DE EDUCACIÓN"/>
    <m/>
    <m/>
    <n v="250"/>
    <n v="250"/>
    <n v="500"/>
    <b v="1"/>
    <m/>
    <m/>
    <n v="0"/>
    <n v="0"/>
    <n v="0"/>
    <m/>
    <m/>
    <m/>
    <m/>
    <m/>
    <s v="NP"/>
    <n v="0"/>
    <m/>
    <m/>
    <m/>
    <n v="0"/>
    <s v="NP"/>
    <n v="0"/>
    <m/>
    <m/>
    <m/>
    <s v="NP"/>
    <m/>
    <m/>
    <m/>
    <m/>
    <m/>
    <m/>
    <m/>
    <m/>
    <m/>
    <m/>
    <m/>
    <m/>
    <m/>
    <m/>
    <m/>
    <m/>
    <m/>
    <m/>
    <m/>
    <m/>
    <m/>
    <m/>
    <m/>
    <m/>
    <m/>
  </r>
  <r>
    <n v="1"/>
    <s v="BOLIVAR PROGRESA, SUPERACIÓN DE LA POBREZA"/>
    <m/>
    <m/>
    <x v="1"/>
    <x v="1"/>
    <m/>
    <m/>
    <x v="1"/>
    <x v="1"/>
    <m/>
    <m/>
    <s v="1.2.1.4"/>
    <s v="Jóvenes  en el tránsito hacia la educación superior y/o con mejores  ofertas  laborales "/>
    <s v="Índice Sintético de Calidad Educativa_x000a_– ISCE Media."/>
    <n v="4.5999999999999996"/>
    <n v="5"/>
    <s v="1.2.1.4.6"/>
    <s v="Estudiantes graduados con doble titulación en la educación media "/>
    <s v="Estudiantes de educación media_x000a_con doble titulación"/>
    <n v="2000"/>
    <n v="2000"/>
    <s v="Mantenimiento"/>
    <m/>
    <s v="A.1.1.2.1"/>
    <n v="22"/>
    <m/>
    <s v="SECRETARÍA DE EDUCACIÓN"/>
    <n v="2000"/>
    <n v="2000"/>
    <n v="2000"/>
    <n v="2000"/>
    <n v="8000"/>
    <b v="0"/>
    <n v="0"/>
    <n v="0"/>
    <n v="0"/>
    <n v="0"/>
    <n v="0"/>
    <n v="2000"/>
    <n v="0"/>
    <n v="0"/>
    <m/>
    <n v="0"/>
    <n v="0"/>
    <n v="0"/>
    <m/>
    <m/>
    <m/>
    <n v="0"/>
    <n v="2000"/>
    <n v="0"/>
    <m/>
    <m/>
    <m/>
    <n v="0"/>
    <m/>
    <m/>
    <m/>
    <m/>
    <m/>
    <m/>
    <m/>
    <m/>
    <m/>
    <m/>
    <m/>
    <m/>
    <m/>
    <m/>
    <m/>
    <m/>
    <m/>
    <m/>
    <m/>
    <m/>
    <m/>
    <m/>
    <m/>
    <m/>
    <m/>
  </r>
  <r>
    <n v="1"/>
    <s v="BOLIVAR PROGRESA, SUPERACIÓN DE LA POBREZA"/>
    <m/>
    <m/>
    <x v="1"/>
    <x v="1"/>
    <m/>
    <m/>
    <x v="1"/>
    <x v="1"/>
    <m/>
    <m/>
    <s v="1.2.1.2"/>
    <s v="Establecer Convenio  o Alianzas con Entidades no Gubernamentales e Interadministrativas que contribuyan a cerrar las brechas de inequidad.,asimismo  tenga la idoneidad sobre el conjunto de conocimientos y de habilidades cognitivas, emocionales y comunicativas, estrategia que busca formar a los educadores en el desarrollo de competencias ciudadanas"/>
    <s v="Índice Sintético de Calidad Educativa_x000a_– ISCE Primaria"/>
    <n v="4.83"/>
    <n v="4.8499999999999996"/>
    <s v="1.2.1.2.6"/>
    <s v="Implementación de Convenio o Alianzas para el desarrollo de Competencias Ciudadanas"/>
    <s v="Convenios implementados para_x000a_desarrollar programas de_x000a_fortalecimiento de_x000a_competencias en educación_x000a_para la paz, convivencia y_x000a_democracia"/>
    <n v="10"/>
    <n v="10"/>
    <s v="Incremento"/>
    <m/>
    <s v="A.1.1.2.1"/>
    <n v="22"/>
    <m/>
    <s v="SECRETARÍA DE EDUCACIÓN"/>
    <m/>
    <n v="4"/>
    <n v="3"/>
    <n v="3"/>
    <n v="10"/>
    <b v="1"/>
    <m/>
    <m/>
    <n v="0"/>
    <n v="0"/>
    <n v="0"/>
    <m/>
    <m/>
    <m/>
    <m/>
    <m/>
    <s v="NP"/>
    <n v="2"/>
    <m/>
    <m/>
    <m/>
    <n v="0.2"/>
    <n v="4"/>
    <n v="2"/>
    <m/>
    <m/>
    <m/>
    <n v="0.5"/>
    <m/>
    <m/>
    <m/>
    <m/>
    <m/>
    <m/>
    <m/>
    <m/>
    <m/>
    <m/>
    <m/>
    <m/>
    <m/>
    <m/>
    <m/>
    <m/>
    <m/>
    <m/>
    <m/>
    <m/>
    <m/>
    <m/>
    <m/>
    <m/>
    <m/>
  </r>
  <r>
    <n v="1"/>
    <s v="BOLIVAR PROGRESA, SUPERACIÓN DE LA POBREZA"/>
    <m/>
    <m/>
    <x v="1"/>
    <x v="1"/>
    <m/>
    <m/>
    <x v="2"/>
    <x v="2"/>
    <n v="0.52317812259164564"/>
    <n v="0.40960833333333335"/>
    <s v="1.2.2.1"/>
    <s v="Mayor numero de niños, niñas y jovenes en edad escolar accedan al sistema publico educativo, con el objetivo de aumentar las tasas de cobertura neta."/>
    <s v="Tasa de Cobertura Neta"/>
    <s v="86.53"/>
    <n v="90"/>
    <s v="1.2.2.1.1"/>
    <s v="Prestación del servicio educativo a niños, niñas y jovenes en edad escolar en los niveles de 0 a 13 Grado ."/>
    <s v="Estudiantes que acceden a_x000a_la educación"/>
    <n v="211987"/>
    <n v="219505"/>
    <s v="Incremento"/>
    <m/>
    <s v="A.1.1.2.2 "/>
    <n v="22"/>
    <m/>
    <s v="SECRETARÍA DE EDUCACIÓN"/>
    <n v="1880"/>
    <n v="1880"/>
    <n v="1879"/>
    <n v="1879"/>
    <n v="7518"/>
    <b v="0"/>
    <n v="2463"/>
    <n v="2463"/>
    <n v="213562"/>
    <n v="213562"/>
    <n v="0.97292544588961527"/>
    <n v="1880"/>
    <n v="2463"/>
    <m/>
    <m/>
    <n v="1575"/>
    <n v="0.83776595744680848"/>
    <n v="216762"/>
    <m/>
    <m/>
    <m/>
    <n v="0.98750370151021616"/>
    <n v="1880"/>
    <n v="3200"/>
    <m/>
    <m/>
    <m/>
    <n v="1"/>
    <m/>
    <m/>
    <m/>
    <m/>
    <m/>
    <m/>
    <m/>
    <m/>
    <m/>
    <m/>
    <m/>
    <m/>
    <m/>
    <m/>
    <m/>
    <m/>
    <m/>
    <m/>
    <m/>
    <m/>
    <m/>
    <m/>
    <m/>
    <m/>
    <m/>
  </r>
  <r>
    <n v="1"/>
    <s v="BOLIVAR PROGRESA, SUPERACIÓN DE LA POBREZA"/>
    <m/>
    <m/>
    <x v="1"/>
    <x v="1"/>
    <m/>
    <m/>
    <x v="2"/>
    <x v="2"/>
    <m/>
    <m/>
    <s v="1.2.2.1"/>
    <s v="Mayor numero de niños, niñas y jovenes de las zonas rurarles en edad escolar accedan al sistema publico educativo ,con el objetivo de aumentar las tasas de cobertura neta. "/>
    <s v="Tasa de Cobertura Neta"/>
    <s v="86.53"/>
    <n v="90"/>
    <s v="1.2.2.1.2"/>
    <s v="Prestación del servicio educativo a niños, niñas y jovenes en edad escolar   en los niveles de 0 a 13 Grado en la zona rural"/>
    <s v="Estudiantes en zonas rurales_x000a_que acceden a la educación."/>
    <n v="9491"/>
    <n v="2500"/>
    <s v="Incremento"/>
    <m/>
    <s v="A.1.1.2.2 "/>
    <n v="22"/>
    <m/>
    <s v="SECRETARÍA DE EDUCACIÓN"/>
    <n v="625"/>
    <n v="625"/>
    <n v="625"/>
    <n v="625"/>
    <n v="2500"/>
    <b v="1"/>
    <n v="280"/>
    <n v="280"/>
    <n v="859"/>
    <n v="859"/>
    <n v="0.34360000000000002"/>
    <n v="625"/>
    <n v="280"/>
    <n v="280"/>
    <m/>
    <n v="859"/>
    <n v="1"/>
    <n v="5208"/>
    <m/>
    <m/>
    <m/>
    <n v="2.0832000000000002"/>
    <n v="625"/>
    <n v="4349"/>
    <m/>
    <m/>
    <m/>
    <n v="1"/>
    <m/>
    <m/>
    <m/>
    <m/>
    <m/>
    <m/>
    <m/>
    <m/>
    <m/>
    <m/>
    <m/>
    <m/>
    <m/>
    <m/>
    <m/>
    <m/>
    <m/>
    <m/>
    <m/>
    <m/>
    <m/>
    <m/>
    <m/>
    <m/>
    <m/>
  </r>
  <r>
    <n v="1"/>
    <s v="BOLIVAR PROGRESA, SUPERACIÓN DE LA POBREZA"/>
    <m/>
    <m/>
    <x v="1"/>
    <x v="1"/>
    <m/>
    <m/>
    <x v="2"/>
    <x v="2"/>
    <m/>
    <m/>
    <s v="1.2.2.2"/>
    <s v="Mayor numero de personas accedan al ciclo de alfabetización, con el objetivo de disminuir la tasa de analfabetismo."/>
    <s v="Tasa de analfabetismo"/>
    <s v="12.5"/>
    <s v="11.5"/>
    <s v="1.2.2.2.1"/>
    <s v="Prestación del servicio educativo a jovenes y adultos en el ciclo de alfabetización "/>
    <s v="Personas Adultas con_x000a_modelos de alfabetización."/>
    <n v="1000"/>
    <n v="7000"/>
    <s v="Mantenimiento"/>
    <m/>
    <s v="A.1.1.2.2 "/>
    <n v="22"/>
    <m/>
    <s v="SECRETARÍA DE EDUCACIÓN"/>
    <n v="1000"/>
    <n v="2000"/>
    <n v="2000"/>
    <n v="2000"/>
    <n v="7000"/>
    <b v="1"/>
    <n v="0"/>
    <m/>
    <n v="0"/>
    <n v="0"/>
    <n v="0"/>
    <n v="1000"/>
    <n v="0"/>
    <m/>
    <m/>
    <n v="0"/>
    <n v="0"/>
    <n v="166.25"/>
    <m/>
    <m/>
    <m/>
    <n v="2.375E-2"/>
    <n v="2000"/>
    <n v="665"/>
    <m/>
    <m/>
    <m/>
    <n v="0.33250000000000002"/>
    <m/>
    <m/>
    <m/>
    <m/>
    <m/>
    <m/>
    <m/>
    <m/>
    <m/>
    <m/>
    <m/>
    <m/>
    <m/>
    <m/>
    <m/>
    <m/>
    <m/>
    <m/>
    <m/>
    <m/>
    <m/>
    <m/>
    <m/>
    <m/>
    <m/>
  </r>
  <r>
    <n v="1"/>
    <s v="BOLIVAR PROGRESA, SUPERACIÓN DE LA POBREZA"/>
    <m/>
    <m/>
    <x v="1"/>
    <x v="1"/>
    <m/>
    <m/>
    <x v="2"/>
    <x v="2"/>
    <m/>
    <m/>
    <s v="1.2.2.3"/>
    <s v="Garantizar la  permanencia de niños, niñas y jovenes en el sistema publico educativo, para así disminuir la tasa de deserción."/>
    <s v="Tasas de deserción Global"/>
    <s v="2.44"/>
    <s v="2.00"/>
    <s v="1.2.2.3.1"/>
    <s v="Proveer de complementos alimentarios a estudientes en edad escolar"/>
    <s v="Estudiantes atendidos por el_x000a_PAE diariamente-Bolívar"/>
    <n v="104885"/>
    <n v="480000"/>
    <s v="Mantenimiento"/>
    <m/>
    <s v="A.1.1.2.2 "/>
    <n v="22"/>
    <m/>
    <s v="SECRETARÍA DE EDUCACIÓN"/>
    <n v="120000"/>
    <n v="120000"/>
    <n v="120000"/>
    <n v="120000"/>
    <n v="480000"/>
    <b v="1"/>
    <n v="113324"/>
    <n v="113324"/>
    <n v="113324"/>
    <n v="113324"/>
    <n v="0.23609166666666667"/>
    <n v="120000"/>
    <n v="113324"/>
    <n v="113324"/>
    <m/>
    <n v="113324"/>
    <n v="0.94436666666666669"/>
    <n v="56662"/>
    <m/>
    <m/>
    <m/>
    <n v="0.11804583333333334"/>
    <n v="120000"/>
    <n v="113324"/>
    <m/>
    <m/>
    <m/>
    <n v="0.94436666666666669"/>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2"/>
    <s v="Diseñar e implementar una politica publica de alimentaciómn escolar en el Departamento de Bolívar"/>
    <s v="Política departamental de_x000a_Alimentación Escolar"/>
    <n v="0"/>
    <n v="1"/>
    <s v="Incremento"/>
    <m/>
    <s v="A.1.1.2.2 "/>
    <n v="22"/>
    <m/>
    <s v="SECRETARÍA DE EDUCACIÓN"/>
    <m/>
    <n v="1"/>
    <n v="0"/>
    <n v="0"/>
    <n v="1"/>
    <b v="1"/>
    <m/>
    <m/>
    <n v="0"/>
    <n v="0"/>
    <n v="0"/>
    <m/>
    <m/>
    <m/>
    <m/>
    <m/>
    <s v="NP"/>
    <n v="0"/>
    <m/>
    <m/>
    <m/>
    <n v="0"/>
    <n v="1"/>
    <n v="0"/>
    <m/>
    <m/>
    <m/>
    <n v="0"/>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3"/>
    <s v="Fortalecer las residencias escolares en el sector educativo."/>
    <s v="Residencias escolares_x000a_Fortalecidas y Cualificadas en_x000a_el servicio educativo."/>
    <n v="1"/>
    <n v="4"/>
    <s v="Mantenimiento"/>
    <m/>
    <s v="A.1.1.2.2 "/>
    <n v="22"/>
    <m/>
    <s v="SECRETARÍA DE EDUCACIÓN"/>
    <n v="1"/>
    <n v="1"/>
    <n v="1"/>
    <n v="2"/>
    <n v="5"/>
    <b v="0"/>
    <n v="0"/>
    <n v="0"/>
    <n v="0"/>
    <n v="0"/>
    <n v="0"/>
    <n v="1"/>
    <n v="0"/>
    <n v="0"/>
    <m/>
    <n v="0"/>
    <n v="0"/>
    <n v="0"/>
    <m/>
    <m/>
    <m/>
    <n v="0"/>
    <n v="1"/>
    <n v="0"/>
    <m/>
    <m/>
    <m/>
    <n v="0"/>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4"/>
    <s v="Atender al 100% de los estudiantes matriculados en el sistema publico educativo a traves de los seguros escolares y ARL"/>
    <s v="Estudiantes cubiertos con_x000a_seguros escolares y ARL"/>
    <n v="211987"/>
    <n v="219505"/>
    <s v="Incremento"/>
    <m/>
    <s v="A.1.1.2.2 "/>
    <n v="22"/>
    <m/>
    <s v="SECRETARÍA DE EDUCACIÓN"/>
    <n v="219505"/>
    <n v="219505"/>
    <n v="219505"/>
    <n v="219505"/>
    <n v="878020"/>
    <b v="0"/>
    <n v="212000"/>
    <n v="212000"/>
    <n v="213562"/>
    <n v="213562"/>
    <n v="0.97292544588961527"/>
    <n v="219505"/>
    <n v="212000"/>
    <n v="212000"/>
    <m/>
    <n v="213562"/>
    <n v="0.97292544588961527"/>
    <n v="213562"/>
    <m/>
    <m/>
    <m/>
    <n v="0.97292544588961527"/>
    <n v="219505"/>
    <n v="0"/>
    <m/>
    <m/>
    <m/>
    <n v="0"/>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5"/>
    <s v="Atender al 100% de los estudiantes matriculados en la modalidad tecnica  a traves  Aseguradora de Riesgos Laborales."/>
    <s v="Estudiantes cubiertos con_x000a_Aseguradora de Riesgos_x000a_Laborales"/>
    <n v="1880"/>
    <n v="12120"/>
    <s v="Incremento"/>
    <m/>
    <s v="A.1.1.2.2 "/>
    <n v="22"/>
    <m/>
    <s v="SECRETARÍA DE EDUCACIÓN"/>
    <n v="1880"/>
    <n v="4040"/>
    <n v="4040"/>
    <n v="4040"/>
    <n v="14000"/>
    <b v="0"/>
    <n v="0"/>
    <n v="0"/>
    <n v="0"/>
    <n v="0"/>
    <n v="0"/>
    <n v="1880"/>
    <n v="0"/>
    <n v="0"/>
    <m/>
    <n v="0"/>
    <n v="0"/>
    <n v="0"/>
    <m/>
    <m/>
    <m/>
    <n v="0"/>
    <n v="4040"/>
    <n v="0"/>
    <m/>
    <m/>
    <m/>
    <n v="0"/>
    <m/>
    <m/>
    <m/>
    <m/>
    <m/>
    <m/>
    <m/>
    <m/>
    <m/>
    <m/>
    <m/>
    <m/>
    <m/>
    <m/>
    <m/>
    <m/>
    <m/>
    <m/>
    <m/>
    <m/>
    <m/>
    <m/>
    <m/>
    <m/>
    <m/>
  </r>
  <r>
    <n v="1"/>
    <s v="BOLIVAR PROGRESA, SUPERACIÓN DE LA POBREZA"/>
    <m/>
    <m/>
    <x v="1"/>
    <x v="1"/>
    <m/>
    <m/>
    <x v="3"/>
    <x v="3"/>
    <n v="0.54403061224489802"/>
    <n v="0.51476190476190475"/>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1"/>
    <s v="Tener más cobertura con el acceso a internet para que los estudiantes, docentes puedan fortalecer el proceso de enseñanza y tener acceso a información educativa."/>
    <s v="Instituciones Educativas_x000a_accediendo a internet"/>
    <n v="226"/>
    <n v="226"/>
    <s v="Mantenimiento"/>
    <m/>
    <s v="A.1.1.2.3 "/>
    <n v="22"/>
    <m/>
    <s v="SECRETARÍA DE EDUCACIÓN"/>
    <n v="226"/>
    <n v="226"/>
    <n v="226"/>
    <n v="226"/>
    <n v="904"/>
    <b v="0"/>
    <n v="0"/>
    <n v="226"/>
    <n v="226"/>
    <n v="226"/>
    <n v="1"/>
    <n v="226"/>
    <n v="0"/>
    <n v="226"/>
    <m/>
    <n v="226"/>
    <n v="1"/>
    <n v="56.5"/>
    <m/>
    <m/>
    <m/>
    <n v="0.25"/>
    <n v="226"/>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2"/>
    <s v="Permitir a los docentes mantener una visión amplia de su disciplina, incorporar nuevas metodologías de trabajo e incluir las TIC en la práctica educativa para alcanzar el aprendizaje significativo."/>
    <s v="Nuevos docentes formados en_x000a_uso y apropiación de Tics"/>
    <n v="1180"/>
    <n v="1200"/>
    <s v="Incremento"/>
    <m/>
    <s v="A.1 .1.2.3"/>
    <n v="22"/>
    <m/>
    <s v="SECRETARÍA DE EDUCACIÓN"/>
    <n v="300"/>
    <n v="300"/>
    <n v="300"/>
    <n v="300"/>
    <n v="1200"/>
    <b v="1"/>
    <n v="0"/>
    <n v="240"/>
    <n v="300"/>
    <n v="300"/>
    <n v="0.25"/>
    <n v="300"/>
    <n v="0"/>
    <n v="240"/>
    <m/>
    <n v="300"/>
    <n v="1"/>
    <n v="600"/>
    <m/>
    <m/>
    <m/>
    <n v="0.5"/>
    <n v="300"/>
    <n v="300"/>
    <m/>
    <m/>
    <m/>
    <n v="1"/>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3"/>
    <s v="Estrategias para la construcción del conocimiento científico, capaces de conocer, comprender y transformar su propio desarrollo y su propio entorno social y cultural mediante la producción de conocimiento apoyado en las nuevas tecnologias."/>
    <s v="Nuevos Grupos de_x000a_investigaciones generando una cultura que valora y gestiona el conocimiento y la innovación."/>
    <n v="10"/>
    <n v="15"/>
    <s v="Incremento"/>
    <m/>
    <s v="A.1.1.2.3 "/>
    <n v="22"/>
    <m/>
    <s v="SECRETARÍA DE EDUCACIÓN"/>
    <m/>
    <n v="5"/>
    <n v="5"/>
    <n v="5"/>
    <n v="15"/>
    <b v="1"/>
    <m/>
    <m/>
    <m/>
    <m/>
    <n v="0"/>
    <m/>
    <m/>
    <m/>
    <m/>
    <m/>
    <s v="NP"/>
    <n v="15"/>
    <m/>
    <m/>
    <m/>
    <n v="1"/>
    <n v="5"/>
    <n v="15"/>
    <m/>
    <m/>
    <m/>
    <n v="1"/>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4"/>
    <s v="Favorecer la participación de los estudiantes, docentes creando espacios dedicados al trabajo en común y el intercambio de información. Normalmente se hace a través de chats, foros, correos electrónicos, intercambio de ficheros, etc.)."/>
    <s v="Establecimientos educativos_x000a_participando en proyectos_x000a_colaborativos en red de_x000a_conocimiento y la innovación."/>
    <n v="35"/>
    <n v="100"/>
    <s v="Incremento"/>
    <m/>
    <s v="A.1.1.2.3 "/>
    <n v="22"/>
    <m/>
    <s v="SECRETARÍA DE EDUCACIÓN"/>
    <n v="10"/>
    <n v="50"/>
    <n v="20"/>
    <n v="20"/>
    <n v="100"/>
    <b v="1"/>
    <n v="0"/>
    <n v="11"/>
    <n v="11"/>
    <n v="11"/>
    <n v="0.11"/>
    <n v="10"/>
    <n v="0"/>
    <n v="10"/>
    <m/>
    <n v="11"/>
    <n v="1"/>
    <n v="22"/>
    <m/>
    <m/>
    <m/>
    <n v="0.22"/>
    <n v="50"/>
    <n v="11"/>
    <m/>
    <m/>
    <m/>
    <n v="0.22"/>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5"/>
    <s v="Maximizar el uso de las herramientas digitales  en los procesos educativos, con el fin de volver más innovadoras los procrsos de aulas."/>
    <s v="Relación de estudiantes por_x000a_Terminales. = (equipos_x000a_tecnológicos por estudiante)"/>
    <n v="6"/>
    <n v="4"/>
    <s v="Incremento"/>
    <m/>
    <s v="A.1.1.2.3 "/>
    <n v="22"/>
    <m/>
    <s v="SECRETARÍA DE EDUCACIÓN"/>
    <n v="5.5"/>
    <n v="5"/>
    <n v="4.5"/>
    <n v="4"/>
    <n v="19"/>
    <b v="0"/>
    <n v="5.7"/>
    <n v="5.7"/>
    <n v="5.7"/>
    <n v="5.7"/>
    <n v="1"/>
    <n v="5.5"/>
    <n v="5.7"/>
    <n v="5.5"/>
    <m/>
    <n v="5.7"/>
    <n v="1"/>
    <n v="11.4"/>
    <m/>
    <m/>
    <m/>
    <n v="2.85"/>
    <n v="5"/>
    <n v="5.7"/>
    <m/>
    <m/>
    <m/>
    <n v="1"/>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6"/>
    <s v="Herramienta que permite la gestión y publicación de los contenidos utilizados en las escuelas, donde los estudiantes, docentes, personal administrativo, padres de familia y actores educativos, pueden tener accesos a la información y se realiza seguimiento de los progresos del alumno durante el tiempo que dure la formación."/>
    <s v="Plataforma tecnológica para_x000a_seguimiento de la calidad_x000a_educativa."/>
    <n v="0"/>
    <n v="1"/>
    <s v="Incremento"/>
    <m/>
    <s v="A.1.1.2.3 "/>
    <n v="22"/>
    <m/>
    <s v="SECRETARÍA DE EDUCACIÓN"/>
    <m/>
    <n v="1"/>
    <n v="0"/>
    <n v="0"/>
    <n v="1"/>
    <b v="1"/>
    <m/>
    <m/>
    <m/>
    <m/>
    <n v="0"/>
    <m/>
    <m/>
    <m/>
    <m/>
    <m/>
    <s v="NP"/>
    <n v="0"/>
    <m/>
    <m/>
    <m/>
    <n v="0"/>
    <n v="1"/>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7"/>
    <s v="identificar y administrar los diferfentes riesgos por el uso del internet, como  prevenirlos y los canales de comunciacions disponibles para atenderlos."/>
    <s v="Establecimientos educativos_x000a_participando en estrategia de_x000a_Identificación de riesgos_x000a_asociados al uso de las_x000a_tecnologías de la información y_x000a_las comunicaciones."/>
    <n v="0"/>
    <n v="100"/>
    <s v="Incremento"/>
    <m/>
    <s v="A.1.1.2.3 "/>
    <n v="22"/>
    <m/>
    <s v="SECRETARÍA DE EDUCACIÓN"/>
    <n v="20"/>
    <n v="30"/>
    <n v="30"/>
    <n v="20"/>
    <n v="100"/>
    <b v="1"/>
    <n v="0"/>
    <n v="20"/>
    <n v="20"/>
    <n v="20"/>
    <n v="0.2"/>
    <n v="20"/>
    <n v="0"/>
    <n v="20"/>
    <m/>
    <n v="20"/>
    <n v="1"/>
    <n v="20"/>
    <m/>
    <m/>
    <m/>
    <n v="0.2"/>
    <n v="30"/>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8"/>
    <s v="Fomentar la cultura científica de los estudiantes, no solo de comunicar sino también de despertar el amor por la Ciencia, las tecnologias e innovación y formar parte de esta."/>
    <s v="Ferias de innovación apropiadas_x000a_en los tics"/>
    <n v="0"/>
    <n v="4"/>
    <s v="Incremento"/>
    <m/>
    <s v="A.1.1.2.3 "/>
    <n v="22"/>
    <m/>
    <s v="SECRETARÍA DE EDUCACIÓN"/>
    <n v="1"/>
    <n v="1"/>
    <n v="1"/>
    <n v="1"/>
    <n v="4"/>
    <b v="1"/>
    <n v="0"/>
    <n v="0"/>
    <n v="0"/>
    <n v="0"/>
    <n v="0"/>
    <n v="1"/>
    <n v="0"/>
    <n v="0"/>
    <m/>
    <n v="0"/>
    <n v="0"/>
    <n v="0"/>
    <m/>
    <m/>
    <m/>
    <n v="0"/>
    <n v="1"/>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9"/>
    <s v="Incorporar los medios como objeto de estudio, que enseñe a los alumnos a analizar crítica y reflexivamente los textos mediáticos, incorporar los medios en la escuela, lo que significa también integrar, revalorizar y resignificar la cultura cotidiana de los alumnos, en la que la radio, el periódico, la revista, el cine y la televisión ocupan un lugar fundamental. "/>
    <s v="Establecimientos educativos_x000a_oficiales con dotación_x000a_especializada en dispositivos_x000a_tecnológicos y audiovisuales"/>
    <n v="35"/>
    <n v="35"/>
    <s v="Incremento"/>
    <m/>
    <s v="A.1.1.2.3 "/>
    <n v="22"/>
    <m/>
    <s v="SECRETARÍA DE EDUCACIÓN"/>
    <n v="3"/>
    <n v="15"/>
    <n v="10"/>
    <n v="7"/>
    <n v="35"/>
    <b v="1"/>
    <n v="0"/>
    <n v="5"/>
    <n v="10"/>
    <n v="10"/>
    <n v="0.2857142857142857"/>
    <n v="3"/>
    <n v="0"/>
    <n v="3"/>
    <m/>
    <n v="10"/>
    <n v="1"/>
    <n v="20"/>
    <m/>
    <m/>
    <m/>
    <n v="0.5714285714285714"/>
    <n v="15"/>
    <n v="10"/>
    <m/>
    <m/>
    <m/>
    <n v="0.66666666666666663"/>
    <m/>
    <m/>
    <m/>
    <m/>
    <m/>
    <m/>
    <m/>
    <m/>
    <m/>
    <m/>
    <m/>
    <m/>
    <m/>
    <m/>
    <m/>
    <m/>
    <m/>
    <m/>
    <m/>
    <m/>
    <m/>
    <m/>
    <m/>
    <m/>
    <m/>
  </r>
  <r>
    <n v="1"/>
    <s v="BOLIVAR PROGRESA, SUPERACIÓN DE LA POBREZA"/>
    <m/>
    <m/>
    <x v="1"/>
    <x v="1"/>
    <m/>
    <m/>
    <x v="3"/>
    <x v="3"/>
    <m/>
    <m/>
    <s v="1.2.3.2"/>
    <s v="Fortalecimiento del Sistema o Modelo de Gestión de la Secretaría de Educación de Bolívar"/>
    <s v="Implementación del Modelo Integrado de_x000a_Planeación y Gestión (MIPG) en la Secretaría_x000a_de Educación de Bolívar Nivel Central"/>
    <n v="0"/>
    <n v="100"/>
    <s v="1.2.3.2.1 "/>
    <s v="Apropiación  del Modelo Estándar de Control Interno - MECI en todas las áreas de la SED, como herramienta que proporcione  orientación hacia el cumplimiento de objetivos institucionales."/>
    <s v="Fortalecimiento de las áreas de_x000a_Gestión de la Secretaría de_x000a_Educación de Bolívar en el marco_x000a_del Modelo Estándar de Control_x000a_Interno (MECI)"/>
    <n v="30"/>
    <n v="100"/>
    <s v="Incremento"/>
    <m/>
    <s v="A.1.1.2.3 "/>
    <n v="22"/>
    <m/>
    <s v="SECRETARÍA DE EDUCACIÓN"/>
    <n v="20"/>
    <n v="20"/>
    <n v="15"/>
    <n v="15"/>
    <n v="70"/>
    <b v="0"/>
    <n v="10"/>
    <n v="5"/>
    <n v="20"/>
    <n v="20"/>
    <n v="0.2"/>
    <n v="20"/>
    <n v="10"/>
    <n v="5"/>
    <m/>
    <n v="20"/>
    <n v="1"/>
    <n v="20"/>
    <m/>
    <m/>
    <m/>
    <n v="0.2"/>
    <n v="20"/>
    <n v="0"/>
    <m/>
    <m/>
    <m/>
    <n v="0"/>
    <m/>
    <m/>
    <m/>
    <m/>
    <m/>
    <m/>
    <m/>
    <m/>
    <m/>
    <m/>
    <m/>
    <m/>
    <m/>
    <m/>
    <m/>
    <m/>
    <m/>
    <m/>
    <m/>
    <m/>
    <m/>
    <m/>
    <m/>
    <m/>
    <m/>
  </r>
  <r>
    <n v="1"/>
    <s v="BOLIVAR PROGRESA, SUPERACIÓN DE LA POBREZA"/>
    <m/>
    <m/>
    <x v="1"/>
    <x v="1"/>
    <m/>
    <m/>
    <x v="3"/>
    <x v="3"/>
    <m/>
    <m/>
    <s v="1.2.3.3"/>
    <s v="Seguimiento al manejo administrativo eficiente de las Instituciones Educativas que acceden a los Fondos de Servicios Educativos"/>
    <s v="Seguimiento al manejo administrativo_x000a_eficiente de las Instituciones Educativas que_x000a_acceden a los Fondos de Servicios_x000a_Educativos"/>
    <n v="1"/>
    <n v="1"/>
    <s v="1.2.3.3.1 "/>
    <s v="Seguimiento anual sobre el manejo de sus recursos recibidos por gratuidad educativa"/>
    <s v="Instituciones Educativas oficiales_x000a_en seguimiento anual sobre el_x000a_manejo de sus recursos recibidos_x000a_por gratuidad educativa"/>
    <n v="50"/>
    <n v="180"/>
    <s v="Incremento"/>
    <m/>
    <s v="A.1.2.3 "/>
    <n v="22"/>
    <m/>
    <s v="SECRETARÍA DE EDUCACIÓN"/>
    <n v="20"/>
    <n v="50"/>
    <n v="50"/>
    <n v="60"/>
    <n v="180"/>
    <b v="1"/>
    <n v="6"/>
    <n v="4"/>
    <n v="20"/>
    <n v="20"/>
    <n v="0.1111111111111111"/>
    <n v="20"/>
    <n v="6"/>
    <n v="4"/>
    <m/>
    <n v="20"/>
    <n v="1"/>
    <n v="36"/>
    <m/>
    <m/>
    <m/>
    <n v="0.2"/>
    <n v="50"/>
    <n v="16"/>
    <m/>
    <m/>
    <m/>
    <n v="0.32"/>
    <m/>
    <m/>
    <m/>
    <m/>
    <m/>
    <m/>
    <m/>
    <m/>
    <m/>
    <m/>
    <m/>
    <m/>
    <m/>
    <m/>
    <m/>
    <m/>
    <m/>
    <m/>
    <m/>
    <m/>
    <m/>
    <m/>
    <m/>
    <m/>
    <m/>
  </r>
  <r>
    <n v="1"/>
    <s v="BOLIVAR PROGRESA, SUPERACIÓN DE LA POBREZA"/>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2"/>
    <s v="Seguimiento financiero "/>
    <s v="Establecimientos Educativos_x000a_oficiales en seguimiento de_x000a_presentación de informes en_x000a_plataformas y métodos para tal_x000a_fin con asistencia técnica en la_x000a_ejecución de los recursos de_x000a_gratuidad y otros recibidos en el_x000a_Fondo de Servicios Educativos"/>
    <n v="224"/>
    <n v="226"/>
    <s v="Mantenimiento"/>
    <m/>
    <s v="A.1.1.2.3 "/>
    <n v="22"/>
    <m/>
    <s v="SECRETARÍA DE EDUCACIÓN"/>
    <n v="226"/>
    <n v="226"/>
    <n v="226"/>
    <n v="226"/>
    <n v="904"/>
    <b v="0"/>
    <n v="226"/>
    <n v="226"/>
    <n v="226"/>
    <n v="226"/>
    <n v="1"/>
    <n v="226"/>
    <n v="226"/>
    <n v="226"/>
    <m/>
    <n v="226"/>
    <n v="1"/>
    <n v="113"/>
    <m/>
    <m/>
    <m/>
    <n v="0.5"/>
    <n v="226"/>
    <n v="226"/>
    <m/>
    <m/>
    <m/>
    <n v="1"/>
    <m/>
    <m/>
    <m/>
    <m/>
    <m/>
    <m/>
    <m/>
    <m/>
    <m/>
    <m/>
    <m/>
    <m/>
    <m/>
    <m/>
    <m/>
    <m/>
    <m/>
    <m/>
    <m/>
    <m/>
    <m/>
    <m/>
    <m/>
    <m/>
    <m/>
  </r>
  <r>
    <n v="1"/>
    <s v="BOLIVAR PROGRESA, SUPERACIÓN DE LA POBREZA"/>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3"/>
    <s v="Capacitación de rectores,_x000a_directores y administrativos de_x000a_las Instituciones Educativas, sea_x000a_virtual o presencial.."/>
    <s v="Capacitación de rectores,_x000a_directores y administrativos de_x000a_las Instituciones Educativas, sea_x000a_virtual o presencial.."/>
    <n v="0"/>
    <n v="0.5"/>
    <s v="Mantenimiento"/>
    <m/>
    <s v="A.1.1.2.3 "/>
    <n v="22"/>
    <m/>
    <s v="SECRETARÍA DE EDUCACIÓN"/>
    <n v="0.5"/>
    <n v="0.5"/>
    <n v="0.5"/>
    <n v="0.5"/>
    <n v="2"/>
    <b v="0"/>
    <n v="1"/>
    <n v="0.5"/>
    <n v="1"/>
    <n v="1"/>
    <n v="1"/>
    <n v="0.5"/>
    <n v="0.5"/>
    <n v="0.5"/>
    <m/>
    <n v="1"/>
    <n v="1"/>
    <n v="0.375"/>
    <m/>
    <m/>
    <m/>
    <n v="0.75"/>
    <n v="0.5"/>
    <n v="0.5"/>
    <m/>
    <m/>
    <m/>
    <n v="1"/>
    <m/>
    <m/>
    <m/>
    <m/>
    <m/>
    <m/>
    <m/>
    <m/>
    <m/>
    <m/>
    <m/>
    <m/>
    <m/>
    <m/>
    <m/>
    <m/>
    <m/>
    <m/>
    <m/>
    <m/>
    <m/>
    <m/>
    <m/>
    <m/>
    <m/>
  </r>
  <r>
    <n v="1"/>
    <s v="BOLIVAR PROGRESA, SUPERACIÓN DE LA POBREZA"/>
    <m/>
    <m/>
    <x v="1"/>
    <x v="1"/>
    <m/>
    <m/>
    <x v="3"/>
    <x v="3"/>
    <m/>
    <m/>
    <s v="1.2.3.3"/>
    <s v="Implementación del Plan Dptal de Bienestar Laboral con el fin de mejorar la calidad  vida de los servidores del sistema educativo generando espacio de integración,capacitación y acompañamiento a los servidores"/>
    <s v="Seguimiento al manejo administrativo_x000a_eficiente de las Instituciones Educativas que_x000a_acceden a los Fondos de Servicios_x000a_Educativos"/>
    <n v="1"/>
    <n v="1"/>
    <s v="1.2.3.3.4"/>
    <s v="Plan Dptal de Bienestar Laboral de la SED Implementados"/>
    <s v="Plan departamental de bienestar_x000a_laboral de sed formulado y_x000a_ejecutado"/>
    <n v="4"/>
    <n v="4"/>
    <s v="Mantenimiento"/>
    <m/>
    <s v="A.1.1.2.3 "/>
    <n v="22"/>
    <m/>
    <s v="SECRETARÍA DE EDUCACIÓN"/>
    <n v="1"/>
    <n v="1"/>
    <n v="1"/>
    <n v="1"/>
    <n v="4"/>
    <b v="1"/>
    <n v="1"/>
    <n v="1"/>
    <n v="1"/>
    <n v="1"/>
    <n v="0.25"/>
    <n v="1"/>
    <n v="1"/>
    <n v="1"/>
    <m/>
    <n v="1"/>
    <n v="1"/>
    <n v="1.5"/>
    <m/>
    <m/>
    <m/>
    <n v="0.375"/>
    <n v="1"/>
    <n v="5"/>
    <m/>
    <m/>
    <m/>
    <n v="1"/>
    <m/>
    <m/>
    <m/>
    <m/>
    <m/>
    <m/>
    <m/>
    <m/>
    <m/>
    <m/>
    <m/>
    <m/>
    <m/>
    <m/>
    <m/>
    <m/>
    <m/>
    <m/>
    <m/>
    <m/>
    <m/>
    <m/>
    <m/>
    <m/>
    <m/>
  </r>
  <r>
    <n v="1"/>
    <s v="BOLIVAR PROGRESA, SUPERACIÓN DE LA POBREZA"/>
    <m/>
    <m/>
    <x v="2"/>
    <x v="2"/>
    <n v="0.30364951435541343"/>
    <n v="0.16094372529261297"/>
    <x v="4"/>
    <x v="4"/>
    <n v="0.30396365309408785"/>
    <n v="8.8888888888888889E-3"/>
    <s v="1.3.1.1 "/>
    <s v="Mantener la tasa de mortalidad por_x000a_EDA en 0,79 x 100.000 menores de_x000a_5 años"/>
    <s v="Mantener la tasa de mortalidad por_x000a_EDA en 0,79 x 100.000 menores de_x000a_5 años"/>
    <s v="0.79"/>
    <s v="0.79"/>
    <s v="1.3.1.1.1 "/>
    <s v="Porcentaje de establecimientos_x000a_de interés sanitario vigilados y_x000a_controlados cumpliendo con la_x000a_normatividad sanitaria vigente"/>
    <s v="Porcentaje de establecimientos de interés sanitario vigilados y controlados cumpliendo con la normatividad sanitaria vigente"/>
    <m/>
    <n v="1"/>
    <s v="Mantenimiento"/>
    <m/>
    <s v="SALUD"/>
    <s v="A.2"/>
    <m/>
    <s v="SECRETARÍA DE SALUD"/>
    <n v="1"/>
    <n v="1"/>
    <n v="1"/>
    <n v="1"/>
    <n v="4"/>
    <b v="0"/>
    <n v="0.2"/>
    <n v="0.08"/>
    <n v="0.75"/>
    <n v="0.75"/>
    <n v="0.75"/>
    <n v="1"/>
    <n v="0.2"/>
    <n v="0.08"/>
    <m/>
    <n v="0.75"/>
    <n v="0.75"/>
    <n v="0.1875"/>
    <m/>
    <m/>
    <m/>
    <n v="0.1875"/>
    <n v="1"/>
    <n v="0"/>
    <m/>
    <m/>
    <m/>
    <n v="0"/>
    <m/>
    <m/>
    <m/>
    <m/>
    <m/>
    <m/>
    <m/>
    <m/>
    <m/>
    <m/>
    <m/>
    <m/>
    <m/>
    <m/>
    <m/>
    <m/>
    <m/>
    <m/>
    <m/>
    <m/>
    <m/>
    <m/>
    <m/>
    <m/>
    <m/>
  </r>
  <r>
    <n v="1"/>
    <s v="BOLIVAR PROGRESA, SUPERACIÓN DE LA POBREZA"/>
    <m/>
    <m/>
    <x v="2"/>
    <x v="2"/>
    <m/>
    <m/>
    <x v="4"/>
    <x v="4"/>
    <m/>
    <m/>
    <s v="1.3.1.1 "/>
    <s v="Mantener la tasa de mortalidad por_x000a_EDA en 0,79 x 100.000 menores de_x000a_5 años"/>
    <s v="Mantener la tasa de mortalidad por_x000a_EDA en 0,79 x 100.000 menores de_x000a_5 años"/>
    <s v="0.80"/>
    <s v="0.80"/>
    <s v="1.3.1.1.2"/>
    <s v="Municipios vigilados en la_x000a_calidad del agua para consumo_x000a_humano"/>
    <s v="Municipios vigilados en la_x000a_calidad del agua para consumo_x000a_humano"/>
    <m/>
    <n v="45"/>
    <s v="Mantenimiento"/>
    <m/>
    <m/>
    <m/>
    <m/>
    <s v="SECRETARÍA DE SALUD"/>
    <n v="45"/>
    <n v="45"/>
    <n v="45"/>
    <n v="45"/>
    <n v="180"/>
    <b v="0"/>
    <n v="0.17"/>
    <n v="0.17"/>
    <n v="0.45"/>
    <n v="0.45"/>
    <n v="0.01"/>
    <n v="45"/>
    <n v="0.17"/>
    <n v="0.17"/>
    <m/>
    <n v="45"/>
    <n v="1"/>
    <n v="0.61250000000000004"/>
    <m/>
    <m/>
    <m/>
    <n v="1.3611111111111112E-2"/>
    <n v="45"/>
    <n v="2"/>
    <m/>
    <m/>
    <m/>
    <n v="4.4444444444444446E-2"/>
    <m/>
    <m/>
    <m/>
    <m/>
    <m/>
    <m/>
    <m/>
    <m/>
    <m/>
    <m/>
    <m/>
    <m/>
    <m/>
    <m/>
    <m/>
    <m/>
    <m/>
    <m/>
    <m/>
    <m/>
    <m/>
    <m/>
    <m/>
    <m/>
    <m/>
  </r>
  <r>
    <n v="1"/>
    <s v="BOLIVAR PROGRESA, SUPERACIÓN DE LA POBREZA"/>
    <m/>
    <m/>
    <x v="2"/>
    <x v="2"/>
    <m/>
    <m/>
    <x v="4"/>
    <x v="4"/>
    <m/>
    <m/>
    <s v="1.3.1.1 "/>
    <s v="Mantener la tasa de mortalidad por_x000a_EDA en 0,79 x 100.000 menores de_x000a_5 años"/>
    <s v="Mantener la tasa de mortalidad por_x000a_EDA en 0,79 x 100.000 menores de_x000a_5 años"/>
    <s v="0.81"/>
    <s v="0.81"/>
    <s v="1.3.1.1.3"/>
    <s v="Consejo territorial de Salud_x000a_ambiental funcionando con la_x000a_participación de todos los_x000a_actores"/>
    <s v="Consejo territorial de Salud_x000a_ambiental funcionando con la_x000a_participación de todos los_x000a_actores"/>
    <m/>
    <n v="1"/>
    <s v="Incremento"/>
    <m/>
    <m/>
    <m/>
    <m/>
    <s v="SECRETARÍA DE SALUD"/>
    <n v="1"/>
    <m/>
    <m/>
    <m/>
    <n v="1"/>
    <b v="1"/>
    <n v="0"/>
    <n v="1"/>
    <n v="1"/>
    <n v="1"/>
    <n v="1"/>
    <n v="1"/>
    <n v="0"/>
    <n v="1"/>
    <m/>
    <n v="1"/>
    <n v="1"/>
    <n v="1"/>
    <m/>
    <m/>
    <m/>
    <n v="1"/>
    <s v="NP"/>
    <n v="0"/>
    <m/>
    <m/>
    <m/>
    <s v="NP"/>
    <m/>
    <m/>
    <m/>
    <m/>
    <m/>
    <m/>
    <m/>
    <m/>
    <m/>
    <m/>
    <m/>
    <m/>
    <m/>
    <m/>
    <m/>
    <m/>
    <m/>
    <m/>
    <m/>
    <m/>
    <m/>
    <m/>
    <m/>
    <m/>
    <m/>
  </r>
  <r>
    <n v="1"/>
    <s v="BOLIVAR PROGRESA, SUPERACIÓN DE LA POBREZA"/>
    <m/>
    <m/>
    <x v="2"/>
    <x v="2"/>
    <m/>
    <m/>
    <x v="4"/>
    <x v="4"/>
    <m/>
    <m/>
    <s v="1.3.1.2 "/>
    <s v="Disminuir la tasa de mortalidad por_x000a_IRA a 15,42x 100.000 menores de 5_x000a_años"/>
    <s v="Disminuir la tasa de mortalidad por_x000a_IRA a 15,42x 100.000 menores de 5_x000a_años"/>
    <s v="15.76"/>
    <s v="15.76"/>
    <s v="1.3.1.2.1 "/>
    <s v="Municipios priorizados_x000a_caracterizados y capacitados_x000a_para el desarrollo de acciones de_x000a_promoción y prevención de la_x000a_contaminación del aire"/>
    <s v="Municipios priorizados_x000a_caracterizados y capacitados_x000a_para el desarrollo de acciones de_x000a_promoción y prevención de la_x000a_contaminación del aire"/>
    <m/>
    <n v="7"/>
    <s v="Incremento"/>
    <m/>
    <s v="SALUD"/>
    <s v="A.2"/>
    <m/>
    <s v="SECRETARÍA DE SALUD"/>
    <n v="3"/>
    <n v="2"/>
    <n v="1"/>
    <n v="1"/>
    <n v="7"/>
    <b v="1"/>
    <n v="0"/>
    <n v="0"/>
    <n v="2"/>
    <n v="2"/>
    <n v="0.2857142857142857"/>
    <n v="3"/>
    <n v="0"/>
    <n v="0"/>
    <m/>
    <n v="2"/>
    <n v="0.66666666666666663"/>
    <n v="2"/>
    <m/>
    <m/>
    <m/>
    <n v="0.2857142857142857"/>
    <n v="2"/>
    <n v="0"/>
    <m/>
    <m/>
    <m/>
    <n v="0"/>
    <m/>
    <m/>
    <m/>
    <m/>
    <m/>
    <m/>
    <m/>
    <m/>
    <m/>
    <m/>
    <m/>
    <m/>
    <m/>
    <m/>
    <m/>
    <m/>
    <m/>
    <m/>
    <m/>
    <m/>
    <m/>
    <m/>
    <m/>
    <m/>
    <m/>
  </r>
  <r>
    <n v="1"/>
    <s v="BOLIVAR PROGRESA, SUPERACIÓN DE LA POBREZA"/>
    <m/>
    <m/>
    <x v="2"/>
    <x v="2"/>
    <m/>
    <m/>
    <x v="4"/>
    <x v="4"/>
    <m/>
    <m/>
    <s v="1.3.1.3"/>
    <s v="Mantener la tasa de incidencia de_x000a_dengue en 112,52 por 100.000_x000a_habitantes o menos_x000a_"/>
    <s v="Mantener la tasa de incidencia de_x000a_dengue en 112,52 por 100.000_x000a_habitantes o menos_x000a_"/>
    <s v="112.52"/>
    <s v="112.52"/>
    <s v="1.3.1.3.1"/>
    <s v="Municipios priorizados_x000a_capacitados en acciones de_x000a_promoción y prevención en el_x000a_marco de la estrategia de_x000a_entornos saludables"/>
    <s v="Municipios priorizados_x000a_capacitados en acciones de_x000a_promoción y prevención en el_x000a_marco de la estrategia de_x000a_entornos saludables"/>
    <m/>
    <n v="23"/>
    <s v="Incremento"/>
    <m/>
    <m/>
    <m/>
    <m/>
    <s v="SECRETARÍA DE SALUD"/>
    <n v="6"/>
    <n v="6"/>
    <n v="6"/>
    <n v="5"/>
    <n v="23"/>
    <b v="1"/>
    <n v="2"/>
    <n v="0"/>
    <n v="2"/>
    <n v="2"/>
    <n v="8.6956521739130432E-2"/>
    <n v="6"/>
    <n v="2"/>
    <n v="0"/>
    <m/>
    <n v="2"/>
    <n v="0.33333333333333331"/>
    <n v="2"/>
    <m/>
    <m/>
    <m/>
    <n v="8.6956521739130432E-2"/>
    <n v="6"/>
    <n v="0"/>
    <m/>
    <m/>
    <m/>
    <n v="0"/>
    <m/>
    <m/>
    <m/>
    <m/>
    <m/>
    <m/>
    <m/>
    <m/>
    <m/>
    <m/>
    <m/>
    <m/>
    <m/>
    <m/>
    <m/>
    <m/>
    <m/>
    <m/>
    <m/>
    <m/>
    <m/>
    <m/>
    <m/>
    <m/>
    <m/>
  </r>
  <r>
    <n v="1"/>
    <s v="BOLIVAR PROGRESA, SUPERACIÓN DE LA POBREZA"/>
    <m/>
    <m/>
    <x v="2"/>
    <x v="2"/>
    <m/>
    <m/>
    <x v="4"/>
    <x v="4"/>
    <m/>
    <m/>
    <s v="1.3.1.4"/>
    <s v="Mantener la tasa de incidencia de_x000a_intoxicación por plaguicidas en 5,02_x000a_x 100.000 habitantes o menos"/>
    <s v="Mantener la tasa de incidencia de_x000a_intoxicación por plaguicidas en 5,02_x000a_x 100.000 habitantes o menos"/>
    <s v="5.02"/>
    <s v="5.02"/>
    <s v="1.3.1.4.1"/>
    <s v="Municipios caracterizados y_x000a_capacitados para el desarrollo de_x000a_acciones de promoción y_x000a_prevención de la contaminación_x000a_por sustancias químicas_x000a_"/>
    <s v="Municipios caracterizados y_x000a_capacitados para el desarrollo de_x000a_acciones de promoción y_x000a_prevención de la contaminación_x000a_por sustancias químicas_x000a_"/>
    <m/>
    <n v="12"/>
    <s v="Incremento"/>
    <m/>
    <s v="SALUD"/>
    <s v="A.2"/>
    <m/>
    <s v="SECRETARÍA DE SALUD"/>
    <n v="3"/>
    <n v="3"/>
    <n v="3"/>
    <n v="3"/>
    <n v="12"/>
    <b v="1"/>
    <n v="0"/>
    <n v="0"/>
    <n v="3"/>
    <n v="3"/>
    <n v="0.25"/>
    <n v="3"/>
    <n v="0"/>
    <n v="0"/>
    <m/>
    <n v="3"/>
    <n v="1"/>
    <n v="3"/>
    <m/>
    <m/>
    <m/>
    <n v="0.25"/>
    <n v="3"/>
    <n v="0"/>
    <m/>
    <m/>
    <m/>
    <n v="0"/>
    <m/>
    <m/>
    <m/>
    <m/>
    <m/>
    <m/>
    <m/>
    <m/>
    <m/>
    <m/>
    <m/>
    <m/>
    <m/>
    <m/>
    <m/>
    <m/>
    <m/>
    <m/>
    <m/>
    <m/>
    <m/>
    <m/>
    <m/>
    <m/>
    <m/>
  </r>
  <r>
    <n v="1"/>
    <s v="BOLIVAR PROGRESA, SUPERACIÓN DE LA POBREZA"/>
    <m/>
    <m/>
    <x v="2"/>
    <x v="2"/>
    <m/>
    <m/>
    <x v="5"/>
    <x v="5"/>
    <n v="0.17453703703703705"/>
    <n v="0"/>
    <s v="1.3.2.1"/>
    <s v="Reducir a 43,20 por 100 mil_x000a_personas entre 30 y 70 años la tasa_x000a_de mortalidad prematura por_x000a_enfermedades del sistema_x000a_circulatorio"/>
    <s v="Reducir a 43,20 por 100 mil_x000a_personas entre 30 y 70 años la tasa_x000a_de mortalidad prematura por_x000a_enfermedades del sistema_x000a_circulatorio"/>
    <s v="46.58"/>
    <s v="SD"/>
    <s v="1.3.2.1.1"/>
    <s v="Municipios con la estrategia_x000a_nacional Conoce tu riesgo peso_x000a_saludable, socializada e_x000a_implementada._x000a_"/>
    <s v="Municipios con la estrategia_x000a_nacional Conoce tu riesgo peso_x000a_saludable, socializada e_x000a_implementada._x000a_"/>
    <m/>
    <n v="8"/>
    <s v="Incremento"/>
    <m/>
    <s v="SALUD"/>
    <s v="A.2"/>
    <m/>
    <s v="SECRETARÍA DE SALUD"/>
    <n v="2"/>
    <n v="2"/>
    <n v="2"/>
    <n v="2"/>
    <n v="8"/>
    <b v="1"/>
    <n v="0"/>
    <n v="0"/>
    <n v="2"/>
    <n v="2"/>
    <n v="0.25"/>
    <n v="2"/>
    <n v="0"/>
    <n v="0"/>
    <m/>
    <n v="2"/>
    <n v="1"/>
    <n v="2"/>
    <m/>
    <m/>
    <m/>
    <n v="0.25"/>
    <n v="2"/>
    <n v="0"/>
    <m/>
    <m/>
    <m/>
    <n v="0"/>
    <m/>
    <m/>
    <m/>
    <m/>
    <m/>
    <m/>
    <m/>
    <m/>
    <m/>
    <m/>
    <m/>
    <m/>
    <m/>
    <m/>
    <m/>
    <m/>
    <m/>
    <m/>
    <m/>
    <m/>
    <m/>
    <m/>
    <m/>
    <m/>
    <m/>
  </r>
  <r>
    <n v="1"/>
    <s v="BOLIVAR PROGRESA, SUPERACIÓN DE LA POBREZA"/>
    <m/>
    <m/>
    <x v="2"/>
    <x v="2"/>
    <m/>
    <m/>
    <x v="5"/>
    <x v="5"/>
    <m/>
    <m/>
    <s v="1.3.2.2"/>
    <s v="Reducir a 6,18 por 100 mil_x000a_personas entre 30 y 70 años la tasa_x000a_de mortalidad prematura por_x000a_diabetes mellitus"/>
    <s v="Reducir a 6,18 por 100 mil_x000a_personas entre 30 y 70 años la tasa_x000a_de mortalidad prematura por_x000a_diabetes mellitus"/>
    <s v="6.38"/>
    <s v="SD"/>
    <s v="1.3.2.2.1"/>
    <s v="Prestadores de servicios de_x000a_salud públicos con ruta de_x000a_promoción y mantenimiento de_x000a_la salud para el componente de_x000a_cánceres priorizados_x000a_implementada"/>
    <s v="Prestadores de servicios de_x000a_salud públicos con ruta de_x000a_promoción y mantenimiento de_x000a_la salud para el componente de_x000a_cánceres priorizados_x000a_implementada"/>
    <m/>
    <n v="8"/>
    <s v="Incremento"/>
    <m/>
    <s v="SALUD"/>
    <s v="A.2"/>
    <m/>
    <s v="SECRETARÍA DE SALUD"/>
    <n v="2"/>
    <n v="2"/>
    <n v="2"/>
    <n v="2"/>
    <n v="8"/>
    <b v="1"/>
    <n v="0"/>
    <n v="0"/>
    <n v="1"/>
    <n v="1"/>
    <n v="0.125"/>
    <n v="2"/>
    <n v="0"/>
    <n v="0"/>
    <m/>
    <n v="1"/>
    <n v="0.5"/>
    <n v="1"/>
    <m/>
    <m/>
    <m/>
    <n v="0.125"/>
    <n v="2"/>
    <n v="0"/>
    <m/>
    <m/>
    <m/>
    <n v="0"/>
    <m/>
    <m/>
    <m/>
    <m/>
    <m/>
    <m/>
    <m/>
    <m/>
    <m/>
    <m/>
    <m/>
    <m/>
    <m/>
    <m/>
    <m/>
    <m/>
    <m/>
    <m/>
    <m/>
    <m/>
    <m/>
    <m/>
    <m/>
    <m/>
    <m/>
  </r>
  <r>
    <n v="1"/>
    <s v="BOLIVAR PROGRESA, SUPERACIÓN DE LA POBREZA"/>
    <m/>
    <m/>
    <x v="2"/>
    <x v="2"/>
    <m/>
    <m/>
    <x v="5"/>
    <x v="5"/>
    <m/>
    <m/>
    <s v="1.3.2.3"/>
    <s v="Disminuir a 1,0 el Índice COP_x000a_promedio a la edad de 12 años"/>
    <s v="Disminuir a 1,0 el Índice COP_x000a_promedio a la edad de 12 años"/>
    <s v="1.54"/>
    <s v="2.8"/>
    <s v="1.3.2.3.1"/>
    <s v="Municipios con la estrategia_x000a_&quot;Soy generación más sonriente&quot;,_x000a_adoptada"/>
    <s v="Municipios con la estrategia_x000a_&quot;Soy generación más sonriente&quot;,adoptada"/>
    <m/>
    <n v="45"/>
    <s v="Incremento"/>
    <m/>
    <m/>
    <m/>
    <m/>
    <s v="SECRETARÍA DE SALUD"/>
    <n v="10"/>
    <n v="10"/>
    <n v="10"/>
    <n v="15"/>
    <n v="45"/>
    <b v="1"/>
    <n v="0"/>
    <n v="10"/>
    <n v="10"/>
    <n v="10"/>
    <n v="0.22222222222222221"/>
    <n v="10"/>
    <n v="0"/>
    <n v="10"/>
    <m/>
    <n v="10"/>
    <n v="1"/>
    <n v="10"/>
    <m/>
    <m/>
    <m/>
    <n v="0.22222222222222221"/>
    <n v="10"/>
    <n v="0"/>
    <m/>
    <m/>
    <m/>
    <n v="0"/>
    <m/>
    <m/>
    <m/>
    <m/>
    <m/>
    <m/>
    <m/>
    <m/>
    <m/>
    <m/>
    <m/>
    <m/>
    <m/>
    <m/>
    <m/>
    <m/>
    <m/>
    <m/>
    <m/>
    <m/>
    <m/>
    <m/>
    <m/>
    <m/>
    <m/>
  </r>
  <r>
    <n v="1"/>
    <s v="BOLIVAR PROGRESA, SUPERACIÓN DE LA POBREZA"/>
    <m/>
    <m/>
    <x v="2"/>
    <x v="2"/>
    <m/>
    <m/>
    <x v="5"/>
    <x v="5"/>
    <m/>
    <m/>
    <s v="1.3.2.4"/>
    <s v="Disminuir a 1,0 el Índice COP_x000a_promedio a la edad de 12 años"/>
    <s v="Disminuir a 1,0 el Índice COP_x000a_promedio a la edad de 12 años"/>
    <s v="1.55"/>
    <s v="2.9"/>
    <s v="1.3.2.4.1"/>
    <s v="Personal del sector salud_x000a_instruido en guías y protocolos_x000a_de prevención y manejo de_x000a_enfermedades crónicas no_x000a_transmisibles, alteraciones de la_x000a_salud bucal, visual y auditiva."/>
    <s v="Personal del sector salud_x000a_instruido en guías y protocolos_x000a_de prevención y manejo de_x000a_enfermedades crónicas no_x000a_transmisibles, alteraciones de la_x000a_salud bucal, visual y auditiva."/>
    <m/>
    <n v="80"/>
    <s v="Incremento"/>
    <m/>
    <m/>
    <m/>
    <m/>
    <s v="SECRETARÍA DE SALUD"/>
    <n v="20"/>
    <n v="20"/>
    <n v="20"/>
    <n v="20"/>
    <n v="80"/>
    <b v="1"/>
    <n v="0"/>
    <n v="6"/>
    <n v="16"/>
    <n v="16"/>
    <n v="0.2"/>
    <n v="20"/>
    <n v="0"/>
    <n v="0"/>
    <m/>
    <n v="16"/>
    <n v="0.8"/>
    <n v="16"/>
    <m/>
    <m/>
    <m/>
    <n v="0.2"/>
    <n v="20"/>
    <n v="0"/>
    <m/>
    <m/>
    <m/>
    <n v="0"/>
    <m/>
    <m/>
    <m/>
    <m/>
    <m/>
    <m/>
    <m/>
    <m/>
    <m/>
    <m/>
    <m/>
    <m/>
    <m/>
    <m/>
    <m/>
    <m/>
    <m/>
    <m/>
    <m/>
    <m/>
    <m/>
    <m/>
    <m/>
    <m/>
    <m/>
  </r>
  <r>
    <n v="1"/>
    <s v="BOLIVAR PROGRESA, SUPERACIÓN DE LA POBREZA"/>
    <m/>
    <m/>
    <x v="2"/>
    <x v="2"/>
    <m/>
    <m/>
    <x v="5"/>
    <x v="5"/>
    <m/>
    <m/>
    <s v="1.3.2.5"/>
    <s v="Mantener la tasa de mortalidad_x000a_ajustada por tumor maligno de_x000a_cuello uterino en 6,15 por 100.000_x000a_mujeres o menos_x000a_"/>
    <s v="Mantener la tasa de mortalidad_x000a_ajustada por tumor maligno de_x000a_cuello uterino en 6,15 por 100.000_x000a_mujeres o menos_x000a_"/>
    <s v="6.15"/>
    <s v="SD"/>
    <s v="1.3.2.5.1"/>
    <s v="Municipios con la estrategia_x000a_nacional 4x4, ampliada e_x000a_implementada."/>
    <s v="Municipios con la estrategia_x000a_nacional 4x4, ampliada e_x000a_implementada."/>
    <m/>
    <n v="24"/>
    <s v="Incremento"/>
    <m/>
    <s v="SALUD"/>
    <s v="A.2"/>
    <m/>
    <s v="SECRETARÍA DE SALUD"/>
    <n v="6"/>
    <n v="6"/>
    <n v="6"/>
    <n v="6"/>
    <n v="24"/>
    <b v="1"/>
    <n v="0"/>
    <n v="6"/>
    <n v="6"/>
    <n v="6"/>
    <n v="0.25"/>
    <n v="6"/>
    <n v="0"/>
    <n v="6"/>
    <m/>
    <n v="6"/>
    <n v="1"/>
    <n v="6"/>
    <m/>
    <m/>
    <m/>
    <n v="0.25"/>
    <n v="6"/>
    <n v="0"/>
    <m/>
    <m/>
    <m/>
    <n v="0"/>
    <m/>
    <m/>
    <m/>
    <m/>
    <m/>
    <m/>
    <m/>
    <m/>
    <m/>
    <m/>
    <m/>
    <m/>
    <m/>
    <m/>
    <m/>
    <m/>
    <m/>
    <m/>
    <m/>
    <m/>
    <m/>
    <m/>
    <m/>
    <m/>
    <m/>
  </r>
  <r>
    <n v="1"/>
    <s v="BOLIVAR PROGRESA, SUPERACIÓN DE LA POBREZA"/>
    <m/>
    <m/>
    <x v="2"/>
    <x v="2"/>
    <m/>
    <m/>
    <x v="5"/>
    <x v="5"/>
    <m/>
    <m/>
    <s v="1.3.2.5"/>
    <s v="Mantener la tasa de mortalidad_x000a_por leucemia aguda pediátrica_x000a_linfoide (menores de 15 años) en_x000a_1,63 por 100.000 menores de 15_x000a_años_x000a_"/>
    <s v="Mantener la tasa de mortalidad_x000a_por leucemia aguda pediátrica_x000a_linfoide (menores de 15 años) en_x000a_1,63 por 100.000 menores de 15_x000a_años_x000a_"/>
    <s v="1.63"/>
    <s v="SD"/>
    <s v="1.3.2.5.2"/>
    <s v="Prestadores de servicios de_x000a_salud Públicos con el módulo de_x000a_cáncer infantil de la Estrategia_x000a_AIEPI para la detección_x000a_temprana del cáncer en_x000a_menores de 18 años_x000a_implementado "/>
    <s v="Prestadores de servicios de_x000a_salud Públicos con el módulo de_x000a_cáncer infantil de la Estrategia_x000a_AIEPI para la detección_x000a_temprana del cáncer en_x000a_menores de 18 años_x000a_implementado "/>
    <m/>
    <n v="8"/>
    <s v="Incremento"/>
    <m/>
    <m/>
    <m/>
    <m/>
    <s v="SECRETARÍA DE SALUD"/>
    <n v="2"/>
    <n v="2"/>
    <n v="2"/>
    <n v="2"/>
    <n v="8"/>
    <b v="1"/>
    <n v="0"/>
    <n v="0"/>
    <n v="0"/>
    <n v="0"/>
    <n v="0"/>
    <n v="2"/>
    <n v="0"/>
    <n v="0"/>
    <m/>
    <n v="0"/>
    <n v="0"/>
    <n v="0"/>
    <m/>
    <m/>
    <m/>
    <n v="0"/>
    <n v="2"/>
    <n v="0"/>
    <m/>
    <m/>
    <m/>
    <n v="0"/>
    <m/>
    <m/>
    <m/>
    <m/>
    <m/>
    <m/>
    <m/>
    <m/>
    <m/>
    <m/>
    <m/>
    <m/>
    <m/>
    <m/>
    <m/>
    <m/>
    <m/>
    <m/>
    <m/>
    <m/>
    <m/>
    <m/>
    <m/>
    <m/>
    <m/>
  </r>
  <r>
    <n v="1"/>
    <s v="BOLIVAR PROGRESA, SUPERACIÓN DE LA POBREZA"/>
    <m/>
    <m/>
    <x v="2"/>
    <x v="2"/>
    <m/>
    <m/>
    <x v="6"/>
    <x v="6"/>
    <n v="0.22361111111111109"/>
    <n v="6.1111111111111109E-2"/>
    <s v="1.3.3.1"/>
    <s v="Mantener la tasa de mortalidad_x000a_ajustada por lesiones_x000a_autoinfligidas intencionalmente_x000a_en 4,70 por 100.000 habitantes o_x000a_menos"/>
    <s v="Mantener la tasa de mortalidad_x000a_ajustada por lesiones_x000a_autoinfligidas intencionalmente_x000a_en 4,70 por 100.000 habitantes o_x000a_menos"/>
    <s v="3.82"/>
    <s v="SD"/>
    <s v="1.3.3.1.1"/>
    <s v="Municipios con política de_x000a_salud mental y consumo de_x000a_sustancias psicoactivas_x000a_adoptada _x000a_"/>
    <s v="Municipios con política de_x000a_salud mental y consumo de_x000a_sustancias psicoactivas_x000a_adoptada y adaptada_x000a_"/>
    <m/>
    <n v="45"/>
    <s v="Incremento"/>
    <m/>
    <s v="SALUD"/>
    <s v="A.2"/>
    <m/>
    <s v="SECRETARÍA DE SALUD"/>
    <n v="15"/>
    <n v="15"/>
    <n v="10"/>
    <n v="5"/>
    <n v="45"/>
    <b v="1"/>
    <n v="0"/>
    <n v="0"/>
    <n v="0"/>
    <n v="0"/>
    <n v="0"/>
    <n v="15"/>
    <n v="0"/>
    <n v="0"/>
    <m/>
    <n v="0"/>
    <n v="0"/>
    <n v="0"/>
    <m/>
    <m/>
    <m/>
    <n v="0"/>
    <n v="15"/>
    <n v="0"/>
    <m/>
    <m/>
    <m/>
    <n v="0"/>
    <m/>
    <m/>
    <m/>
    <m/>
    <m/>
    <m/>
    <m/>
    <m/>
    <m/>
    <m/>
    <m/>
    <m/>
    <m/>
    <m/>
    <m/>
    <m/>
    <m/>
    <m/>
    <m/>
    <m/>
    <m/>
    <m/>
    <m/>
    <m/>
    <m/>
  </r>
  <r>
    <n v="1"/>
    <s v="BOLIVAR PROGRESA, SUPERACIÓN DE LA POBREZA"/>
    <m/>
    <m/>
    <x v="2"/>
    <x v="2"/>
    <m/>
    <m/>
    <x v="6"/>
    <x v="6"/>
    <m/>
    <m/>
    <s v="1.3.3.2"/>
    <s v="Reducir la tasa de incidencia de_x000a_violencia intrafamiliar a 19,80_x000a_por 100.000 habitantes"/>
    <s v="Reducir la tasa de incidencia de_x000a_violencia intrafamiliar a 19,80_x000a_por 100.000 habitantes"/>
    <s v="20.17"/>
    <s v="SD"/>
    <s v="1.3.3.2.1"/>
    <s v="ESE municipal con profesionales_x000a_de la salud y el área social_x000a_capacitados en guías y protocolos_x000a_asociados a la salud mental._x000a_"/>
    <s v="ESE municipal con profesionales_x000a_de la salud y el área social_x000a_capacitados en guías y protocolos_x000a_asociados a la salud mental._x000a_"/>
    <m/>
    <n v="45"/>
    <s v="Incremento"/>
    <m/>
    <s v="SALUD"/>
    <s v="A.2"/>
    <m/>
    <s v="SECRETARÍA DE SALUD"/>
    <n v="15"/>
    <n v="15"/>
    <n v="10"/>
    <n v="5"/>
    <n v="45"/>
    <b v="1"/>
    <n v="0"/>
    <n v="13"/>
    <n v="15"/>
    <n v="15"/>
    <n v="0.33333333333333331"/>
    <n v="15"/>
    <n v="0"/>
    <n v="13"/>
    <m/>
    <n v="15"/>
    <n v="1"/>
    <n v="15"/>
    <m/>
    <m/>
    <m/>
    <n v="0.33333333333333331"/>
    <n v="15"/>
    <n v="0"/>
    <m/>
    <m/>
    <m/>
    <n v="0"/>
    <m/>
    <m/>
    <m/>
    <m/>
    <m/>
    <m/>
    <m/>
    <m/>
    <m/>
    <m/>
    <m/>
    <m/>
    <m/>
    <m/>
    <m/>
    <m/>
    <m/>
    <m/>
    <m/>
    <m/>
    <m/>
    <m/>
    <m/>
    <m/>
    <m/>
  </r>
  <r>
    <n v="1"/>
    <s v="BOLIVAR PROGRESA, SUPERACIÓN DE LA POBREZA"/>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8"/>
    <s v="SD"/>
    <s v="1.3.3.3.1"/>
    <s v="  Municipios priorizados con_x000a_estrategias para la prevención del_x000a_consumo de sustancias_x000a_psicoactivas implementado."/>
    <s v="  Municipios priorizados con_x000a_estrategias para la prevención del_x000a_consumo de sustancias_x000a_psicoactivas implementado."/>
    <m/>
    <n v="12"/>
    <s v="Incremento"/>
    <m/>
    <s v="SALUD"/>
    <s v="A.2"/>
    <m/>
    <s v="SECRETARÍA DE SALUD"/>
    <n v="2"/>
    <n v="4"/>
    <n v="3"/>
    <n v="3"/>
    <n v="12"/>
    <b v="1"/>
    <n v="6"/>
    <n v="3"/>
    <n v="3"/>
    <n v="3"/>
    <n v="0.25"/>
    <n v="2"/>
    <n v="6"/>
    <n v="2"/>
    <m/>
    <n v="3"/>
    <n v="1"/>
    <n v="3"/>
    <m/>
    <m/>
    <m/>
    <n v="0.25"/>
    <n v="4"/>
    <m/>
    <m/>
    <m/>
    <m/>
    <n v="0"/>
    <m/>
    <m/>
    <m/>
    <m/>
    <m/>
    <m/>
    <m/>
    <m/>
    <m/>
    <m/>
    <m/>
    <m/>
    <m/>
    <m/>
    <m/>
    <m/>
    <m/>
    <m/>
    <m/>
    <m/>
    <m/>
    <m/>
    <m/>
    <m/>
    <m/>
  </r>
  <r>
    <n v="1"/>
    <s v="BOLIVAR PROGRESA, SUPERACIÓN DE LA POBREZA"/>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9"/>
    <s v="SD"/>
    <s v="1.3.3.3.2"/>
    <s v="Municipios asistidos_x000a_técnicamente a través de_x000a_estrategia de tele-orientación_x000a_para la atención psicológica_x000a_integral en el marco de la_x000a_pandemia de covid-19_x000a_"/>
    <s v="Municipios asistidos_x000a_técnicamente a través de_x000a_estrategia de tele-orientación_x000a_para la atención psicológica_x000a_integral en el marco de la_x000a_pandemia de covid-19_x000a_"/>
    <m/>
    <n v="45"/>
    <s v="Mantenimiento"/>
    <m/>
    <s v="SALUD"/>
    <s v="A.2"/>
    <m/>
    <s v="SECRETARÍA DE SALUD"/>
    <n v="45"/>
    <n v="45"/>
    <n v="45"/>
    <n v="45"/>
    <n v="180"/>
    <b v="0"/>
    <n v="45"/>
    <n v="45"/>
    <n v="45"/>
    <n v="45"/>
    <n v="1"/>
    <n v="45"/>
    <n v="45"/>
    <n v="45"/>
    <m/>
    <n v="45"/>
    <n v="1"/>
    <n v="14"/>
    <m/>
    <m/>
    <m/>
    <n v="0.31111111111111112"/>
    <n v="45"/>
    <n v="11"/>
    <m/>
    <m/>
    <m/>
    <n v="0.24444444444444444"/>
    <m/>
    <m/>
    <m/>
    <m/>
    <m/>
    <m/>
    <m/>
    <m/>
    <m/>
    <m/>
    <m/>
    <m/>
    <m/>
    <m/>
    <m/>
    <m/>
    <m/>
    <m/>
    <m/>
    <m/>
    <m/>
    <m/>
    <m/>
    <m/>
    <m/>
  </r>
  <r>
    <n v="1"/>
    <s v="BOLIVAR PROGRESA, SUPERACIÓN DE LA POBREZA"/>
    <m/>
    <m/>
    <x v="2"/>
    <x v="2"/>
    <m/>
    <m/>
    <x v="7"/>
    <x v="7"/>
    <n v="0.16396604938271606"/>
    <n v="7.407407407407407E-2"/>
    <s v="1.3.4.1"/>
    <s v="Mantener el porcentaje de_x000a_nacidos vivos con bajo peso al_x000a_nacer en 7,4% o menos"/>
    <s v="Mantener el porcentaje de_x000a_nacidos vivos con bajo peso al_x000a_nacer en 7,4% o menos"/>
    <s v="7.0"/>
    <s v="7.4"/>
    <s v="1.3.4.1.1"/>
    <s v="Municipios con la Estrategia_x000a_Instituciones Amigas de la Mujer y_x000a_la Infancia (IAMI) y el método_x000a_madre canguro implementado y_x000a_certificado"/>
    <s v="Municipios con la Estrategia_x000a_Instituciones Amigas de la Mujer y la Infancia (IAMI) y el método madre canguro implementado y certificado"/>
    <m/>
    <n v="5"/>
    <s v="Incremento"/>
    <m/>
    <s v="SALUD"/>
    <s v="A.2"/>
    <m/>
    <s v="SECRETARÍA DE SALUD"/>
    <m/>
    <n v="2"/>
    <n v="2"/>
    <n v="1"/>
    <n v="5"/>
    <b v="1"/>
    <n v="0"/>
    <n v="0"/>
    <n v="0"/>
    <n v="0"/>
    <n v="0"/>
    <m/>
    <m/>
    <m/>
    <m/>
    <m/>
    <s v="NP"/>
    <n v="0"/>
    <m/>
    <m/>
    <m/>
    <n v="0"/>
    <n v="2"/>
    <n v="0"/>
    <m/>
    <m/>
    <m/>
    <n v="0"/>
    <m/>
    <m/>
    <m/>
    <m/>
    <m/>
    <m/>
    <m/>
    <m/>
    <m/>
    <m/>
    <m/>
    <m/>
    <m/>
    <m/>
    <m/>
    <m/>
    <m/>
    <m/>
    <m/>
    <m/>
    <m/>
    <m/>
    <m/>
    <m/>
    <m/>
  </r>
  <r>
    <n v="1"/>
    <s v="BOLIVAR PROGRESA, SUPERACIÓN DE LA POBREZA"/>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1"/>
    <s v="Municipios con Grupos_x000a_Participativos Locales (Redes,_x000a_Veedurías) con capacidades para la_x000a_promoción de la participación_x000a_social y comunitaria en la_x000a_formulación, ejecución, "/>
    <s v="Municipios con Grupos_x000a_Participativos Locales (Redes, Veedurías) con capacidades para la_x000a_promoción de la participación social y comunitaria en la formulación, ejecución, "/>
    <m/>
    <n v="30"/>
    <s v="Incremento"/>
    <m/>
    <m/>
    <m/>
    <m/>
    <s v="SECRETARÍA DE SALUD"/>
    <n v="6"/>
    <n v="8"/>
    <n v="8"/>
    <n v="8"/>
    <n v="30"/>
    <b v="1"/>
    <n v="2"/>
    <n v="3"/>
    <n v="6"/>
    <n v="6"/>
    <n v="0.2"/>
    <n v="6"/>
    <n v="2"/>
    <n v="3"/>
    <m/>
    <n v="6"/>
    <n v="1"/>
    <n v="6"/>
    <m/>
    <m/>
    <m/>
    <n v="0.2"/>
    <n v="8"/>
    <m/>
    <m/>
    <m/>
    <m/>
    <n v="0"/>
    <m/>
    <m/>
    <m/>
    <m/>
    <m/>
    <m/>
    <m/>
    <m/>
    <m/>
    <m/>
    <m/>
    <m/>
    <m/>
    <m/>
    <m/>
    <m/>
    <m/>
    <m/>
    <m/>
    <m/>
    <m/>
    <m/>
    <m/>
    <m/>
    <m/>
  </r>
  <r>
    <n v="1"/>
    <s v="BOLIVAR PROGRESA, SUPERACIÓN DE LA POBREZA"/>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2"/>
    <s v="Municipios con lineamientos y_x000a_rutas de seguridad alimentaria y_x000a_nutricional - SAN socializados e_x000a_implementados"/>
    <s v="Municipios con lineamientos y_x000a_rutas de seguridad alimentaria y_x000a_nutricional - SAN socializados e_x000a_implementados"/>
    <m/>
    <n v="45"/>
    <s v="Mantenimiento"/>
    <m/>
    <m/>
    <m/>
    <m/>
    <s v="SECRETARÍA DE SALUD"/>
    <n v="45"/>
    <n v="45"/>
    <n v="45"/>
    <n v="45"/>
    <n v="180"/>
    <b v="0"/>
    <n v="45"/>
    <n v="45"/>
    <n v="45"/>
    <n v="45"/>
    <n v="1"/>
    <n v="45"/>
    <n v="45"/>
    <n v="45"/>
    <m/>
    <n v="45"/>
    <n v="1"/>
    <n v="11.25"/>
    <m/>
    <m/>
    <m/>
    <n v="0.25"/>
    <n v="45"/>
    <m/>
    <m/>
    <m/>
    <m/>
    <n v="0"/>
    <m/>
    <m/>
    <m/>
    <m/>
    <m/>
    <m/>
    <m/>
    <m/>
    <m/>
    <m/>
    <m/>
    <m/>
    <m/>
    <m/>
    <m/>
    <m/>
    <m/>
    <m/>
    <m/>
    <m/>
    <m/>
    <m/>
    <m/>
    <m/>
    <m/>
  </r>
  <r>
    <n v="1"/>
    <s v="BOLIVAR PROGRESA, SUPERACIÓN DE LA POBREZA"/>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3"/>
    <s v="Porcentaje de EAPB con_x000a_seguimiento en la disponibilidad y_x000a_capacidad resolutiva de la red de_x000a_prestadores de servicios para la_x000a_atención de la desnutrición en_x000a_población menor de 5 años y en las_x000a_gestantes._x000a_"/>
    <s v="Porcentaje de EAPB con_x000a_seguimiento en la disponibilidad y_x000a_capacidad resolutiva de la red de_x000a_prestadores de servicios para la_x000a_atención de la desnutrición en_x000a_población menor de 5 años y en las_x000a_gestantes._x000a_"/>
    <m/>
    <n v="100"/>
    <s v="Mantenimiento"/>
    <m/>
    <m/>
    <m/>
    <m/>
    <s v="SECRETARÍA DE SALUD"/>
    <n v="100"/>
    <n v="100"/>
    <n v="100"/>
    <n v="100"/>
    <n v="400"/>
    <b v="0"/>
    <n v="0"/>
    <n v="80"/>
    <n v="100"/>
    <n v="100"/>
    <n v="1"/>
    <n v="100"/>
    <n v="0"/>
    <n v="80"/>
    <m/>
    <n v="100"/>
    <n v="1"/>
    <n v="25"/>
    <m/>
    <m/>
    <m/>
    <n v="0.25"/>
    <n v="100"/>
    <m/>
    <m/>
    <m/>
    <m/>
    <n v="0"/>
    <m/>
    <m/>
    <m/>
    <m/>
    <m/>
    <m/>
    <m/>
    <m/>
    <m/>
    <m/>
    <m/>
    <m/>
    <m/>
    <m/>
    <m/>
    <m/>
    <m/>
    <m/>
    <m/>
    <m/>
    <m/>
    <m/>
    <m/>
    <m/>
    <m/>
  </r>
  <r>
    <n v="1"/>
    <s v="BOLIVAR PROGRESA, SUPERACIÓN DE LA POBREZA"/>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1"/>
    <s v="Porcentaje de Instituciones_x000a_educativas públicas con la_x000a_estrategia tiendas escolares_x000a_saludables adoptada e_x000a_implementada."/>
    <s v="Porcentaje de Instituciones_x000a_educativas públicas con la_x000a_estrategia tiendas escolares_x000a_saludables adoptada e_x000a_implementada."/>
    <m/>
    <n v="25"/>
    <s v="Incremento"/>
    <m/>
    <s v="SALUD"/>
    <s v="A.2"/>
    <m/>
    <s v="SECRETARÍA DE SALUD"/>
    <n v="7"/>
    <n v="7"/>
    <n v="8"/>
    <n v="7"/>
    <n v="29"/>
    <b v="0"/>
    <n v="0"/>
    <n v="0"/>
    <n v="0"/>
    <n v="0"/>
    <n v="0"/>
    <n v="7"/>
    <n v="0"/>
    <n v="0"/>
    <m/>
    <n v="0"/>
    <n v="0"/>
    <n v="0"/>
    <m/>
    <m/>
    <m/>
    <n v="0"/>
    <n v="7"/>
    <n v="0"/>
    <m/>
    <m/>
    <m/>
    <n v="0"/>
    <m/>
    <m/>
    <m/>
    <m/>
    <m/>
    <m/>
    <m/>
    <m/>
    <m/>
    <m/>
    <m/>
    <m/>
    <m/>
    <m/>
    <m/>
    <m/>
    <m/>
    <m/>
    <m/>
    <m/>
    <m/>
    <m/>
    <m/>
    <m/>
    <m/>
  </r>
  <r>
    <n v="1"/>
    <s v="BOLIVAR PROGRESA, SUPERACIÓN DE LA POBREZA"/>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2"/>
    <s v="Municipios con estrategia masiva_x000a_de desparasitación antihelmíntica_x000a_ejecutada."/>
    <s v="Municipios con estrategia masiva de desparasitación antihelmíntica ejecutada."/>
    <m/>
    <n v="12"/>
    <s v="Incremento"/>
    <m/>
    <s v="SALUD"/>
    <s v="A.2"/>
    <m/>
    <s v="SECRETARÍA DE SALUD"/>
    <n v="3"/>
    <n v="12"/>
    <n v="3"/>
    <n v="3"/>
    <n v="21"/>
    <b v="0"/>
    <n v="0"/>
    <n v="0"/>
    <n v="0"/>
    <n v="0"/>
    <n v="0"/>
    <n v="3"/>
    <n v="0"/>
    <n v="0"/>
    <m/>
    <n v="0"/>
    <n v="0"/>
    <n v="0"/>
    <m/>
    <m/>
    <m/>
    <n v="0"/>
    <n v="12"/>
    <n v="0"/>
    <m/>
    <m/>
    <m/>
    <n v="0"/>
    <m/>
    <m/>
    <m/>
    <m/>
    <m/>
    <m/>
    <m/>
    <m/>
    <m/>
    <m/>
    <m/>
    <m/>
    <m/>
    <m/>
    <m/>
    <m/>
    <m/>
    <m/>
    <m/>
    <m/>
    <m/>
    <m/>
    <m/>
    <m/>
    <m/>
  </r>
  <r>
    <n v="1"/>
    <s v="BOLIVAR PROGRESA, SUPERACIÓN DE LA POBREZA"/>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1"/>
    <s v="Municipios (cabeceras y_x000a_corregimientos) con tiendas y_x000a_supermercados con acciones de_x000a_IVC bajo el enfoque de riesgo_x000a_ejecutadas."/>
    <s v="Municipios (cabeceras y_x000a_corregimientos) con tiendas y supermercados con acciones de IVC bajo el enfoque de riesgo_x000a_ejecutadas."/>
    <m/>
    <n v="45"/>
    <s v="Mantenimiento"/>
    <m/>
    <s v="SALUD"/>
    <s v="A.2"/>
    <m/>
    <s v="SECRETARÍA DE SALUD"/>
    <n v="45"/>
    <n v="45"/>
    <n v="45"/>
    <n v="45"/>
    <n v="180"/>
    <b v="0"/>
    <n v="9"/>
    <n v="9"/>
    <n v="27"/>
    <n v="27"/>
    <n v="0.6"/>
    <n v="45"/>
    <n v="9"/>
    <n v="9"/>
    <m/>
    <n v="27"/>
    <n v="0.6"/>
    <n v="6.75"/>
    <m/>
    <m/>
    <m/>
    <n v="0.15"/>
    <n v="45"/>
    <n v="0"/>
    <m/>
    <m/>
    <m/>
    <n v="0"/>
    <m/>
    <m/>
    <m/>
    <m/>
    <m/>
    <m/>
    <m/>
    <m/>
    <m/>
    <m/>
    <m/>
    <m/>
    <m/>
    <m/>
    <m/>
    <m/>
    <m/>
    <m/>
    <m/>
    <m/>
    <m/>
    <m/>
    <m/>
    <m/>
    <m/>
  </r>
  <r>
    <n v="1"/>
    <s v="BOLIVAR PROGRESA, SUPERACIÓN DE LA POBREZA"/>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2"/>
    <s v="Municipios con acciones de IVC_x000a_para el transporte de alimentos_x000a_(puestos de control) bajo el_x000a_enfoque de riesgo ejecutadas"/>
    <s v="Municipios con acciones de IVC para el transporte de alimentos (puestos de control) bajo el_x000a_enfoque de riesgo ejecutadas"/>
    <m/>
    <n v="24"/>
    <s v="Mantenimiento"/>
    <m/>
    <s v="SALUD"/>
    <s v="A.2"/>
    <m/>
    <s v="SECRETARÍA DE SALUD"/>
    <n v="12"/>
    <n v="12"/>
    <n v="12"/>
    <n v="12"/>
    <n v="48"/>
    <b v="0"/>
    <n v="0"/>
    <n v="0"/>
    <n v="3"/>
    <n v="3"/>
    <n v="0.125"/>
    <n v="12"/>
    <n v="0"/>
    <n v="0"/>
    <m/>
    <n v="3"/>
    <n v="0.25"/>
    <n v="2.75"/>
    <m/>
    <m/>
    <m/>
    <n v="0.11458333333333333"/>
    <n v="12"/>
    <n v="8"/>
    <m/>
    <m/>
    <m/>
    <n v="0.66666666666666663"/>
    <m/>
    <m/>
    <m/>
    <m/>
    <m/>
    <m/>
    <m/>
    <m/>
    <m/>
    <m/>
    <m/>
    <m/>
    <m/>
    <m/>
    <m/>
    <m/>
    <m/>
    <m/>
    <m/>
    <m/>
    <m/>
    <m/>
    <m/>
    <m/>
    <m/>
  </r>
  <r>
    <n v="1"/>
    <s v="BOLIVAR PROGRESA, SUPERACIÓN DE LA POBREZA"/>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3"/>
    <s v="Municipios con acciones de IVC a_x000a_los establecimientos_x000a_gastronómicos bajo el enfoque_x000a_de riesgo ejecutadas."/>
    <s v="Municipios con acciones de IVC a los establecimientos_x000a_gastronómicos bajo el enfoque de riesgo ejecutadas."/>
    <m/>
    <n v="45"/>
    <s v="Incremento"/>
    <m/>
    <s v="SALUD"/>
    <s v="A.2"/>
    <m/>
    <s v="SECRETARÍA DE SALUD"/>
    <n v="45"/>
    <n v="45"/>
    <n v="45"/>
    <n v="45"/>
    <n v="180"/>
    <b v="0"/>
    <n v="9"/>
    <n v="9"/>
    <n v="23"/>
    <n v="23"/>
    <n v="0.51111111111111107"/>
    <n v="45"/>
    <n v="9"/>
    <n v="9"/>
    <m/>
    <n v="23"/>
    <n v="0.51111111111111107"/>
    <n v="23"/>
    <m/>
    <m/>
    <m/>
    <n v="0.51111111111111107"/>
    <n v="45"/>
    <n v="0"/>
    <m/>
    <m/>
    <m/>
    <n v="0"/>
    <m/>
    <m/>
    <m/>
    <m/>
    <m/>
    <m/>
    <m/>
    <m/>
    <m/>
    <m/>
    <m/>
    <m/>
    <m/>
    <m/>
    <m/>
    <m/>
    <m/>
    <m/>
    <m/>
    <m/>
    <m/>
    <m/>
    <m/>
    <m/>
    <m/>
  </r>
  <r>
    <n v="1"/>
    <s v="BOLIVAR PROGRESA, SUPERACIÓN DE LA POBREZA"/>
    <m/>
    <m/>
    <x v="2"/>
    <x v="2"/>
    <m/>
    <m/>
    <x v="8"/>
    <x v="8"/>
    <n v="0.62916666666666676"/>
    <n v="0.11851851851851848"/>
    <s v="1.3.5.1"/>
    <s v="Mantener la razón de_x000a_mortalidad materna a 42 días_x000a_en 45,29 muertes por 100.000_x000a_nacidos vivos o menos"/>
    <s v="Mantener la razón de_x000a_mortalidad materna a 42 días_x000a_en 45,29 muertes por 100.000_x000a_nacidos vivos o menos"/>
    <s v="41.58"/>
    <s v="41.58"/>
    <s v="1.3.5.1.1"/>
    <s v="Porcentaje de entidades_x000a_territoriales que cuenta con al_x000a_menos 1 espacio transectorial y_x000a_comunitario que coordinará la_x000a_promoción y garantía de los_x000a_derechos sexuales y_x000a_reproductivos"/>
    <s v="Porcentaje de entidades_x000a_territoriales que cuenta con al menos 1 espacio transectorial y comunitario que coordinará la promoción y garantía de los derechos sexuales y reproductivos"/>
    <m/>
    <n v="80"/>
    <s v="Incremento"/>
    <m/>
    <s v="SALUD"/>
    <s v="A.2"/>
    <m/>
    <s v="SECRETARÍA DE SALUD"/>
    <n v="72"/>
    <n v="36"/>
    <n v="78"/>
    <n v="80"/>
    <n v="266"/>
    <b v="0"/>
    <n v="71.099999999999994"/>
    <m/>
    <m/>
    <n v="72"/>
    <n v="0.9"/>
    <n v="72"/>
    <n v="31"/>
    <m/>
    <m/>
    <n v="72"/>
    <n v="1"/>
    <n v="73"/>
    <m/>
    <m/>
    <m/>
    <n v="0.91249999999999998"/>
    <n v="36"/>
    <n v="1"/>
    <m/>
    <m/>
    <m/>
    <n v="2.7777777777777776E-2"/>
    <m/>
    <m/>
    <m/>
    <m/>
    <m/>
    <m/>
    <m/>
    <m/>
    <m/>
    <m/>
    <m/>
    <m/>
    <m/>
    <m/>
    <m/>
    <m/>
    <m/>
    <m/>
    <m/>
    <m/>
    <m/>
    <m/>
    <m/>
    <m/>
    <m/>
  </r>
  <r>
    <n v="1"/>
    <s v="BOLIVAR PROGRESA, SUPERACIÓN DE LA POBREZA"/>
    <m/>
    <m/>
    <x v="2"/>
    <x v="2"/>
    <m/>
    <m/>
    <x v="8"/>
    <x v="8"/>
    <m/>
    <m/>
    <s v="1.3.5.3"/>
    <s v="Disminuir el porcentaje de_x000a_embarazo adolescente de 15 a_x000a_19 años a 25% por nacidos_x000a_vivos"/>
    <s v="Disminuir el porcentaje de_x000a_embarazo adolescente de 15 a_x000a_19 años a 25% por nacidos_x000a_vivos"/>
    <s v="26.34"/>
    <s v="26.34"/>
    <s v="1.3.5.3.1"/>
    <s v="Municipios con servicios_x000a_integrales en salud sexual y_x000a_reproductiva dirigidos a la_x000a_población de adolescentes y_x000a_jóvenes (12 a 28 años)_x000a_implementados_x000a_"/>
    <s v="Municipios con servicios_x000a_integrales en salud sexual y_x000a_reproductiva dirigidos a la_x000a_población de adolescentes y_x000a_jóvenes (12 a 28 años)_x000a_implementados_x000a_"/>
    <m/>
    <n v="40"/>
    <s v="Incremento"/>
    <m/>
    <s v="SALUD"/>
    <s v="A.2"/>
    <m/>
    <s v="SECRETARÍA DE SALUD"/>
    <n v="5"/>
    <n v="10"/>
    <n v="5"/>
    <n v="5"/>
    <n v="25"/>
    <b v="0"/>
    <n v="1"/>
    <n v="2"/>
    <n v="5"/>
    <n v="5"/>
    <n v="0.125"/>
    <n v="5"/>
    <n v="1"/>
    <n v="1"/>
    <m/>
    <n v="5"/>
    <n v="1"/>
    <n v="8"/>
    <m/>
    <m/>
    <m/>
    <n v="0.2"/>
    <n v="10"/>
    <n v="3"/>
    <m/>
    <m/>
    <m/>
    <n v="0.3"/>
    <m/>
    <m/>
    <m/>
    <m/>
    <m/>
    <m/>
    <m/>
    <m/>
    <m/>
    <m/>
    <m/>
    <m/>
    <m/>
    <m/>
    <m/>
    <m/>
    <m/>
    <m/>
    <m/>
    <m/>
    <m/>
    <m/>
    <m/>
    <m/>
    <m/>
  </r>
  <r>
    <n v="1"/>
    <s v="BOLIVAR PROGRESA, SUPERACIÓN DE LA POBREZA"/>
    <m/>
    <m/>
    <x v="2"/>
    <x v="2"/>
    <m/>
    <m/>
    <x v="8"/>
    <x v="8"/>
    <m/>
    <m/>
    <s v="1.3.5.4"/>
    <s v="Disminuir la tasa de_x000a_Fecundidad 10 a 14 Años a_x000a_2.11 nacidos vivos por cada_x000a_mil mujeres de 10 a 14 años"/>
    <s v="Disminuir la tasa de_x000a_Fecundidad 10 a 14 Años a_x000a_2.11 nacidos vivos por cada_x000a_mil mujeres de 10 a 14 años"/>
    <n v="3.87"/>
    <s v="3.87"/>
    <s v="1.3.5.4.1 "/>
    <s v="Municipios con la ruta de atención_x000a_integral a víctimas de la violencia_x000a_sexual establecida"/>
    <s v="Municipios con la ruta de atención_x000a_integral a víctimas de la violencia_x000a_sexual establecida"/>
    <m/>
    <n v="32"/>
    <s v="Incremento"/>
    <m/>
    <s v="SALUD"/>
    <s v="A.2"/>
    <m/>
    <s v="SECRETARÍA DE SALUD"/>
    <n v="8"/>
    <n v="8"/>
    <n v="8"/>
    <n v="8"/>
    <n v="32"/>
    <b v="1"/>
    <n v="1"/>
    <n v="5"/>
    <n v="8"/>
    <n v="8"/>
    <n v="0.25"/>
    <n v="8"/>
    <n v="1"/>
    <n v="8"/>
    <m/>
    <n v="8"/>
    <n v="1"/>
    <n v="10"/>
    <m/>
    <m/>
    <m/>
    <n v="0.3125"/>
    <n v="8"/>
    <n v="2"/>
    <m/>
    <m/>
    <m/>
    <n v="0.25"/>
    <m/>
    <m/>
    <m/>
    <m/>
    <m/>
    <m/>
    <m/>
    <m/>
    <m/>
    <m/>
    <m/>
    <m/>
    <m/>
    <m/>
    <m/>
    <m/>
    <m/>
    <m/>
    <m/>
    <m/>
    <m/>
    <m/>
    <m/>
    <m/>
    <m/>
  </r>
  <r>
    <n v="1"/>
    <s v="BOLIVAR PROGRESA, SUPERACIÓN DE LA POBREZA"/>
    <m/>
    <m/>
    <x v="2"/>
    <x v="2"/>
    <m/>
    <m/>
    <x v="8"/>
    <x v="8"/>
    <m/>
    <m/>
    <s v="1.3.5.5"/>
    <s v="Mantener la tasa de_x000a_incidencia de VIH notificado_x000a_en 14,45 por 100.000_x000a_habitantes o menos"/>
    <s v="Mantener la tasa de_x000a_incidencia de VIH notificado_x000a_en 14,45 por 100.000_x000a_habitantes o menos"/>
    <n v="14.45"/>
    <m/>
    <s v="1.3.5.5.1"/>
    <s v="45 Municipios asistidos y acompañados en la Estrategia para la prevención de las ITS-VIH/SIDA, funcionando de acuerdo con los criterios del Ministerio de Salud."/>
    <s v="45 Municipios asistidos y acompañados en la Estrategia para la prevención de las ITS-VIH/SIDA, funcionando de acuerdo con los criterios del Ministerio de Salud."/>
    <m/>
    <n v="45"/>
    <s v="Mantenimiento"/>
    <m/>
    <s v="SALUD"/>
    <s v="A.2"/>
    <m/>
    <s v="SECRETARÍA DE SALUD"/>
    <n v="45"/>
    <n v="45"/>
    <n v="45"/>
    <n v="45"/>
    <n v="180"/>
    <b v="0"/>
    <n v="45"/>
    <n v="45"/>
    <n v="45"/>
    <n v="45"/>
    <n v="1"/>
    <n v="45"/>
    <n v="45"/>
    <n v="45"/>
    <m/>
    <n v="45"/>
    <n v="1"/>
    <n v="11.75"/>
    <m/>
    <m/>
    <m/>
    <n v="0.26111111111111113"/>
    <n v="45"/>
    <n v="2"/>
    <m/>
    <m/>
    <m/>
    <n v="4.4444444444444446E-2"/>
    <m/>
    <m/>
    <m/>
    <m/>
    <m/>
    <m/>
    <m/>
    <m/>
    <m/>
    <m/>
    <m/>
    <m/>
    <m/>
    <m/>
    <m/>
    <m/>
    <m/>
    <m/>
    <m/>
    <m/>
    <m/>
    <m/>
    <m/>
    <m/>
    <m/>
  </r>
  <r>
    <n v="1"/>
    <s v="BOLIVAR PROGRESA, SUPERACIÓN DE LA POBREZA"/>
    <m/>
    <m/>
    <x v="2"/>
    <x v="2"/>
    <m/>
    <m/>
    <x v="8"/>
    <x v="8"/>
    <m/>
    <m/>
    <s v="1.3.5.6"/>
    <s v="Mantener el porcentaje de_x000a_transmisión materno infantil_x000a_de VIH igual e inferior 2%_x000a_"/>
    <s v="Mantener el porcentaje de_x000a_transmisión materno infantil_x000a_de VIH igual e inferior 2%_x000a_"/>
    <n v="0"/>
    <m/>
    <s v="1.3.5.6.1"/>
    <s v="45 Municipios asistidos y acompañados en la Estrategia para la prevención de transmisión materno-infantil del VIH, funcionando, de acuerdo con los criterios del Ministerio de Salud."/>
    <s v="45 Municipios asistidos y acompañados en la Estrategia para la prevención de transmisión materno-infantil del VIH, funcionando, de acuerdo con los criterios del Ministerio de Salud."/>
    <m/>
    <n v="45"/>
    <s v="Incremento"/>
    <m/>
    <s v="SALUD"/>
    <s v="A.2"/>
    <m/>
    <s v="SECRETARÍA DE SALUD"/>
    <n v="10"/>
    <n v="45"/>
    <n v="20"/>
    <n v="20"/>
    <n v="95"/>
    <b v="0"/>
    <n v="45"/>
    <n v="45"/>
    <n v="45"/>
    <n v="45"/>
    <n v="1"/>
    <n v="10"/>
    <n v="45"/>
    <n v="10"/>
    <m/>
    <n v="45"/>
    <n v="1"/>
    <n v="47"/>
    <m/>
    <m/>
    <m/>
    <n v="1.0444444444444445"/>
    <n v="45"/>
    <n v="2"/>
    <m/>
    <m/>
    <m/>
    <n v="4.4444444444444446E-2"/>
    <m/>
    <m/>
    <m/>
    <m/>
    <m/>
    <m/>
    <m/>
    <m/>
    <m/>
    <m/>
    <m/>
    <m/>
    <m/>
    <m/>
    <m/>
    <m/>
    <m/>
    <m/>
    <m/>
    <m/>
    <m/>
    <m/>
    <m/>
    <m/>
    <m/>
  </r>
  <r>
    <n v="1"/>
    <s v="BOLIVAR PROGRESA, SUPERACIÓN DE LA POBREZA"/>
    <m/>
    <m/>
    <x v="2"/>
    <x v="2"/>
    <m/>
    <m/>
    <x v="8"/>
    <x v="8"/>
    <m/>
    <m/>
    <s v="1.3.5.7"/>
    <s v="Disminuir la tasa de incidencia_x000a_de sífilis congénita a 1,0 por_x000a_1.000 nacidos vivos"/>
    <s v="Disminuir la tasa de incidencia_x000a_de sífilis congénita a 1,0 por_x000a_1.000 nacidos vivos"/>
    <n v="1.96"/>
    <n v="50"/>
    <s v="1.3.5.7.1"/>
    <s v="45 Municipios asistidos y acompañados en la Estrategia para la prevención de transmisión materno-infantil de la sífilis gestacional, funcionando en 37 municipios"/>
    <s v="45 Municipios asistidos y acompañados en la Estrategia para la prevención de transmisión materno-infantil de la sífilis gestacional, funcionando en 37 municipios"/>
    <m/>
    <n v="45"/>
    <s v="Incremento"/>
    <m/>
    <s v="SALUD"/>
    <s v="A.2"/>
    <m/>
    <s v="SECRETARÍA DE SALUD"/>
    <n v="10"/>
    <n v="45"/>
    <n v="20"/>
    <n v="20"/>
    <n v="95"/>
    <b v="0"/>
    <n v="45"/>
    <n v="45"/>
    <n v="45"/>
    <n v="45"/>
    <n v="1"/>
    <n v="10"/>
    <n v="45"/>
    <n v="10"/>
    <m/>
    <n v="45"/>
    <n v="1"/>
    <n v="47"/>
    <m/>
    <m/>
    <m/>
    <n v="1.0444444444444445"/>
    <n v="45"/>
    <n v="2"/>
    <m/>
    <m/>
    <m/>
    <n v="4.4444444444444446E-2"/>
    <m/>
    <m/>
    <m/>
    <m/>
    <m/>
    <m/>
    <m/>
    <m/>
    <m/>
    <m/>
    <m/>
    <m/>
    <m/>
    <m/>
    <m/>
    <m/>
    <m/>
    <m/>
    <m/>
    <m/>
    <m/>
    <m/>
    <m/>
    <m/>
    <m/>
  </r>
  <r>
    <n v="1"/>
    <s v="BOLIVAR PROGRESA, SUPERACIÓN DE LA POBREZA"/>
    <m/>
    <m/>
    <x v="2"/>
    <x v="2"/>
    <m/>
    <m/>
    <x v="9"/>
    <x v="9"/>
    <n v="0.48444444444444451"/>
    <n v="0.35833333333333334"/>
    <s v="1.3.6.1"/>
    <s v="Mantener la tasa de_x000a_mortalidad por tuberculosis_x000a_en 1,32 por 100.000_x000a_habitantes o menos"/>
    <s v="Mantener la tasa de_x000a_mortalidad por tuberculosis_x000a_en 1,32 por 100.000_x000a_habitantes o menos"/>
    <s v="1.32"/>
    <n v="1.32"/>
    <s v="1.3.6.1.1"/>
    <s v="Municipios con desarrollo de_x000a_capacidades para la_x000a_implementación del plan_x000a_estratégico “hacia el fin de la_x000a_tuberculosis” "/>
    <s v="Municipios con desarrollo de_x000a_capacidades para la implementación del plan_x000a_estratégico “hacia el fin de la tuberculosis” "/>
    <m/>
    <n v="45"/>
    <s v="Mantenimiento"/>
    <m/>
    <s v="SALUD"/>
    <s v="A.2"/>
    <m/>
    <s v="SECRETARÍA DE SALUD"/>
    <n v="45"/>
    <n v="45"/>
    <n v="45"/>
    <n v="45"/>
    <n v="180"/>
    <b v="0"/>
    <n v="12"/>
    <n v="23"/>
    <n v="45"/>
    <n v="45"/>
    <n v="1"/>
    <n v="45"/>
    <n v="12"/>
    <n v="23"/>
    <m/>
    <n v="45"/>
    <n v="1"/>
    <n v="11.25"/>
    <m/>
    <m/>
    <m/>
    <n v="0.25"/>
    <n v="45"/>
    <n v="0"/>
    <m/>
    <m/>
    <m/>
    <n v="0"/>
    <m/>
    <m/>
    <m/>
    <m/>
    <m/>
    <m/>
    <m/>
    <m/>
    <m/>
    <m/>
    <m/>
    <m/>
    <m/>
    <m/>
    <m/>
    <m/>
    <m/>
    <m/>
    <m/>
    <m/>
    <m/>
    <m/>
    <m/>
    <m/>
    <m/>
  </r>
  <r>
    <n v="1"/>
    <s v="BOLIVAR PROGRESA, SUPERACIÓN DE LA POBREZA"/>
    <m/>
    <m/>
    <x v="2"/>
    <x v="2"/>
    <m/>
    <m/>
    <x v="9"/>
    <x v="9"/>
    <m/>
    <m/>
    <s v="1.3.6.2"/>
    <s v="Reducir la tasa de_x000a_discapacidad grado II por_x000a_Enfermedad de Hansen a 1,1_x000a_por 1.000.000 de habitantes"/>
    <s v="Reducir la tasa de_x000a_discapacidad grado II por_x000a_Enfermedad de Hansen a 1,1_x000a_por 1.000.000 de habitantes"/>
    <s v="1.8"/>
    <n v="1.1000000000000001"/>
    <s v="1.3.6.2.1"/>
    <s v="Municipios con desarrollo de_x000a_capacidades para la_x000a_implementación del plan_x000a_estratégico de prevención y_x000a_control de la enfermedad de_x000a_Hansen "/>
    <s v="Municipios con desarrollo de_x000a_capacidades para la_x000a_implementación del plan_x000a_estratégico de prevención y_x000a_control de la enfermedad de_x000a_Hansen "/>
    <m/>
    <n v="45"/>
    <s v="Mantenimiento"/>
    <m/>
    <s v="SALUD"/>
    <s v="A.2"/>
    <m/>
    <s v="SECRETARÍA DE SALUD"/>
    <n v="45"/>
    <n v="45"/>
    <n v="45"/>
    <n v="6"/>
    <n v="141"/>
    <b v="0"/>
    <n v="12"/>
    <n v="27"/>
    <n v="45"/>
    <n v="45"/>
    <n v="1"/>
    <n v="45"/>
    <n v="12"/>
    <n v="27"/>
    <m/>
    <n v="45"/>
    <n v="1"/>
    <n v="11.25"/>
    <m/>
    <m/>
    <m/>
    <n v="0.25"/>
    <n v="45"/>
    <n v="0"/>
    <m/>
    <m/>
    <m/>
    <n v="0"/>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1"/>
    <s v="Municipios con capacidades_x000a_fortalecidas para el cumplimiento_x000a_de las normas técnicas y_x000a_lineamientos del programa_x000a_ampliado de inmunizaciones"/>
    <s v="Municipios con capacidades_x000a_fortalecidas para el cumplimiento_x000a_de las normas técnicas y_x000a_lineamientos del programa_x000a_ampliado de inmunizaciones"/>
    <m/>
    <n v="45"/>
    <s v="Mantenimiento"/>
    <m/>
    <s v="SALUD"/>
    <s v="A.2"/>
    <m/>
    <s v="SECRETARÍA DE SALUD"/>
    <n v="45"/>
    <n v="45"/>
    <n v="45"/>
    <n v="45"/>
    <n v="180"/>
    <b v="0"/>
    <n v="45"/>
    <n v="45"/>
    <n v="45"/>
    <n v="45"/>
    <n v="1"/>
    <n v="45"/>
    <n v="45"/>
    <n v="45"/>
    <m/>
    <n v="45"/>
    <n v="1"/>
    <n v="22.5"/>
    <m/>
    <m/>
    <m/>
    <n v="0.5"/>
    <n v="45"/>
    <n v="45"/>
    <m/>
    <m/>
    <m/>
    <n v="1"/>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2"/>
    <s v="Aseguradores con capacidades_x000a_desarrolladas para la ejecución de_x000a_planes de seguimiento del_x000a_programa ampliado de_x000a_inmunizaciones"/>
    <s v="Aseguradores con capacidades_x000a_desarrolladas para la ejecución de_x000a_planes de seguimiento del_x000a_programa ampliado de_x000a_inmunizaciones"/>
    <m/>
    <n v="10"/>
    <s v="Incremento"/>
    <m/>
    <s v="SALUD"/>
    <s v="A.2"/>
    <m/>
    <s v="SECRETARÍA DE SALUD"/>
    <n v="10"/>
    <n v="10"/>
    <n v="10"/>
    <n v="10"/>
    <n v="40"/>
    <b v="0"/>
    <n v="10"/>
    <n v="10"/>
    <n v="10"/>
    <n v="10"/>
    <n v="1"/>
    <n v="10"/>
    <n v="10"/>
    <n v="10"/>
    <m/>
    <n v="10"/>
    <n v="1"/>
    <n v="20"/>
    <m/>
    <m/>
    <m/>
    <n v="2"/>
    <n v="10"/>
    <n v="10"/>
    <m/>
    <m/>
    <m/>
    <n v="1"/>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3"/>
    <s v="Municipios con IPS vacunadoras_x000a_con capacidades fortalecidas para_x000a_la implementación del Sistema de_x000a_Información Nominal del PAI_x000a_"/>
    <s v="Municipios con IPS vacunadoras_x000a_con capacidades fortalecidas para_x000a_la implementación del Sistema de_x000a_Información Nominal del PAI_x000a_"/>
    <m/>
    <n v="45"/>
    <s v="Mantenimiento"/>
    <m/>
    <m/>
    <m/>
    <m/>
    <s v="SECRETARÍA DE SALUD"/>
    <n v="45"/>
    <n v="45"/>
    <n v="45"/>
    <n v="45"/>
    <n v="180"/>
    <b v="0"/>
    <n v="45"/>
    <n v="45"/>
    <n v="45"/>
    <n v="45"/>
    <n v="1"/>
    <n v="45"/>
    <n v="45"/>
    <n v="45"/>
    <m/>
    <n v="45"/>
    <n v="1"/>
    <n v="15"/>
    <m/>
    <m/>
    <m/>
    <n v="0.33333333333333331"/>
    <n v="45"/>
    <n v="15"/>
    <m/>
    <m/>
    <m/>
    <n v="0.33333333333333331"/>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85.2"/>
    <s v="1.3.6.3.4"/>
    <s v="Red de frío departamental_x000a_adecuada para el_x000a_almacenamiento, conservación y_x000a_distribución de biológicos"/>
    <s v="Red de frío departamental_x000a_adecuada para el_x000a_almacenamiento, conservación y_x000a_distribución de biológicos"/>
    <m/>
    <n v="1"/>
    <s v="Mantenimiento"/>
    <m/>
    <s v="SALUD"/>
    <s v="A.2"/>
    <m/>
    <s v="SECRETARÍA DE SALUD"/>
    <n v="1"/>
    <n v="1"/>
    <n v="1"/>
    <n v="1"/>
    <n v="4"/>
    <b v="0"/>
    <n v="1"/>
    <n v="1"/>
    <n v="1"/>
    <n v="1"/>
    <n v="1"/>
    <n v="1"/>
    <n v="1"/>
    <n v="1"/>
    <m/>
    <n v="1"/>
    <n v="1"/>
    <n v="0.5"/>
    <m/>
    <m/>
    <m/>
    <n v="0.5"/>
    <n v="1"/>
    <n v="1"/>
    <m/>
    <m/>
    <m/>
    <n v="1"/>
    <m/>
    <m/>
    <m/>
    <m/>
    <m/>
    <m/>
    <m/>
    <m/>
    <m/>
    <m/>
    <m/>
    <m/>
    <m/>
    <m/>
    <m/>
    <m/>
    <m/>
    <m/>
    <m/>
    <m/>
    <m/>
    <m/>
    <m/>
    <m/>
    <m/>
  </r>
  <r>
    <n v="1"/>
    <s v="BOLIVAR PROGRESA, SUPERACIÓN DE LA POBREZA"/>
    <m/>
    <m/>
    <x v="2"/>
    <x v="2"/>
    <m/>
    <m/>
    <x v="9"/>
    <x v="9"/>
    <m/>
    <m/>
    <s v="1.3.6.4"/>
    <s v="Disminuir la letalidad por_x000a_dengue grave a 2%"/>
    <s v="Disminuir la letalidad por_x000a_dengue grave a 2%"/>
    <s v="6.67"/>
    <n v="2"/>
    <s v="1.3.6.4.1"/>
    <s v="IPS Públicas con talento humano_x000a_capacitado para la atención con_x000a_calidad a pacientes con_x000a_Enfermedades trasmitidas por_x000a_vectores "/>
    <s v="IPS Públicas con talento humano_x000a_capacitado para la atención con_x000a_calidad a pacientes con_x000a_Enfermedades trasmitidas por_x000a_vectores y zoonosis"/>
    <m/>
    <n v="46"/>
    <s v="Mantenimiento"/>
    <m/>
    <s v="SALUD"/>
    <s v="A.2"/>
    <m/>
    <s v="SECRETARÍA DE SALUD"/>
    <n v="46"/>
    <n v="46"/>
    <n v="46"/>
    <n v="46"/>
    <n v="184"/>
    <b v="0"/>
    <n v="14"/>
    <n v="23"/>
    <n v="46"/>
    <n v="46"/>
    <n v="1"/>
    <n v="46"/>
    <n v="14"/>
    <n v="23"/>
    <m/>
    <n v="46"/>
    <n v="1"/>
    <n v="11.5"/>
    <m/>
    <m/>
    <m/>
    <n v="0.25"/>
    <n v="46"/>
    <m/>
    <m/>
    <m/>
    <m/>
    <n v="0"/>
    <m/>
    <m/>
    <m/>
    <m/>
    <m/>
    <m/>
    <m/>
    <m/>
    <m/>
    <m/>
    <m/>
    <m/>
    <m/>
    <m/>
    <m/>
    <m/>
    <m/>
    <m/>
    <m/>
    <m/>
    <m/>
    <m/>
    <m/>
    <m/>
    <m/>
  </r>
  <r>
    <n v="1"/>
    <s v="BOLIVAR PROGRESA, SUPERACIÓN DE LA POBREZA"/>
    <m/>
    <m/>
    <x v="2"/>
    <x v="2"/>
    <m/>
    <m/>
    <x v="9"/>
    <x v="9"/>
    <m/>
    <m/>
    <s v="1.3.6.5"/>
    <s v="Disminuir la letalidad por_x000a_Leishmaniasis a 13,4%"/>
    <s v="Disminuir la letalidad por_x000a_Leishmaniasis a 13,4%"/>
    <s v="16.67"/>
    <n v="13.4"/>
    <s v="1.3.6.5.1"/>
    <s v="Municipios con focos de caracterizacion de leishmaniasis con acciones sostenidas de promocion y prevencion implementadas"/>
    <s v="Municipios con capacidades_x000a_desarrolladas para la_x000a_implementación de acciones_x000a_regulares para la prevención de_x000a_Enfermedades Transmitidas por_x000a_vectores y zoonosis"/>
    <m/>
    <n v="45"/>
    <s v="Mantenimiento"/>
    <m/>
    <s v="SALUD"/>
    <s v="A.2"/>
    <m/>
    <s v="SECRETARÍA DE SALUD"/>
    <n v="45"/>
    <n v="8"/>
    <n v="45"/>
    <n v="45"/>
    <n v="143"/>
    <b v="0"/>
    <n v="10"/>
    <n v="23"/>
    <n v="45"/>
    <n v="45"/>
    <n v="1"/>
    <n v="45"/>
    <n v="10"/>
    <n v="23"/>
    <m/>
    <n v="45"/>
    <n v="1"/>
    <n v="11.75"/>
    <m/>
    <m/>
    <m/>
    <n v="0.26111111111111113"/>
    <n v="8"/>
    <n v="2"/>
    <m/>
    <m/>
    <m/>
    <n v="0.25"/>
    <m/>
    <m/>
    <m/>
    <m/>
    <m/>
    <m/>
    <m/>
    <m/>
    <m/>
    <m/>
    <m/>
    <m/>
    <m/>
    <m/>
    <m/>
    <m/>
    <m/>
    <m/>
    <m/>
    <m/>
    <m/>
    <m/>
    <m/>
    <m/>
    <m/>
  </r>
  <r>
    <n v="1"/>
    <s v="BOLIVAR PROGRESA, SUPERACIÓN DE LA POBREZA"/>
    <m/>
    <m/>
    <x v="2"/>
    <x v="2"/>
    <m/>
    <m/>
    <x v="9"/>
    <x v="9"/>
    <m/>
    <m/>
    <s v="1.3.6.6"/>
    <s v="Mantener la letalidad por_x000a_Chagas en 0%"/>
    <s v="Mantener la letalidad por_x000a_Chagas en 0%"/>
    <n v="0"/>
    <n v="0"/>
    <s v="1.3.6.6.1"/>
    <s v="Municipios con capacidades desarrolladas para la implementacion de la EGI ETV orientadas a la reduccion  de la carga Economica social de la enfermedad"/>
    <s v="Municipios con capacidades_x000a_desarrolladas para la_x000a_implementación de la EGI ETV y_x000a_EGI ZOONOSIS orientadas a la_x000a_reducción de la carga Económica_x000a_social de la enfermedad "/>
    <m/>
    <n v="45"/>
    <s v="Mantenimiento"/>
    <m/>
    <m/>
    <m/>
    <m/>
    <s v="SECRETARÍA DE SALUD"/>
    <n v="45"/>
    <n v="45"/>
    <n v="45"/>
    <n v="45"/>
    <n v="180"/>
    <b v="0"/>
    <n v="10"/>
    <n v="5"/>
    <n v="45"/>
    <n v="45"/>
    <n v="1"/>
    <n v="45"/>
    <n v="10"/>
    <n v="5"/>
    <m/>
    <n v="45"/>
    <n v="1"/>
    <n v="11.25"/>
    <m/>
    <m/>
    <m/>
    <n v="0.25"/>
    <n v="45"/>
    <m/>
    <m/>
    <m/>
    <m/>
    <n v="0"/>
    <m/>
    <m/>
    <m/>
    <m/>
    <m/>
    <m/>
    <m/>
    <m/>
    <m/>
    <m/>
    <m/>
    <m/>
    <m/>
    <m/>
    <m/>
    <m/>
    <m/>
    <m/>
    <m/>
    <m/>
    <m/>
    <m/>
    <m/>
    <m/>
    <m/>
  </r>
  <r>
    <n v="1"/>
    <s v="BOLIVAR PROGRESA, SUPERACIÓN DE LA POBREZA"/>
    <m/>
    <m/>
    <x v="2"/>
    <x v="2"/>
    <m/>
    <m/>
    <x v="9"/>
    <x v="9"/>
    <m/>
    <m/>
    <s v="1.3.6.7"/>
    <s v="Mantener la tasa de_x000a_mortalidad por rabia en 0 por_x000a_100.000 habitantes_x000a_"/>
    <s v="Mantener la tasa de_x000a_mortalidad por rabia en 0 por_x000a_100.000 habitantes_x000a_"/>
    <n v="0"/>
    <n v="0"/>
    <s v="1.3.6.7.1"/>
    <s v="Plan de eliminación de la rabia_x000a_humana transmitida por animales_x000a_de compañía y en el ciclo silvestre_x000a_que incluya esquema de vacuna_x000a_pre exposición a rabia en_x000a_poblaciones priorizadas_x000a_"/>
    <s v="Plan de eliminación de la rabia_x000a_humana transmitida por animales_x000a_de compañía y en el ciclo silvestre_x000a_que incluya esquema de vacuna_x000a_pre exposición a rabia en_x000a_poblaciones priorizadas_x000a_"/>
    <m/>
    <n v="1"/>
    <s v="Mantenimiento"/>
    <m/>
    <m/>
    <m/>
    <m/>
    <s v="SECRETARÍA DE SALUD"/>
    <n v="1"/>
    <n v="1"/>
    <n v="1"/>
    <n v="1"/>
    <n v="4"/>
    <b v="0"/>
    <n v="0"/>
    <n v="1"/>
    <n v="1"/>
    <n v="1"/>
    <n v="1"/>
    <n v="1"/>
    <n v="0"/>
    <n v="1"/>
    <m/>
    <n v="1"/>
    <n v="1"/>
    <n v="0.25"/>
    <m/>
    <m/>
    <m/>
    <n v="0.25"/>
    <n v="1"/>
    <n v="0"/>
    <m/>
    <m/>
    <m/>
    <n v="0"/>
    <m/>
    <m/>
    <m/>
    <m/>
    <m/>
    <m/>
    <m/>
    <m/>
    <m/>
    <m/>
    <m/>
    <m/>
    <m/>
    <m/>
    <m/>
    <m/>
    <m/>
    <m/>
    <m/>
    <m/>
    <m/>
    <m/>
    <m/>
    <m/>
    <m/>
  </r>
  <r>
    <n v="1"/>
    <s v="BOLIVAR PROGRESA, SUPERACIÓN DE LA POBREZA"/>
    <m/>
    <m/>
    <x v="2"/>
    <x v="2"/>
    <m/>
    <m/>
    <x v="10"/>
    <x v="10"/>
    <n v="0.27913043478260868"/>
    <n v="0.25"/>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1 "/>
    <s v="IPS pública con Planes_x000a_Hospitalarios de Gestión_x000a_Integral del Riesgo de Desastres_x000a_ajustado a Normatividad_x000a_vigente."/>
    <s v="IPS pública con Planes_x000a_Hospitalarios de Gestión_x000a_Integral del Riesgo de Desastres_x000a_ajustado a Normatividad_x000a_vigente."/>
    <m/>
    <n v="46"/>
    <s v="Incremento"/>
    <m/>
    <s v="SALUD"/>
    <s v="A.2"/>
    <m/>
    <s v="SECRETARÍA DE SALUD"/>
    <n v="25"/>
    <n v="12"/>
    <n v="39"/>
    <n v="46"/>
    <n v="122"/>
    <b v="0"/>
    <n v="10"/>
    <n v="20"/>
    <n v="25"/>
    <n v="25"/>
    <n v="0.54347826086956519"/>
    <n v="25"/>
    <n v="10"/>
    <n v="20"/>
    <m/>
    <n v="25"/>
    <n v="1"/>
    <n v="25"/>
    <m/>
    <m/>
    <m/>
    <n v="0.54347826086956519"/>
    <n v="12"/>
    <n v="0"/>
    <m/>
    <m/>
    <m/>
    <n v="0"/>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2"/>
    <s v="IPS con programa de Hospitales_x000a_seguros frente a desastres_x000a_revisado y evaluado._x000a_"/>
    <s v="IPS con programa de Hospitales_x000a_seguros frente a desastres_x000a_revisado y evaluado._x000a_"/>
    <m/>
    <n v="46"/>
    <s v="Incremento"/>
    <m/>
    <s v="SALUD"/>
    <s v="A.2"/>
    <m/>
    <s v="SECRETARÍA DE SALUD"/>
    <n v="10"/>
    <n v="12"/>
    <n v="12"/>
    <n v="13"/>
    <n v="47"/>
    <b v="0"/>
    <n v="5"/>
    <n v="7"/>
    <n v="7"/>
    <n v="7"/>
    <n v="0.15217391304347827"/>
    <n v="10"/>
    <n v="5"/>
    <n v="7"/>
    <m/>
    <n v="7"/>
    <n v="0.7"/>
    <n v="7"/>
    <m/>
    <m/>
    <m/>
    <n v="0.15217391304347827"/>
    <n v="12"/>
    <n v="0"/>
    <m/>
    <m/>
    <m/>
    <n v="0"/>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3"/>
    <s v="Centro Regulador de Urgencias y_x000a_Emergencias Departamental_x000a_funcionando en óptimas_x000a_condiciones y articulado con el_x000a_Distrito de Cartagena"/>
    <s v="Centro Regulador de Urgencias y_x000a_Emergencias Departamental_x000a_funcionando en óptimas_x000a_condiciones y articulado con el_x000a_Distrito de Cartagena"/>
    <m/>
    <n v="1"/>
    <s v="Mantenimiento"/>
    <m/>
    <s v="SALUD"/>
    <s v="A.2"/>
    <m/>
    <s v="SECRETARÍA DE SALUD"/>
    <n v="1"/>
    <n v="1"/>
    <n v="1"/>
    <n v="1"/>
    <n v="4"/>
    <b v="0"/>
    <n v="1"/>
    <n v="1"/>
    <n v="1"/>
    <n v="1"/>
    <n v="1"/>
    <n v="1"/>
    <n v="1"/>
    <n v="1"/>
    <m/>
    <n v="1"/>
    <n v="1"/>
    <n v="0.5"/>
    <m/>
    <m/>
    <m/>
    <n v="0.5"/>
    <n v="1"/>
    <n v="1"/>
    <m/>
    <m/>
    <m/>
    <n v="1"/>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4"/>
    <s v="Municipios priorizados con el_x000a_sistema de emergencias médico_x000a_reglamentado e implementado"/>
    <s v="Municipios priorizados con el_x000a_sistema de emergencias médico_x000a_reglamentado e implementado"/>
    <m/>
    <n v="5"/>
    <s v="Incremento"/>
    <m/>
    <s v="SALUD"/>
    <s v="A.2"/>
    <m/>
    <s v="SECRETARÍA DE SALUD"/>
    <n v="1"/>
    <n v="1"/>
    <n v="2"/>
    <n v="1"/>
    <n v="5"/>
    <b v="1"/>
    <n v="0"/>
    <n v="0"/>
    <n v="1"/>
    <n v="1"/>
    <n v="0.2"/>
    <n v="1"/>
    <n v="0"/>
    <n v="0"/>
    <m/>
    <n v="1"/>
    <n v="1"/>
    <n v="1"/>
    <m/>
    <m/>
    <m/>
    <n v="0.2"/>
    <n v="1"/>
    <n v="0"/>
    <m/>
    <m/>
    <m/>
    <n v="0"/>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5"/>
    <s v="Red de toxicología_x000a_departamental implementada "/>
    <s v="Red de toxicología_x000a_departamental implementada "/>
    <m/>
    <n v="1"/>
    <s v="Incremento"/>
    <m/>
    <m/>
    <m/>
    <m/>
    <s v="SECRETARÍA DE SALUD"/>
    <m/>
    <m/>
    <n v="1"/>
    <m/>
    <n v="1"/>
    <b v="1"/>
    <m/>
    <m/>
    <m/>
    <m/>
    <n v="0"/>
    <m/>
    <m/>
    <m/>
    <m/>
    <m/>
    <s v="NP"/>
    <n v="0"/>
    <m/>
    <m/>
    <m/>
    <n v="0"/>
    <s v="NP"/>
    <n v="0"/>
    <m/>
    <m/>
    <m/>
    <s v="NP"/>
    <m/>
    <m/>
    <m/>
    <m/>
    <m/>
    <m/>
    <m/>
    <m/>
    <m/>
    <m/>
    <m/>
    <m/>
    <m/>
    <m/>
    <m/>
    <m/>
    <m/>
    <m/>
    <m/>
    <m/>
    <m/>
    <m/>
    <m/>
    <m/>
    <m/>
  </r>
  <r>
    <n v="1"/>
    <s v="BOLIVAR PROGRESA, SUPERACIÓN DE LA POBREZA"/>
    <m/>
    <m/>
    <x v="2"/>
    <x v="2"/>
    <m/>
    <m/>
    <x v="11"/>
    <x v="11"/>
    <n v="0.21906565656565657"/>
    <n v="0.25"/>
    <s v="1.3.8.1"/>
    <s v="Disminuir en 5,0% la tasa de_x000a_accidentalidad laboral"/>
    <s v="Disminuir en 5,0% la tasa de_x000a_accidentalidad laboral"/>
    <s v="5.2"/>
    <n v="5"/>
    <s v="1.3.8.1.1"/>
    <s v="Municipios con la normativa_x000a_para la afiliación de_x000a_trabajadores al SGRL_x000a_socializada."/>
    <s v="Municipios con la normativa_x000a_para la afiliación de_x000a_trabajadores al SGRL_x000a_socializada."/>
    <m/>
    <n v="40"/>
    <s v="Incremento"/>
    <m/>
    <s v="SALUD"/>
    <s v="A.2"/>
    <m/>
    <s v="SECRETARÍA DE SALUD"/>
    <n v="10"/>
    <n v="10"/>
    <n v="10"/>
    <n v="10"/>
    <n v="40"/>
    <b v="1"/>
    <n v="6"/>
    <n v="6"/>
    <n v="10"/>
    <n v="10"/>
    <n v="0.25"/>
    <n v="10"/>
    <n v="6"/>
    <n v="6"/>
    <m/>
    <n v="10"/>
    <n v="1"/>
    <n v="10"/>
    <m/>
    <m/>
    <m/>
    <n v="0.25"/>
    <n v="10"/>
    <n v="0"/>
    <m/>
    <m/>
    <m/>
    <n v="0"/>
    <m/>
    <m/>
    <m/>
    <m/>
    <m/>
    <m/>
    <m/>
    <m/>
    <m/>
    <m/>
    <m/>
    <m/>
    <m/>
    <m/>
    <m/>
    <m/>
    <m/>
    <m/>
    <m/>
    <m/>
    <m/>
    <m/>
    <m/>
    <m/>
    <m/>
  </r>
  <r>
    <n v="1"/>
    <s v="BOLIVAR PROGRESA, SUPERACIÓN DE LA POBREZA"/>
    <m/>
    <m/>
    <x v="2"/>
    <x v="2"/>
    <m/>
    <m/>
    <x v="11"/>
    <x v="11"/>
    <m/>
    <m/>
    <s v="1.3.8.1"/>
    <s v="Disminuir en 5,0% la tasa de_x000a_accidentalidad laboral"/>
    <s v="Disminuir en 5,0% la tasa de_x000a_accidentalidad laboral"/>
    <s v="5.2"/>
    <n v="5"/>
    <s v="1.3.8.1.2"/>
    <s v="Municipios con población_x000a_trabajadora informal_x000a_caracterizada."/>
    <s v="Municipios con población_x000a_trabajadora informal_x000a_caracterizada."/>
    <m/>
    <n v="45"/>
    <s v="Incremento"/>
    <m/>
    <s v="SALUD"/>
    <s v="A.2"/>
    <m/>
    <s v="SECRETARÍA DE SALUD"/>
    <n v="10"/>
    <n v="10"/>
    <n v="10"/>
    <n v="10"/>
    <n v="40"/>
    <b v="0"/>
    <n v="0"/>
    <n v="0"/>
    <n v="0"/>
    <n v="0"/>
    <n v="0"/>
    <n v="10"/>
    <n v="0"/>
    <n v="0"/>
    <m/>
    <n v="0"/>
    <n v="0"/>
    <n v="0"/>
    <m/>
    <m/>
    <m/>
    <n v="0"/>
    <n v="10"/>
    <n v="0"/>
    <m/>
    <m/>
    <m/>
    <n v="0"/>
    <m/>
    <m/>
    <m/>
    <m/>
    <m/>
    <m/>
    <m/>
    <m/>
    <m/>
    <m/>
    <m/>
    <m/>
    <m/>
    <m/>
    <m/>
    <m/>
    <m/>
    <m/>
    <m/>
    <m/>
    <m/>
    <m/>
    <m/>
    <m/>
    <m/>
  </r>
  <r>
    <n v="1"/>
    <s v="BOLIVAR PROGRESA, SUPERACIÓN DE LA POBREZA"/>
    <m/>
    <m/>
    <x v="2"/>
    <x v="2"/>
    <m/>
    <m/>
    <x v="11"/>
    <x v="11"/>
    <m/>
    <m/>
    <s v="1.3.8.1"/>
    <s v="Disminuir en 5,0% la tasa de_x000a_accidentalidad laboral"/>
    <s v="Disminuir en 5,0% la tasa de_x000a_accidentalidad laboral"/>
    <s v="5.2"/>
    <n v="5"/>
    <s v="1.3.8.1.3"/>
    <s v="Municipios con acciones de_x000a_promoción de la salud y_x000a_prevención de riesgos laborales_x000a_implementadas."/>
    <s v="Municipios con acciones de_x000a_promoción de la salud y_x000a_prevención de riesgos laborales_x000a_implementadas."/>
    <m/>
    <n v="22"/>
    <s v="Incremento"/>
    <m/>
    <m/>
    <m/>
    <m/>
    <s v="SECRETARÍA DE SALUD"/>
    <n v="4"/>
    <n v="6"/>
    <n v="7"/>
    <n v="7"/>
    <n v="24"/>
    <b v="0"/>
    <n v="4"/>
    <n v="4"/>
    <n v="4"/>
    <n v="4"/>
    <n v="0.18181818181818182"/>
    <n v="4"/>
    <n v="4"/>
    <n v="4"/>
    <m/>
    <n v="4"/>
    <n v="1"/>
    <n v="4"/>
    <m/>
    <m/>
    <m/>
    <n v="0.18181818181818182"/>
    <n v="6"/>
    <n v="0"/>
    <m/>
    <m/>
    <m/>
    <n v="0"/>
    <m/>
    <m/>
    <m/>
    <m/>
    <m/>
    <m/>
    <m/>
    <m/>
    <m/>
    <m/>
    <m/>
    <m/>
    <m/>
    <m/>
    <m/>
    <m/>
    <m/>
    <m/>
    <m/>
    <m/>
    <m/>
    <m/>
    <m/>
    <m/>
    <m/>
  </r>
  <r>
    <n v="1"/>
    <s v="BOLIVAR PROGRESA, SUPERACIÓN DE LA POBREZA"/>
    <m/>
    <m/>
    <x v="2"/>
    <x v="2"/>
    <m/>
    <m/>
    <x v="11"/>
    <x v="11"/>
    <m/>
    <m/>
    <s v="1.3.8.1"/>
    <s v="Disminuir en 5,0% la tasa de_x000a_accidentalidad laboral"/>
    <s v="Disminuir en 5,0% la tasa de_x000a_accidentalidad laboral"/>
    <s v="5.2"/>
    <n v="5"/>
    <s v="1.3.8.1.4"/>
    <s v="Municipios asistidos_x000a_técnicamente para la inclusión_x000a_de la dimensión de salud y_x000a_ámbito laboral en sus planes de_x000a_salud territorial_x000a_"/>
    <s v="Municipios asistidos_x000a_técnicamente para la inclusión_x000a_de la dimensión de salud y_x000a_ámbito laboral en sus planes de_x000a_salud territorial_x000a_"/>
    <m/>
    <n v="45"/>
    <s v="Incremento"/>
    <m/>
    <s v="SALUD"/>
    <s v="A.2"/>
    <m/>
    <s v="SECRETARÍA DE SALUD"/>
    <n v="10"/>
    <n v="10"/>
    <n v="10"/>
    <n v="10"/>
    <n v="40"/>
    <b v="0"/>
    <n v="0"/>
    <n v="10"/>
    <n v="10"/>
    <n v="10"/>
    <n v="0.22222222222222221"/>
    <n v="10"/>
    <n v="0"/>
    <n v="10"/>
    <m/>
    <n v="10"/>
    <n v="1"/>
    <n v="20"/>
    <m/>
    <m/>
    <m/>
    <n v="0.44444444444444442"/>
    <n v="10"/>
    <n v="10"/>
    <m/>
    <m/>
    <m/>
    <n v="1"/>
    <m/>
    <m/>
    <m/>
    <m/>
    <m/>
    <m/>
    <m/>
    <m/>
    <m/>
    <m/>
    <m/>
    <m/>
    <m/>
    <m/>
    <m/>
    <m/>
    <m/>
    <m/>
    <m/>
    <m/>
    <m/>
    <m/>
    <m/>
    <m/>
    <m/>
  </r>
  <r>
    <n v="1"/>
    <s v="BOLIVAR PROGRESA, SUPERACIÓN DE LA POBREZA"/>
    <m/>
    <m/>
    <x v="2"/>
    <x v="2"/>
    <m/>
    <m/>
    <x v="12"/>
    <x v="12"/>
    <n v="0.22224888359369785"/>
    <n v="1.7045454545454544E-2"/>
    <s v="1.3.9.1"/>
    <s v="Disminuir la tasa de mortalidad_x000a_infantil a 10,67 muertes por_x000a_1.000 nacidos vivos"/>
    <s v="Disminuir la tasa de mortalidad_x000a_infantil a 10,67 muertes por_x000a_1.000 nacidos vivos"/>
    <s v="10.87"/>
    <s v="10.87"/>
    <s v="1.3.9.1.1"/>
    <s v="Municipios con la estrategia_x000a_Mil Primeros Días adoptada e_x000a_implementada"/>
    <s v="Municipios con la estrategia_x000a_Mil Primeros Días adoptada e_x000a_implementada"/>
    <m/>
    <n v="16"/>
    <s v="Incremento"/>
    <m/>
    <s v="SALUD"/>
    <s v="A.2"/>
    <m/>
    <s v="SECRETARÍA DE SALUD"/>
    <n v="3"/>
    <n v="5"/>
    <n v="5"/>
    <n v="3"/>
    <n v="16"/>
    <b v="1"/>
    <n v="3"/>
    <n v="3"/>
    <n v="3"/>
    <n v="3"/>
    <n v="0.1875"/>
    <n v="3"/>
    <n v="3"/>
    <n v="3"/>
    <m/>
    <n v="3"/>
    <n v="1"/>
    <n v="3"/>
    <m/>
    <m/>
    <m/>
    <n v="0.1875"/>
    <n v="5"/>
    <n v="0"/>
    <m/>
    <m/>
    <m/>
    <n v="0"/>
    <m/>
    <m/>
    <m/>
    <m/>
    <m/>
    <m/>
    <m/>
    <m/>
    <m/>
    <m/>
    <m/>
    <m/>
    <m/>
    <m/>
    <m/>
    <m/>
    <m/>
    <m/>
    <m/>
    <m/>
    <m/>
    <m/>
    <m/>
    <m/>
    <m/>
  </r>
  <r>
    <n v="1"/>
    <s v="BOLIVAR PROGRESA, SUPERACIÓN DE LA POBREZA"/>
    <m/>
    <m/>
    <x v="2"/>
    <x v="2"/>
    <m/>
    <m/>
    <x v="12"/>
    <x v="12"/>
    <m/>
    <m/>
    <s v="1.3.9.1"/>
    <s v="Disminuir la tasa de mortalidad_x000a_infantil a 10,67 muertes por_x000a_1.000 nacidos vivos"/>
    <s v="Disminuir la tasa de mortalidad_x000a_infantil a 10,67 muertes por_x000a_1.000 nacidos vivos"/>
    <s v="10.87"/>
    <s v="10.87"/>
    <s v="1.3.9.1.2"/>
    <s v="Municipios priorizados con_x000a_implementación y adopción del_x000a_proyecto “Pellízcate”_x000a_relacionado con la formación_x000a_de niñas, niños y adolescentes_x000a_como promotores de prácticas_x000a_claves de AIEPI_x000a_"/>
    <s v="Municipios priorizados con_x000a_implementación y adopción del_x000a_proyecto “Pellízcate”_x000a_relacionado con la formación_x000a_de niñas, niños y adolescentes_x000a_como promotores de prácticas_x000a_claves de AIEPI_x000a_"/>
    <m/>
    <n v="8"/>
    <s v="Mantenimiento"/>
    <m/>
    <s v="SALUD"/>
    <s v="A.2"/>
    <m/>
    <s v="SECRETARÍA DE SALUD"/>
    <n v="8"/>
    <n v="8"/>
    <n v="8"/>
    <n v="8"/>
    <n v="32"/>
    <b v="0"/>
    <n v="8"/>
    <n v="8"/>
    <n v="8"/>
    <n v="8"/>
    <n v="1"/>
    <n v="8"/>
    <n v="8"/>
    <n v="8"/>
    <m/>
    <n v="8"/>
    <n v="1"/>
    <n v="2.75"/>
    <m/>
    <m/>
    <m/>
    <n v="0.34375"/>
    <n v="8"/>
    <n v="3"/>
    <m/>
    <m/>
    <m/>
    <n v="0.375"/>
    <m/>
    <m/>
    <m/>
    <m/>
    <m/>
    <m/>
    <m/>
    <m/>
    <m/>
    <m/>
    <m/>
    <m/>
    <m/>
    <m/>
    <m/>
    <m/>
    <m/>
    <m/>
    <m/>
    <m/>
    <m/>
    <m/>
    <m/>
    <m/>
    <m/>
  </r>
  <r>
    <n v="1"/>
    <s v="BOLIVAR PROGRESA, SUPERACIÓN DE LA POBREZA"/>
    <m/>
    <m/>
    <x v="2"/>
    <x v="2"/>
    <m/>
    <m/>
    <x v="12"/>
    <x v="12"/>
    <m/>
    <m/>
    <s v="1.3.9.2"/>
    <s v="Disminuir la tasa de mortalidad_x000a_en la niñez a 13,18 muertes por_x000a_1.000 nacidos vivos"/>
    <s v="Disminuir la tasa de mortalidad_x000a_en la niñez a 13,18 muertes por_x000a_1.000 nacidos vivos"/>
    <s v="13.48"/>
    <s v="13.48"/>
    <s v="1.3.9.2.1"/>
    <s v="Municipios con planes de_x000a_mejoramiento producto de_x000a_mortalidades infantiles_x000a_integradas evaluados y_x000a_monitoreados"/>
    <s v="Municipios con planes de_x000a_mejoramiento producto de_x000a_mortalidades infantiles_x000a_integradas evaluados y_x000a_monitoreados"/>
    <m/>
    <n v="1"/>
    <s v="Mantenimiento"/>
    <m/>
    <s v="SALUD"/>
    <s v="A.2"/>
    <m/>
    <s v="SECRETARÍA DE SALUD"/>
    <n v="1"/>
    <n v="1"/>
    <n v="1"/>
    <n v="1"/>
    <n v="4"/>
    <b v="0"/>
    <n v="0.5"/>
    <n v="0.75"/>
    <n v="1"/>
    <n v="1"/>
    <n v="1"/>
    <n v="1"/>
    <n v="0.25"/>
    <n v="0.5"/>
    <m/>
    <n v="1"/>
    <n v="1"/>
    <n v="0.25"/>
    <m/>
    <m/>
    <m/>
    <n v="0.25"/>
    <n v="1"/>
    <n v="0"/>
    <m/>
    <m/>
    <m/>
    <n v="0"/>
    <m/>
    <m/>
    <m/>
    <m/>
    <m/>
    <m/>
    <m/>
    <m/>
    <m/>
    <m/>
    <m/>
    <m/>
    <m/>
    <m/>
    <m/>
    <m/>
    <m/>
    <m/>
    <m/>
    <m/>
    <m/>
    <m/>
    <m/>
    <m/>
    <m/>
  </r>
  <r>
    <n v="1"/>
    <s v="BOLIVAR PROGRESA, SUPERACIÓN DE LA POBREZA"/>
    <m/>
    <m/>
    <x v="2"/>
    <x v="2"/>
    <m/>
    <m/>
    <x v="12"/>
    <x v="12"/>
    <m/>
    <m/>
    <s v="1.3.9.2"/>
    <s v="Disminuir la tasa de mortalidad_x000a_en la niñez a 13,18 muertes por_x000a_1.000 nacidos vivos"/>
    <s v="Disminuir la tasa de mortalidad_x000a_en la niñez a 13,18 muertes por_x000a_1.000 nacidos vivos"/>
    <s v="13.48"/>
    <s v="13.48"/>
    <s v="1.3.9.2.2"/>
    <s v="Municipios con la estrategia_x000a_AIEPI en el componente clínico,comunitario y organizacional_x000a_adoptada e implementada"/>
    <s v="Municipios con la estrategia AIEPI en el componente clínico,comunitario y organizacional_x000a_adoptada e implementada"/>
    <m/>
    <n v="24"/>
    <s v="Incremento"/>
    <m/>
    <s v="SALUD"/>
    <s v="A.2"/>
    <m/>
    <s v="SECRETARÍA DE SALUD"/>
    <n v="5"/>
    <n v="7"/>
    <n v="7"/>
    <n v="5"/>
    <n v="24"/>
    <b v="1"/>
    <n v="3"/>
    <n v="2"/>
    <n v="5"/>
    <n v="5"/>
    <n v="0.20833333333333334"/>
    <n v="5"/>
    <n v="3"/>
    <n v="2"/>
    <m/>
    <n v="5"/>
    <n v="1"/>
    <n v="5"/>
    <m/>
    <m/>
    <m/>
    <n v="0.20833333333333334"/>
    <n v="7"/>
    <n v="0"/>
    <m/>
    <m/>
    <m/>
    <n v="0"/>
    <m/>
    <m/>
    <m/>
    <m/>
    <m/>
    <m/>
    <m/>
    <m/>
    <m/>
    <m/>
    <m/>
    <m/>
    <m/>
    <m/>
    <m/>
    <m/>
    <m/>
    <m/>
    <m/>
    <m/>
    <m/>
    <m/>
    <m/>
    <m/>
    <m/>
  </r>
  <r>
    <n v="1"/>
    <s v="BOLIVAR PROGRESA, SUPERACIÓN DE LA POBREZA"/>
    <m/>
    <m/>
    <x v="2"/>
    <x v="2"/>
    <m/>
    <m/>
    <x v="12"/>
    <x v="12"/>
    <m/>
    <m/>
    <s v="1.3.9.2"/>
    <s v="Disminuir la tasa de mortalidad_x000a_en la niñez a 13,18 muertes por_x000a_1.000 nacidos vivos"/>
    <s v="Disminuir la tasa de mortalidad_x000a_en la niñez a 13,18 muertes por_x000a_1.000 nacidos vivos"/>
    <s v="13.48"/>
    <s v="13.48"/>
    <s v="1.3.9.2.3"/>
    <s v="Municipios asistidos en la_x000a_adopción e implementación de_x000a_la política pública de infancia y_x000a_adolescencia "/>
    <s v="Municipios asistidos en la_x000a_adopción e implementación de_x000a_la política pública de infancia y_x000a_adolescencia "/>
    <m/>
    <n v="24"/>
    <s v="Incremento"/>
    <m/>
    <s v="SALUD"/>
    <s v="A.2"/>
    <m/>
    <s v="SECRETARÍA DE SALUD"/>
    <n v="5"/>
    <n v="7"/>
    <n v="7"/>
    <n v="5"/>
    <n v="24"/>
    <b v="1"/>
    <n v="3"/>
    <n v="2"/>
    <n v="5"/>
    <n v="5"/>
    <n v="0.20833333333333334"/>
    <n v="5"/>
    <n v="3"/>
    <n v="2"/>
    <m/>
    <n v="5"/>
    <n v="1"/>
    <n v="5"/>
    <m/>
    <m/>
    <m/>
    <n v="0.20833333333333334"/>
    <n v="7"/>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1"/>
    <s v="Municipios con rutas integrales_x000a_adoptadas y monitoreadas para_x000a_la gestión de la política de_x000a_envejecimiento y vejez."/>
    <s v="Municipios con rutas integrales_x000a_adoptadas y monitoreadas para_x000a_la gestión de la política de_x000a_envejecimiento y vejez."/>
    <m/>
    <n v="25"/>
    <s v="Incremento"/>
    <m/>
    <s v="SALUD"/>
    <s v="A.2"/>
    <m/>
    <s v="SECRETARÍA DE SALUD"/>
    <n v="7"/>
    <n v="6"/>
    <n v="7"/>
    <n v="5"/>
    <n v="25"/>
    <b v="1"/>
    <n v="0"/>
    <n v="0"/>
    <n v="7"/>
    <n v="7"/>
    <n v="0.28000000000000003"/>
    <n v="7"/>
    <n v="0"/>
    <n v="0"/>
    <m/>
    <n v="7"/>
    <n v="1"/>
    <n v="7"/>
    <m/>
    <m/>
    <m/>
    <n v="0.28000000000000003"/>
    <n v="6"/>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2"/>
    <s v="Municipios implementado_x000a_políticas de humanización en_x000a_servicios de salud a los adultos_x000a_mayores"/>
    <s v="Municipios implementado_x000a_políticas de humanización en_x000a_servicios de salud a los adultos_x000a_mayores"/>
    <m/>
    <n v="37"/>
    <s v="Incremento"/>
    <m/>
    <s v="SALUD"/>
    <s v="A.2"/>
    <m/>
    <s v="SECRETARÍA DE SALUD"/>
    <n v="10"/>
    <n v="9"/>
    <n v="9"/>
    <n v="9"/>
    <n v="37"/>
    <b v="1"/>
    <n v="0"/>
    <n v="0"/>
    <n v="10"/>
    <n v="10"/>
    <n v="0.27027027027027029"/>
    <n v="10"/>
    <n v="0"/>
    <n v="0"/>
    <m/>
    <n v="10"/>
    <n v="1"/>
    <n v="10"/>
    <m/>
    <m/>
    <m/>
    <n v="0.27027027027027029"/>
    <n v="9"/>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3"/>
    <s v="Municipios con Centros Día y_x000a_Centros de bienestar para las_x000a_personas adultas mayores con_x000a_atención integral, funcionando_x000a_según la normatividad vigente"/>
    <s v="Municipios con Centros Día y_x000a_Centros de bienestar para las_x000a_personas adultas mayores con_x000a_atención integral, funcionando_x000a_según la normatividad vigente"/>
    <m/>
    <n v="37"/>
    <s v="Incremento"/>
    <m/>
    <m/>
    <m/>
    <m/>
    <s v="SECRETARÍA DE SALUD"/>
    <n v="10"/>
    <n v="9"/>
    <n v="9"/>
    <n v="9"/>
    <n v="37"/>
    <b v="1"/>
    <n v="4"/>
    <n v="4"/>
    <n v="10"/>
    <n v="10"/>
    <n v="0.27027027027027029"/>
    <n v="10"/>
    <n v="4"/>
    <n v="4"/>
    <m/>
    <n v="10"/>
    <n v="1"/>
    <n v="10"/>
    <m/>
    <m/>
    <m/>
    <n v="0.27027027027027029"/>
    <n v="9"/>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4"/>
    <s v="Municipios con un modelo de_x000a_envejecimiento humano activo y_x000a_saludable para personas adultas_x000a_mayores, implementado y_x000a_monitoreado"/>
    <s v="Municipios con un modelo de_x000a_envejecimiento humano activo y_x000a_saludable para personas adultas_x000a_mayores, implementado y_x000a_monitoreado"/>
    <m/>
    <n v="15"/>
    <s v="Incremento"/>
    <m/>
    <m/>
    <m/>
    <m/>
    <s v="SECRETARÍA DE SALUD"/>
    <n v="4"/>
    <n v="4"/>
    <n v="4"/>
    <n v="3"/>
    <n v="15"/>
    <b v="1"/>
    <n v="0"/>
    <n v="0"/>
    <n v="4"/>
    <n v="4"/>
    <n v="0.26666666666666666"/>
    <n v="4"/>
    <n v="0"/>
    <n v="0"/>
    <m/>
    <n v="4"/>
    <n v="1"/>
    <n v="4"/>
    <m/>
    <m/>
    <m/>
    <n v="0.26666666666666666"/>
    <n v="4"/>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5"/>
    <s v="Municipios con acciones de_x000a_promoción y de prevención del_x000a_envejecimiento humano activo_x000a_articuladas en los espacios_x000a_educativos dirigidos a la_x000a_infancia, adolescencia, juventud_x000a_y adultez"/>
    <s v="Municipios con acciones de_x000a_promoción y de prevención del_x000a_envejecimiento humano activo_x000a_articuladas en los espacios_x000a_educativos dirigidos a la_x000a_infancia, adolescencia, juventud_x000a_y adultez"/>
    <m/>
    <n v="5"/>
    <s v="Incremento"/>
    <m/>
    <s v="SALUD"/>
    <s v="A.2"/>
    <m/>
    <s v="SECRETARÍA DE SALUD"/>
    <n v="1"/>
    <n v="2"/>
    <n v="1"/>
    <n v="1"/>
    <n v="5"/>
    <b v="1"/>
    <n v="0"/>
    <n v="0"/>
    <n v="1"/>
    <n v="1"/>
    <n v="0.2"/>
    <n v="1"/>
    <n v="0"/>
    <n v="0"/>
    <m/>
    <n v="1"/>
    <n v="1"/>
    <n v="1"/>
    <m/>
    <m/>
    <m/>
    <n v="0.2"/>
    <n v="2"/>
    <n v="0"/>
    <m/>
    <m/>
    <m/>
    <n v="0"/>
    <m/>
    <m/>
    <m/>
    <m/>
    <m/>
    <m/>
    <m/>
    <m/>
    <m/>
    <m/>
    <m/>
    <m/>
    <m/>
    <m/>
    <m/>
    <m/>
    <m/>
    <m/>
    <m/>
    <m/>
    <m/>
    <m/>
    <m/>
    <m/>
    <m/>
  </r>
  <r>
    <n v="1"/>
    <s v="BOLIVAR PROGRESA, SUPERACIÓN DE LA POBREZA"/>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1"/>
    <s v="Consolidación de la base de_x000a_datos de mujeres violentadas_x000a_en el marco del conflicto_x000a_armado"/>
    <s v="Consolidación de la base de_x000a_datos de mujeres violentadas_x000a_en el marco del conflicto_x000a_armado"/>
    <m/>
    <n v="1"/>
    <s v="Mantenimiento"/>
    <m/>
    <s v="SALUD"/>
    <s v="A.2"/>
    <m/>
    <s v="SECRETARÍA DE SALUD"/>
    <n v="1"/>
    <n v="1"/>
    <n v="1"/>
    <n v="1"/>
    <n v="4"/>
    <b v="0"/>
    <n v="0.5"/>
    <n v="0.5"/>
    <n v="1"/>
    <n v="1"/>
    <n v="1"/>
    <n v="1"/>
    <n v="0.25"/>
    <n v="0.5"/>
    <m/>
    <n v="1"/>
    <n v="1"/>
    <n v="0.25"/>
    <m/>
    <m/>
    <m/>
    <n v="0.25"/>
    <n v="1"/>
    <n v="0"/>
    <m/>
    <m/>
    <m/>
    <n v="0"/>
    <m/>
    <m/>
    <m/>
    <m/>
    <m/>
    <m/>
    <m/>
    <m/>
    <m/>
    <m/>
    <m/>
    <m/>
    <m/>
    <m/>
    <m/>
    <m/>
    <m/>
    <m/>
    <m/>
    <m/>
    <m/>
    <m/>
    <m/>
    <m/>
    <m/>
  </r>
  <r>
    <n v="1"/>
    <s v="BOLIVAR PROGRESA, SUPERACIÓN DE LA POBREZA"/>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2"/>
    <s v="Entidades Territoriales_x000a_cumpliendo los estándares de_x000a_evaluación para la operación_x000a_de red de servicios de_x000a_atención integral a víctimas de_x000a_violencias de género y_x000a_violencias sexuales."/>
    <s v="Entidades Territoriales_x000a_cumpliendo los estándares de_x000a_evaluación para la operación_x000a_de red de servicios de_x000a_atención integral a víctimas de_x000a_violencias de género y_x000a_violencias sexuales."/>
    <m/>
    <n v="20"/>
    <s v="Incremento"/>
    <m/>
    <m/>
    <m/>
    <m/>
    <s v="SECRETARÍA DE SALUD"/>
    <n v="5"/>
    <n v="5"/>
    <n v="5"/>
    <n v="5"/>
    <n v="20"/>
    <b v="1"/>
    <n v="0"/>
    <n v="0"/>
    <n v="0"/>
    <n v="0"/>
    <n v="0"/>
    <n v="5"/>
    <n v="0"/>
    <n v="0"/>
    <m/>
    <n v="0"/>
    <n v="0"/>
    <n v="0"/>
    <m/>
    <m/>
    <m/>
    <n v="0"/>
    <n v="5"/>
    <n v="0"/>
    <m/>
    <m/>
    <m/>
    <n v="0"/>
    <m/>
    <m/>
    <m/>
    <m/>
    <m/>
    <m/>
    <m/>
    <m/>
    <m/>
    <m/>
    <m/>
    <m/>
    <m/>
    <m/>
    <m/>
    <m/>
    <m/>
    <m/>
    <m/>
    <m/>
    <m/>
    <m/>
    <m/>
    <m/>
    <m/>
  </r>
  <r>
    <n v="1"/>
    <s v="BOLIVAR PROGRESA, SUPERACIÓN DE LA POBREZA"/>
    <m/>
    <m/>
    <x v="2"/>
    <x v="2"/>
    <m/>
    <m/>
    <x v="12"/>
    <x v="12"/>
    <m/>
    <m/>
    <s v="1.3.9.5"/>
    <s v="Lograr un 50% de cobertura departamental en la atención psicosocial a la población indígena en el marco del lineamiento de enfoque_x000a_diferencial cultural "/>
    <s v="Lograr un 50% de cobertura departamental en la atención psicosocial a la población indígena en el marco del lineamiento de enfoque_x000a_diferencial cultural "/>
    <n v="0"/>
    <n v="50"/>
    <s v="1.3.9.5.1"/>
    <s v="Municipios con_x000a_asentamientos indígenas con_x000a_acciones de promoción,_x000a_prevención y atención en_x000a_salud diferencial _x000a_"/>
    <s v="Municipios con_x000a_asentamientos indígenas con_x000a_acciones de promoción,_x000a_prevención y atención en_x000a_salud diferencial _x000a_"/>
    <m/>
    <n v="19"/>
    <s v="Incremento"/>
    <m/>
    <s v="SALUD"/>
    <s v="A.2"/>
    <m/>
    <s v="SECRETARÍA DE SALUD"/>
    <n v="4"/>
    <n v="5"/>
    <n v="5"/>
    <n v="5"/>
    <n v="19"/>
    <b v="1"/>
    <n v="4"/>
    <n v="4"/>
    <n v="6"/>
    <n v="6"/>
    <n v="0.31578947368421051"/>
    <n v="4"/>
    <n v="4"/>
    <n v="4"/>
    <m/>
    <n v="6"/>
    <n v="1"/>
    <n v="6"/>
    <m/>
    <m/>
    <m/>
    <n v="0.31578947368421051"/>
    <n v="5"/>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1"/>
    <s v="Porcentaje de personas con_x000a_discapacidad certificadas e_x000a_incluidas en el Registro para la_x000a_Localización y Caracterización_x000a_de Personas con Discapacidad_x000a_RLCPD."/>
    <s v="Porcentaje de personas con_x000a_discapacidad certificadas e_x000a_incluidas en el Registro para la_x000a_Localización y Caracterización_x000a_de Personas con Discapacidad_x000a_RLCPD."/>
    <m/>
    <n v="15"/>
    <s v="Incremento"/>
    <m/>
    <s v="SALUD"/>
    <s v="A.2"/>
    <m/>
    <s v="SECRETARÍA DE SALUD"/>
    <n v="2"/>
    <n v="3"/>
    <n v="5"/>
    <n v="5"/>
    <n v="15"/>
    <b v="1"/>
    <n v="0"/>
    <n v="0"/>
    <n v="0"/>
    <n v="0"/>
    <n v="0"/>
    <n v="2"/>
    <n v="0"/>
    <n v="0"/>
    <m/>
    <n v="0"/>
    <n v="0"/>
    <n v="0"/>
    <m/>
    <m/>
    <m/>
    <n v="0"/>
    <n v="3"/>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2"/>
    <s v="Municipios con Estrategia de_x000a_Rehabilitación Basada en_x000a_Comunidad implementada y_x000a_Evaluada."/>
    <s v="Municipios con Estrategia de_x000a_Rehabilitación Basada en_x000a_Comunidad implementada y_x000a_Evaluada."/>
    <m/>
    <n v="45"/>
    <s v="Incremento"/>
    <m/>
    <s v="SALUD"/>
    <s v="A.2"/>
    <m/>
    <s v="SECRETARÍA DE SALUD"/>
    <n v="10"/>
    <n v="10"/>
    <n v="10"/>
    <n v="15"/>
    <n v="45"/>
    <b v="1"/>
    <n v="2"/>
    <n v="2"/>
    <n v="10"/>
    <n v="10"/>
    <n v="0.22222222222222221"/>
    <n v="10"/>
    <n v="2"/>
    <n v="2"/>
    <m/>
    <n v="10"/>
    <n v="1"/>
    <n v="10"/>
    <m/>
    <m/>
    <m/>
    <n v="0.22222222222222221"/>
    <n v="10"/>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3"/>
    <s v="Municipios con lineamientos_x000a_de Rehabilitación FuncionalRHBF, y Rehabilitación Integral_x000a_– RHI articulados_x000a_intersectorialmente."/>
    <s v="Municipios con lineamientos_x000a_de Rehabilitación FuncionalRHBF, y Rehabilitación Integral_x000a_– RHI articulados_x000a_intersectorialmente."/>
    <m/>
    <n v="24"/>
    <s v="Incremento"/>
    <m/>
    <s v="SALUD"/>
    <s v="A.2"/>
    <m/>
    <s v="SECRETARÍA DE SALUD"/>
    <n v="8"/>
    <n v="5"/>
    <n v="6"/>
    <n v="5"/>
    <n v="24"/>
    <b v="1"/>
    <n v="0"/>
    <n v="0"/>
    <n v="8"/>
    <n v="8"/>
    <n v="0.33333333333333331"/>
    <n v="8"/>
    <n v="0"/>
    <n v="0"/>
    <m/>
    <n v="8"/>
    <n v="1"/>
    <n v="8"/>
    <m/>
    <m/>
    <m/>
    <n v="0.33333333333333331"/>
    <n v="5"/>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4"/>
    <s v="Personas acceso a los_x000a_productos de apoyo en el_x000a_marco de la rehabilitación_x000a_funcional excluidos del POS."/>
    <s v="Personas acceso a los_x000a_productos de apoyo en el_x000a_marco de la rehabilitación_x000a_funcional excluidos del POS."/>
    <m/>
    <n v="2900"/>
    <s v="Incremento"/>
    <m/>
    <m/>
    <m/>
    <m/>
    <s v="SECRETARÍA DE SALUD"/>
    <n v="725"/>
    <n v="725"/>
    <n v="725"/>
    <n v="725"/>
    <n v="2900"/>
    <b v="1"/>
    <n v="0"/>
    <n v="0"/>
    <n v="0"/>
    <n v="0"/>
    <n v="0"/>
    <n v="725"/>
    <n v="0"/>
    <n v="0"/>
    <m/>
    <n v="0"/>
    <n v="0"/>
    <n v="0"/>
    <m/>
    <m/>
    <m/>
    <n v="0"/>
    <n v="725"/>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5"/>
    <s v="Municipios implementando_x000a_protocolos de humanización en_x000a_servicios de salud y atención inclusiva para las personas con_x000a_discapacidad"/>
    <s v="Municipios implementando_x000a_protocolos de humanización en_x000a_servicios de salud y atención inclusiva para las personas con_x000a_discapacidad"/>
    <m/>
    <n v="34"/>
    <s v="Incremento"/>
    <m/>
    <s v="SALUD"/>
    <s v="A.2"/>
    <m/>
    <s v="SECRETARÍA DE SALUD"/>
    <n v="10"/>
    <n v="9"/>
    <n v="8"/>
    <n v="7"/>
    <n v="34"/>
    <b v="1"/>
    <n v="2"/>
    <n v="2"/>
    <n v="10"/>
    <n v="10"/>
    <n v="0.29411764705882354"/>
    <n v="10"/>
    <n v="2"/>
    <n v="2"/>
    <m/>
    <n v="10"/>
    <n v="1"/>
    <n v="10"/>
    <m/>
    <m/>
    <m/>
    <n v="0.29411764705882354"/>
    <n v="9"/>
    <n v="0"/>
    <m/>
    <m/>
    <m/>
    <n v="0"/>
    <m/>
    <m/>
    <m/>
    <m/>
    <m/>
    <m/>
    <m/>
    <m/>
    <m/>
    <m/>
    <m/>
    <m/>
    <m/>
    <m/>
    <m/>
    <m/>
    <m/>
    <m/>
    <m/>
    <m/>
    <m/>
    <m/>
    <m/>
    <m/>
    <m/>
  </r>
  <r>
    <n v="1"/>
    <s v="BOLIVAR PROGRESA, SUPERACIÓN DE LA POBREZA"/>
    <m/>
    <m/>
    <x v="2"/>
    <x v="2"/>
    <m/>
    <m/>
    <x v="12"/>
    <x v="12"/>
    <m/>
    <m/>
    <s v="1.3.9.7"/>
    <s v="Mantener el 56% de cobertura_x000a_de atención psicosocial_x000a_integral a las víctimas del_x000a_conflicto armado"/>
    <s v="Mantener el 56% de cobertura_x000a_de atención psicosocial_x000a_integral a las víctimas del_x000a_conflicto armado"/>
    <n v="56"/>
    <n v="56"/>
    <s v="1.3.9.7.1"/>
    <s v="Municipios con Programa de_x000a_Atención Psicosocial y Salud_x000a_Integral a Víctimas del conflicto_x000a_armado "/>
    <s v="Municipios con Programa de_x000a_Atención Psicosocial y Salud_x000a_Integral a Víctimas del conflicto_x000a_armado "/>
    <m/>
    <n v="45"/>
    <s v="Incremento"/>
    <m/>
    <s v="SALUD"/>
    <s v="A.2"/>
    <m/>
    <s v="SECRETARÍA DE SALUD"/>
    <n v="10"/>
    <n v="10"/>
    <n v="15"/>
    <n v="10"/>
    <n v="45"/>
    <b v="1"/>
    <n v="1"/>
    <n v="1"/>
    <n v="10"/>
    <n v="10"/>
    <n v="0.22222222222222221"/>
    <n v="10"/>
    <n v="1"/>
    <n v="1"/>
    <m/>
    <n v="10"/>
    <n v="1"/>
    <n v="10"/>
    <m/>
    <m/>
    <m/>
    <n v="0.22222222222222221"/>
    <n v="10"/>
    <n v="0"/>
    <m/>
    <m/>
    <m/>
    <n v="0"/>
    <m/>
    <m/>
    <m/>
    <m/>
    <m/>
    <m/>
    <m/>
    <m/>
    <m/>
    <m/>
    <m/>
    <m/>
    <m/>
    <m/>
    <m/>
    <m/>
    <m/>
    <m/>
    <m/>
    <m/>
    <m/>
    <m/>
    <m/>
    <m/>
    <m/>
  </r>
  <r>
    <n v="1"/>
    <s v="BOLIVAR PROGRESA, SUPERACIÓN DE LA POBREZA"/>
    <m/>
    <m/>
    <x v="2"/>
    <x v="2"/>
    <m/>
    <m/>
    <x v="12"/>
    <x v="12"/>
    <m/>
    <m/>
    <s v="1.3.9.7"/>
    <s v="Mantener el 56% de cobertura de atención psicosocial integral a las víctimas del conflicto armado"/>
    <s v="Mantener el 56% de cobertura de atención psicosocial integral a las víctimas del conflicto armado"/>
    <n v="56"/>
    <n v="56"/>
    <s v="1.3.9.7.2"/>
    <s v="Acciones en salud, ordenadas por la Corte Constitucional, sentencias, tribunales y fallos, a favor de población con Planes de Reparación Colectiva (PRC) y Retornos voluntarios,_x000a_garantizados"/>
    <s v="Acciones en salud, ordenadas_x000a_por la Corte Constitucional,_x000a_sentencias, tribunales y fallos, a_x000a_favor de población con Planes_x000a_de Reparación Colectiva (PRC) y_x000a_Retornos voluntarios,_x000a_garantizados"/>
    <m/>
    <n v="1"/>
    <s v="Mantenimiento"/>
    <m/>
    <m/>
    <m/>
    <m/>
    <s v="SECRETARÍA DE SALUD"/>
    <n v="1"/>
    <n v="1"/>
    <n v="1"/>
    <n v="1"/>
    <n v="4"/>
    <b v="0"/>
    <n v="0"/>
    <n v="0.25"/>
    <n v="0.4"/>
    <n v="0.4"/>
    <n v="0.4"/>
    <n v="1"/>
    <n v="0"/>
    <n v="1"/>
    <m/>
    <n v="0.4"/>
    <n v="0.4"/>
    <n v="0.1"/>
    <m/>
    <m/>
    <m/>
    <n v="0.1"/>
    <n v="1"/>
    <n v="0"/>
    <m/>
    <m/>
    <m/>
    <n v="0"/>
    <m/>
    <m/>
    <m/>
    <m/>
    <m/>
    <m/>
    <m/>
    <m/>
    <m/>
    <m/>
    <m/>
    <m/>
    <m/>
    <m/>
    <m/>
    <m/>
    <m/>
    <m/>
    <m/>
    <m/>
    <m/>
    <m/>
    <m/>
    <m/>
    <m/>
  </r>
  <r>
    <n v="1"/>
    <s v="BOLIVAR PROGRESA, SUPERACIÓN DE LA POBREZA"/>
    <m/>
    <m/>
    <x v="2"/>
    <x v="2"/>
    <m/>
    <m/>
    <x v="12"/>
    <x v="12"/>
    <m/>
    <m/>
    <s v="1.3.9.7"/>
    <s v="Mantener el 56% de cobertura de atención psicosocial integral a las víctimas del conflicto armado"/>
    <s v="Mantener el 56% de cobertura de atención psicosocial integral a las víctimas del conflicto armado"/>
    <n v="56"/>
    <n v="56"/>
    <s v="1.3.9.7.3"/>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m/>
    <n v="20"/>
    <s v="Incremento"/>
    <m/>
    <s v="SALUD"/>
    <s v="A.2"/>
    <m/>
    <s v="SECRETARÍA DE SALUD"/>
    <n v="5"/>
    <n v="5"/>
    <n v="5"/>
    <n v="5"/>
    <n v="20"/>
    <b v="1"/>
    <n v="1"/>
    <n v="1"/>
    <n v="10"/>
    <n v="10"/>
    <n v="0.5"/>
    <n v="5"/>
    <n v="1"/>
    <n v="1"/>
    <m/>
    <n v="10"/>
    <n v="1"/>
    <n v="10"/>
    <m/>
    <m/>
    <m/>
    <n v="0.5"/>
    <n v="5"/>
    <n v="0"/>
    <m/>
    <m/>
    <m/>
    <n v="0"/>
    <m/>
    <m/>
    <m/>
    <m/>
    <m/>
    <m/>
    <m/>
    <m/>
    <m/>
    <m/>
    <m/>
    <m/>
    <m/>
    <m/>
    <m/>
    <m/>
    <m/>
    <m/>
    <m/>
    <m/>
    <m/>
    <m/>
    <m/>
    <m/>
    <m/>
  </r>
  <r>
    <n v="1"/>
    <s v="BOLIVAR PROGRESA, SUPERACIÓN DE LA POBREZA"/>
    <m/>
    <m/>
    <x v="2"/>
    <x v="2"/>
    <m/>
    <m/>
    <x v="12"/>
    <x v="12"/>
    <m/>
    <m/>
    <s v="1.3.9.8"/>
    <s v="Mantener el 100% Cobertura_x000a_de atención integral con_x000a_enfoque diferencial a la_x000a_población reinsertada"/>
    <s v="Mantener el 100% Cobertura_x000a_de atención integral con_x000a_enfoque diferencial a la_x000a_población reinsertada"/>
    <n v="100"/>
    <n v="100"/>
    <s v="1.3.9.8.1"/>
    <s v="Municipios priorizados_x000a_asistidos técnicamente con_x000a_acciones de salud para la_x000a_atención integral de la_x000a_población excombatiente"/>
    <s v="Municipios priorizados_x000a_asistidos técnicamente con_x000a_acciones de salud para la_x000a_atención integral de la_x000a_población excombatiente"/>
    <m/>
    <n v="6"/>
    <s v="Incremento"/>
    <m/>
    <s v="SALUD"/>
    <s v="A.2"/>
    <m/>
    <s v="SECRETARÍA DE SALUD"/>
    <n v="1"/>
    <n v="2"/>
    <n v="2"/>
    <n v="1"/>
    <n v="6"/>
    <b v="1"/>
    <n v="1"/>
    <n v="1"/>
    <n v="1"/>
    <n v="1"/>
    <n v="0.16666666666666666"/>
    <n v="1"/>
    <n v="1"/>
    <n v="1"/>
    <m/>
    <n v="1"/>
    <n v="1"/>
    <n v="1"/>
    <m/>
    <m/>
    <m/>
    <n v="0.16666666666666666"/>
    <n v="2"/>
    <n v="0"/>
    <m/>
    <m/>
    <m/>
    <n v="0"/>
    <m/>
    <m/>
    <m/>
    <m/>
    <m/>
    <m/>
    <m/>
    <m/>
    <m/>
    <m/>
    <m/>
    <m/>
    <m/>
    <m/>
    <m/>
    <m/>
    <m/>
    <m/>
    <m/>
    <m/>
    <m/>
    <m/>
    <m/>
    <m/>
    <m/>
  </r>
  <r>
    <n v="1"/>
    <s v="BOLIVAR PROGRESA, SUPERACIÓN DE LA POBREZA"/>
    <m/>
    <m/>
    <x v="2"/>
    <x v="2"/>
    <m/>
    <m/>
    <x v="13"/>
    <x v="13"/>
    <n v="0.33367763293515168"/>
    <n v="0.29579782790309106"/>
    <s v="1.3.10.1"/>
    <s v="Implementar en un 100% el_x000a_plan de gestión del conocimiento y sistemas de_x000a_información en salud"/>
    <s v="Implementar en un 100% el_x000a_plan de gestión del conocimiento y sistemas de_x000a_información en salud"/>
    <n v="100"/>
    <n v="100"/>
    <s v="1.3.10.1.1"/>
    <s v="Municipios con capacidades_x000a_fortalecidas en sistema de_x000a_información y gestión del_x000a_conocimiento en salud."/>
    <s v="Municipios con capacidades_x000a_fortalecidas en sistema de_x000a_información y gestión del_x000a_conocimiento en salud."/>
    <m/>
    <n v="45"/>
    <s v="Mantenimiento"/>
    <m/>
    <s v="SALUD"/>
    <s v="A.2"/>
    <m/>
    <s v="SECRETARÍA DE SALUD"/>
    <n v="45"/>
    <n v="45"/>
    <n v="45"/>
    <n v="45"/>
    <n v="180"/>
    <b v="0"/>
    <n v="15"/>
    <n v="22"/>
    <n v="45"/>
    <n v="45"/>
    <n v="1"/>
    <n v="45"/>
    <n v="15"/>
    <n v="22"/>
    <m/>
    <n v="45"/>
    <n v="1"/>
    <n v="13.25"/>
    <m/>
    <m/>
    <m/>
    <n v="0.29444444444444445"/>
    <n v="45"/>
    <n v="8"/>
    <m/>
    <m/>
    <m/>
    <n v="0.17777777777777778"/>
    <m/>
    <m/>
    <m/>
    <m/>
    <m/>
    <m/>
    <m/>
    <m/>
    <m/>
    <m/>
    <m/>
    <m/>
    <m/>
    <m/>
    <m/>
    <m/>
    <m/>
    <m/>
    <m/>
    <m/>
    <m/>
    <m/>
    <m/>
    <m/>
    <m/>
  </r>
  <r>
    <n v="1"/>
    <s v="BOLIVAR PROGRESA, SUPERACIÓN DE LA POBREZA"/>
    <m/>
    <m/>
    <x v="2"/>
    <x v="2"/>
    <m/>
    <m/>
    <x v="13"/>
    <x v="13"/>
    <m/>
    <m/>
    <s v="1.3.10.1"/>
    <s v="Implementar en un 100%_x000a_el plan de desarrollo de_x000a_capacidades para el_x000a_fortalecimiento de los_x000a_procesos de gestión de la_x000a_salud pública_x000a_"/>
    <s v="Implementar en un 100%_x000a_el plan de desarrollo de_x000a_capacidades para el_x000a_fortalecimiento de los_x000a_procesos de gestión de la_x000a_salud pública_x000a_"/>
    <n v="100"/>
    <n v="100"/>
    <s v="1.3.10.1.2"/>
    <s v="Municipios con capacidades_x000a_desarrolladas para la ejecución_x000a_de los procesos de gestión de la_x000a_salud pública en el marco de la_x000a_política de atención integral en_x000a_salud_x000a_"/>
    <s v="Municipios con capacidades_x000a_desarrolladas para la ejecución_x000a_de los procesos de gestión de la_x000a_salud pública en el marco de la_x000a_política de atención integral en_x000a_salud_x000a_"/>
    <m/>
    <n v="45"/>
    <s v="Mantenimiento"/>
    <m/>
    <s v="SALUD"/>
    <s v="A.2"/>
    <m/>
    <s v="SECRETARÍA DE SALUD"/>
    <n v="45"/>
    <n v="45"/>
    <n v="45"/>
    <n v="45"/>
    <n v="180"/>
    <b v="0"/>
    <n v="45"/>
    <n v="45"/>
    <n v="45"/>
    <n v="45"/>
    <n v="1"/>
    <n v="45"/>
    <n v="45"/>
    <n v="45"/>
    <m/>
    <n v="45"/>
    <n v="1"/>
    <n v="11.25"/>
    <m/>
    <m/>
    <m/>
    <n v="0.25"/>
    <n v="45"/>
    <n v="0"/>
    <m/>
    <m/>
    <m/>
    <n v="0"/>
    <m/>
    <m/>
    <m/>
    <m/>
    <m/>
    <m/>
    <m/>
    <m/>
    <m/>
    <m/>
    <m/>
    <m/>
    <m/>
    <m/>
    <m/>
    <m/>
    <m/>
    <m/>
    <m/>
    <m/>
    <m/>
    <m/>
    <m/>
    <m/>
    <m/>
  </r>
  <r>
    <n v="1"/>
    <s v="BOLIVAR PROGRESA, SUPERACIÓN DE LA POBREZA"/>
    <m/>
    <m/>
    <x v="2"/>
    <x v="2"/>
    <m/>
    <m/>
    <x v="13"/>
    <x v="13"/>
    <m/>
    <m/>
    <s v="1.3.10.1"/>
    <s v="Implementar en un 100% el_x000a_plan de acción de_x000a_participación social en_x000a_salud"/>
    <s v="Implementar en un 100% el_x000a_plan de acción de_x000a_participación social en_x000a_salud"/>
    <n v="20"/>
    <n v="20"/>
    <s v="1.3.10.1.3"/>
    <s v="Municipios con planes de_x000a_acción de participación_x000a_social en salud_x000a_implementados"/>
    <s v="Municipios con planes de_x000a_acción de participación_x000a_social en salud_x000a_implementados"/>
    <m/>
    <n v="22"/>
    <s v="Incremento"/>
    <m/>
    <m/>
    <m/>
    <m/>
    <s v="SECRETARÍA DE SALUD"/>
    <n v="5"/>
    <n v="6"/>
    <n v="6"/>
    <n v="5"/>
    <n v="22"/>
    <b v="1"/>
    <n v="1"/>
    <n v="2"/>
    <n v="5"/>
    <n v="5"/>
    <n v="0.22727272727272727"/>
    <n v="5"/>
    <n v="1"/>
    <n v="2"/>
    <m/>
    <n v="5"/>
    <n v="1"/>
    <n v="5"/>
    <m/>
    <m/>
    <m/>
    <n v="0.22727272727272727"/>
    <n v="6"/>
    <n v="0"/>
    <m/>
    <m/>
    <m/>
    <n v="0"/>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0"/>
    <m/>
    <s v="Municipios con capacidades_x000a_fortalecidas para la planeación_x000a_integral en salud_x000a_"/>
    <s v="Municipios con capacidades_x000a_fortalecidas para la planeación_x000a_integral en salud_x000a_"/>
    <m/>
    <n v="45"/>
    <s v="Incremento"/>
    <m/>
    <s v="SALUD"/>
    <s v="A.2"/>
    <m/>
    <s v="SECRETARÍA DE SALUD"/>
    <n v="10"/>
    <n v="10"/>
    <n v="15"/>
    <n v="10"/>
    <n v="45"/>
    <b v="1"/>
    <n v="7"/>
    <n v="7"/>
    <n v="10"/>
    <n v="10"/>
    <n v="0.22222222222222221"/>
    <n v="10"/>
    <n v="7"/>
    <n v="7"/>
    <m/>
    <n v="10"/>
    <n v="1"/>
    <n v="13"/>
    <m/>
    <m/>
    <m/>
    <n v="0.28888888888888886"/>
    <n v="10"/>
    <n v="3"/>
    <m/>
    <m/>
    <m/>
    <n v="0.3"/>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1"/>
    <m/>
    <s v="Porcentaje de proyectos de_x000a_inversión en salud formulados_x000a_y aprobados según_x000a_normatividad vigente y_x000a_articulado con las metas del_x000a_Plan de Desarrollo y el Plan_x000a_Territorial de Salud"/>
    <s v="Porcentaje de proyectos de_x000a_inversión en salud formulados_x000a_y aprobados según_x000a_normatividad vigente y_x000a_articulado con las metas del_x000a_Plan de Desarrollo y el Plan_x000a_Territorial de Salud"/>
    <m/>
    <n v="1"/>
    <s v="Mantenimiento"/>
    <m/>
    <s v="SALUD"/>
    <s v="A.2"/>
    <m/>
    <s v="SECRETARÍA DE SALUD"/>
    <n v="1"/>
    <n v="1"/>
    <n v="1"/>
    <n v="1"/>
    <n v="4"/>
    <b v="0"/>
    <n v="0.5"/>
    <n v="0.75"/>
    <n v="1"/>
    <n v="1"/>
    <n v="1"/>
    <n v="1"/>
    <n v="0.25"/>
    <n v="0.5"/>
    <m/>
    <n v="1"/>
    <n v="1"/>
    <n v="0.5"/>
    <m/>
    <m/>
    <m/>
    <n v="0.5"/>
    <n v="1"/>
    <n v="1"/>
    <m/>
    <m/>
    <m/>
    <n v="1"/>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2"/>
    <m/>
    <s v="Porcentaje de planes_x000a_bianuales de inversión en_x000a_salud revisados y_x000a_monitoreados"/>
    <s v="Porcentaje de planes_x000a_bianuales de inversión en_x000a_salud revisados y_x000a_monitoreados"/>
    <m/>
    <n v="1"/>
    <s v="Mantenimiento"/>
    <m/>
    <s v="SALUD"/>
    <s v="A.2"/>
    <m/>
    <s v="SECRETARÍA DE SALUD"/>
    <n v="1"/>
    <n v="1"/>
    <n v="1"/>
    <n v="1"/>
    <n v="4"/>
    <b v="0"/>
    <n v="0.5"/>
    <n v="0.75"/>
    <n v="1"/>
    <n v="1"/>
    <n v="1"/>
    <n v="1"/>
    <n v="0.25"/>
    <n v="0.5"/>
    <m/>
    <n v="1"/>
    <n v="1"/>
    <n v="0.26250000000000001"/>
    <m/>
    <m/>
    <m/>
    <n v="0.26250000000000001"/>
    <n v="1"/>
    <n v="0.05"/>
    <m/>
    <m/>
    <m/>
    <n v="0.05"/>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3"/>
    <m/>
    <s v="Porcentaje de seguimiento de_x000a_la evaluación financiera y_x000a_técnica de los proyectos de_x000a_inversión en salud radicados_x000a_en el banco de proyectos de la_x000a_Entidad Territorial_x000a_"/>
    <s v="Porcentaje de seguimiento de_x000a_la evaluación financiera y_x000a_técnica de los proyectos de_x000a_inversión en salud radicados_x000a_en el banco de proyectos de la_x000a_Entidad Territorial_x000a_"/>
    <m/>
    <n v="1"/>
    <s v="Mantenimiento"/>
    <m/>
    <s v="SALUD"/>
    <s v="A.2"/>
    <m/>
    <s v="SECRETARÍA DE SALUD"/>
    <n v="1"/>
    <n v="1"/>
    <n v="1"/>
    <n v="1"/>
    <n v="4"/>
    <b v="0"/>
    <n v="0.5"/>
    <n v="0.75"/>
    <n v="1"/>
    <n v="1"/>
    <n v="1"/>
    <n v="1"/>
    <n v="0.25"/>
    <n v="0.5"/>
    <m/>
    <n v="1"/>
    <n v="1"/>
    <n v="0.5"/>
    <m/>
    <m/>
    <m/>
    <n v="0.5"/>
    <n v="1"/>
    <n v="1"/>
    <m/>
    <m/>
    <m/>
    <n v="1"/>
    <m/>
    <m/>
    <m/>
    <m/>
    <m/>
    <m/>
    <m/>
    <m/>
    <m/>
    <m/>
    <m/>
    <m/>
    <m/>
    <m/>
    <m/>
    <m/>
    <m/>
    <m/>
    <m/>
    <m/>
    <m/>
    <m/>
    <m/>
    <m/>
    <m/>
  </r>
  <r>
    <n v="1"/>
    <s v="BOLIVAR PROGRESA, SUPERACIÓN DE LA POBREZA"/>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Municipios asistidos_x000a_técnicamente, monitoreados y_x000a_evaluados en relación con la_x000a_ejecución técnica, financiera y_x000a_administrativa de los planes de_x000a_salud pública de intervenciones_x000a_colectivas."/>
    <s v="Municipios asistidos_x000a_técnicamente, monitoreados y_x000a_evaluados en relación con la_x000a_ejecución técnica, financiera y_x000a_administrativa de los planes de_x000a_salud pública de intervenciones_x000a_colectivas."/>
    <m/>
    <n v="45"/>
    <s v="Mantenimiento"/>
    <m/>
    <s v="SALUD"/>
    <s v="A.2"/>
    <m/>
    <s v="SECRETARÍA DE SALUD"/>
    <n v="45"/>
    <n v="45"/>
    <n v="45"/>
    <n v="45"/>
    <n v="180"/>
    <b v="0"/>
    <n v="45"/>
    <n v="45"/>
    <n v="45"/>
    <n v="45"/>
    <n v="1"/>
    <n v="45"/>
    <n v="45"/>
    <n v="45"/>
    <m/>
    <n v="45"/>
    <n v="1"/>
    <n v="13"/>
    <m/>
    <m/>
    <m/>
    <n v="0.28888888888888886"/>
    <n v="45"/>
    <n v="7"/>
    <m/>
    <m/>
    <m/>
    <n v="0.15555555555555556"/>
    <m/>
    <m/>
    <m/>
    <m/>
    <m/>
    <m/>
    <m/>
    <m/>
    <m/>
    <m/>
    <m/>
    <m/>
    <m/>
    <m/>
    <m/>
    <m/>
    <m/>
    <m/>
    <m/>
    <m/>
    <m/>
    <m/>
    <m/>
    <m/>
    <m/>
  </r>
  <r>
    <n v="1"/>
    <s v="BOLIVAR PROGRESA, SUPERACIÓN DE LA POBREZA"/>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Plan de salud pública e_x000a_intervenciones colectivas_x000a_departamental, formulado,_x000a_implementado, monitoreado y_x000a_evaluado"/>
    <s v="Plan de salud pública e_x000a_intervenciones colectivas_x000a_departamental, formulado,_x000a_implementado, monitoreado y_x000a_evaluado"/>
    <m/>
    <n v="4"/>
    <s v="Mantenimiento"/>
    <m/>
    <s v="SALUD"/>
    <s v="A.2"/>
    <m/>
    <s v="SECRETARÍA DE SALUD"/>
    <n v="1"/>
    <n v="1"/>
    <n v="1"/>
    <n v="1"/>
    <n v="4"/>
    <b v="1"/>
    <n v="1"/>
    <n v="1"/>
    <n v="1"/>
    <n v="1"/>
    <n v="0.25"/>
    <n v="1"/>
    <n v="1"/>
    <n v="1"/>
    <m/>
    <n v="1"/>
    <n v="1"/>
    <n v="0.25"/>
    <m/>
    <m/>
    <m/>
    <n v="6.25E-2"/>
    <n v="1"/>
    <n v="0"/>
    <m/>
    <m/>
    <m/>
    <n v="0"/>
    <m/>
    <m/>
    <m/>
    <m/>
    <m/>
    <m/>
    <m/>
    <m/>
    <m/>
    <m/>
    <m/>
    <m/>
    <m/>
    <m/>
    <m/>
    <m/>
    <m/>
    <m/>
    <m/>
    <m/>
    <m/>
    <m/>
    <m/>
    <m/>
    <m/>
  </r>
  <r>
    <n v="1"/>
    <s v="BOLIVAR PROGRESA, SUPERACIÓN DE LA POBREZA"/>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Estrategia de Información_x000a_Educación y comunicación_x000a_implementada en 45 municipios_x000a_para el manejo de IRA e IRA_x000a_asociado a Covid -19"/>
    <s v="Estrategia de Información_x000a_Educación y comunicación_x000a_implementada en 45 municipios_x000a_para el manejo de IRA e IRA_x000a_asociado a Covid -19"/>
    <m/>
    <n v="1"/>
    <s v="Incremento"/>
    <m/>
    <m/>
    <m/>
    <m/>
    <s v="SECRETARÍA DE SALUD"/>
    <n v="1"/>
    <n v="1"/>
    <m/>
    <m/>
    <n v="2"/>
    <b v="0"/>
    <n v="0"/>
    <n v="1"/>
    <n v="1"/>
    <n v="1"/>
    <n v="1"/>
    <n v="1"/>
    <n v="0"/>
    <n v="1"/>
    <m/>
    <n v="1"/>
    <n v="1"/>
    <n v="1"/>
    <m/>
    <m/>
    <m/>
    <n v="1"/>
    <n v="1"/>
    <n v="0"/>
    <m/>
    <m/>
    <m/>
    <n v="0"/>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Municipios con desarrollo de_x000a_capacidades para el_x000a_fortalecimiento de la vigilancia_x000a_en salud pública"/>
    <s v="Municipios con desarrollo de_x000a_capacidades para el_x000a_fortalecimiento de la vigilancia_x000a_en salud pública"/>
    <m/>
    <n v="45"/>
    <s v="Mantenimiento"/>
    <m/>
    <s v="SALUD"/>
    <s v="A.2"/>
    <m/>
    <s v="SECRETARÍA DE SALUD"/>
    <n v="45"/>
    <n v="45"/>
    <n v="45"/>
    <n v="45"/>
    <n v="180"/>
    <b v="0"/>
    <n v="23"/>
    <n v="0"/>
    <n v="45"/>
    <n v="45"/>
    <n v="1"/>
    <n v="45"/>
    <n v="23"/>
    <n v="0"/>
    <m/>
    <n v="45"/>
    <n v="1"/>
    <n v="22.5"/>
    <m/>
    <m/>
    <m/>
    <n v="0.5"/>
    <n v="45"/>
    <n v="45"/>
    <m/>
    <m/>
    <m/>
    <n v="1"/>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Nuevos operadores_x000a_caracterizados y capacitados en_x000a_el Sistema de Vigilancia en Salud_x000a_Pública SIVIGILA "/>
    <s v="Nuevos operadores_x000a_caracterizados y capacitados en_x000a_el Sistema de Vigilancia en Salud_x000a_Pública SIVIGILA "/>
    <m/>
    <n v="1"/>
    <s v="Mantenimiento"/>
    <m/>
    <s v="SALUD"/>
    <s v="A.2"/>
    <m/>
    <s v="SECRETARÍA DE SALUD"/>
    <n v="1"/>
    <n v="0.95"/>
    <n v="1"/>
    <n v="1"/>
    <n v="3.95"/>
    <b v="0"/>
    <n v="0"/>
    <n v="0.5"/>
    <n v="0.7"/>
    <n v="0.7"/>
    <n v="0.7"/>
    <n v="1"/>
    <n v="0.25"/>
    <n v="0"/>
    <m/>
    <n v="0.7"/>
    <n v="0.7"/>
    <n v="0.17499999999999999"/>
    <m/>
    <m/>
    <m/>
    <n v="0.17499999999999999"/>
    <n v="0.95"/>
    <n v="0"/>
    <m/>
    <m/>
    <m/>
    <n v="0"/>
    <m/>
    <m/>
    <m/>
    <m/>
    <m/>
    <m/>
    <m/>
    <m/>
    <m/>
    <m/>
    <m/>
    <m/>
    <m/>
    <m/>
    <m/>
    <m/>
    <m/>
    <m/>
    <m/>
    <m/>
    <m/>
    <m/>
    <m/>
    <m/>
    <m/>
  </r>
  <r>
    <n v="1"/>
    <s v="BOLIVAR PROGRESA, SUPERACIÓN DE LA POBREZA"/>
    <m/>
    <m/>
    <x v="2"/>
    <x v="2"/>
    <m/>
    <m/>
    <x v="13"/>
    <x v="13"/>
    <m/>
    <m/>
    <m/>
    <s v="Mantener en 96% o más el cumplimiento de la_x000a_Notificación de los Eventos de Interés en Salud Pública"/>
    <s v="Mantener en 96% o más el_x000a_cumplimiento de la_x000a_Notificación de los Eventos_x000a_de Interés en Salud Pública"/>
    <n v="100"/>
    <n v="100"/>
    <m/>
    <s v="Análisis de las muertes por_x000a_eventos de interés en salud_x000a_pública ejecutados "/>
    <s v="Análisis de las muertes por_x000a_eventos de interés en salud_x000a_pública ejecutados "/>
    <m/>
    <n v="0.95"/>
    <s v="Mantenimiento"/>
    <m/>
    <m/>
    <m/>
    <m/>
    <s v="SECRETARÍA DE SALUD"/>
    <n v="0.95"/>
    <n v="0.95"/>
    <n v="0.95"/>
    <n v="0.95"/>
    <n v="3.8"/>
    <b v="0"/>
    <n v="0.2"/>
    <n v="0.95"/>
    <n v="0.95"/>
    <n v="0.95"/>
    <n v="1"/>
    <n v="0.95"/>
    <n v="0.2"/>
    <n v="0.95"/>
    <m/>
    <n v="0.95"/>
    <n v="1"/>
    <n v="0.255"/>
    <m/>
    <m/>
    <m/>
    <n v="0.26842105263157895"/>
    <n v="0.95"/>
    <n v="7.0000000000000007E-2"/>
    <m/>
    <m/>
    <m/>
    <n v="7.3684210526315796E-2"/>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s de la Red_x000a_departamental con acciones de_x000a_vigilancia implementadas con_x000a_calidad y en articulación con_x000a_otras redes de vigilancia_x000a_sanitaria"/>
    <s v="Laboratorios de la Red_x000a_departamental con acciones de_x000a_vigilancia implementadas con_x000a_calidad y en articulación con_x000a_otras redes de vigilancia_x000a_sanitaria"/>
    <m/>
    <n v="0.7"/>
    <s v="Mantenimiento"/>
    <m/>
    <s v="SALUD"/>
    <s v="A.2"/>
    <m/>
    <s v="SECRETARÍA DE SALUD"/>
    <n v="0.7"/>
    <n v="0.7"/>
    <n v="0.7"/>
    <n v="0.7"/>
    <n v="2.8"/>
    <b v="0"/>
    <n v="0.2"/>
    <n v="0.7"/>
    <n v="0.7"/>
    <n v="0.7"/>
    <n v="1"/>
    <n v="0.7"/>
    <n v="0.2"/>
    <n v="0.7"/>
    <m/>
    <n v="0.7"/>
    <n v="1"/>
    <n v="0.19999999999999998"/>
    <m/>
    <m/>
    <m/>
    <n v="0.2857142857142857"/>
    <n v="0.7"/>
    <n v="0.1"/>
    <m/>
    <m/>
    <m/>
    <n v="0.14285714285714288"/>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m/>
    <n v="1"/>
    <s v="Mantenimiento"/>
    <m/>
    <s v="SALUD"/>
    <s v="A.2"/>
    <m/>
    <s v="SECRETARÍA DE SALUD"/>
    <n v="1"/>
    <n v="1"/>
    <n v="1"/>
    <n v="1"/>
    <n v="4"/>
    <b v="0"/>
    <n v="1"/>
    <n v="1"/>
    <n v="1"/>
    <n v="1"/>
    <n v="1"/>
    <n v="1"/>
    <n v="1"/>
    <n v="1"/>
    <m/>
    <n v="1"/>
    <n v="1"/>
    <n v="0.5"/>
    <m/>
    <m/>
    <m/>
    <n v="0.5"/>
    <n v="1"/>
    <n v="1"/>
    <m/>
    <m/>
    <m/>
    <n v="1"/>
    <m/>
    <m/>
    <m/>
    <m/>
    <m/>
    <m/>
    <m/>
    <m/>
    <m/>
    <m/>
    <m/>
    <m/>
    <m/>
    <m/>
    <m/>
    <m/>
    <m/>
    <m/>
    <m/>
    <m/>
    <m/>
    <m/>
    <m/>
    <m/>
    <m/>
  </r>
  <r>
    <n v="1"/>
    <s v="BOLIVAR PROGRESA, SUPERACIÓN DE LA POBREZA"/>
    <m/>
    <m/>
    <x v="2"/>
    <x v="2"/>
    <m/>
    <m/>
    <x v="13"/>
    <x v="13"/>
    <m/>
    <m/>
    <m/>
    <s v="Aumentar la cobertura de aseguramiento en salud en el departamento a 98.1% "/>
    <s v="Aumentar la cobertura de_x000a_aseguramiento en salud en_x000a_el departamento a 98.1%"/>
    <s v="98.1"/>
    <n v="100"/>
    <m/>
    <s v="Sostenibilidad del Régimen Subsidiado en Salud."/>
    <s v="Sostenibilidad del Régimen Subsidiado en Salud."/>
    <m/>
    <n v="1"/>
    <s v="Mantenimiento"/>
    <m/>
    <s v="SALUD"/>
    <s v="A.2"/>
    <m/>
    <s v="SECRETARÍA DE SALUD"/>
    <n v="1"/>
    <n v="1"/>
    <n v="1"/>
    <n v="1"/>
    <n v="4"/>
    <b v="0"/>
    <n v="0.5"/>
    <n v="0.63"/>
    <n v="1"/>
    <n v="1"/>
    <n v="1"/>
    <n v="1"/>
    <n v="0.5"/>
    <n v="0.63"/>
    <m/>
    <n v="1"/>
    <n v="1"/>
    <n v="0.5"/>
    <m/>
    <m/>
    <m/>
    <n v="0.5"/>
    <n v="1"/>
    <n v="1"/>
    <m/>
    <m/>
    <m/>
    <n v="1"/>
    <m/>
    <m/>
    <m/>
    <m/>
    <m/>
    <m/>
    <m/>
    <m/>
    <m/>
    <m/>
    <m/>
    <m/>
    <m/>
    <m/>
    <m/>
    <m/>
    <m/>
    <m/>
    <m/>
    <m/>
    <m/>
    <m/>
    <m/>
    <m/>
    <m/>
  </r>
  <r>
    <n v="1"/>
    <s v="BOLIVAR PROGRESA, SUPERACIÓN DE LA POBREZA"/>
    <m/>
    <m/>
    <x v="2"/>
    <x v="2"/>
    <m/>
    <m/>
    <x v="13"/>
    <x v="13"/>
    <m/>
    <m/>
    <m/>
    <s v="Aumentar la cobertura de aseguramiento en salud en el departamento a 98.1% "/>
    <s v="Aumentar la cobertura de_x000a_aseguramiento en salud en_x000a_el departamento a 98.1%"/>
    <s v="98.1"/>
    <n v="100"/>
    <m/>
    <s v="Municipios beneficiados con acciones de desarrollo de capacidades para la gestión eficiente del régimen subsidiado en salud"/>
    <s v="Municipios beneficiados con acciones de desarrollo de capacidades para la gestión eficiente del régimen subsidiado en salud"/>
    <m/>
    <n v="45"/>
    <s v="Incremento"/>
    <m/>
    <s v="SALUD"/>
    <s v="A.2"/>
    <m/>
    <s v="SECRETARÍA DE SALUD"/>
    <n v="45"/>
    <n v="45"/>
    <n v="45"/>
    <n v="45"/>
    <n v="180"/>
    <b v="0"/>
    <n v="45"/>
    <n v="45"/>
    <n v="45"/>
    <n v="45"/>
    <n v="1"/>
    <n v="45"/>
    <n v="45"/>
    <n v="45"/>
    <m/>
    <n v="45"/>
    <n v="1"/>
    <n v="90"/>
    <m/>
    <m/>
    <m/>
    <n v="2"/>
    <n v="45"/>
    <n v="45"/>
    <m/>
    <m/>
    <m/>
    <n v="1"/>
    <m/>
    <m/>
    <m/>
    <m/>
    <m/>
    <m/>
    <m/>
    <m/>
    <m/>
    <m/>
    <m/>
    <m/>
    <m/>
    <m/>
    <m/>
    <m/>
    <m/>
    <m/>
    <m/>
    <m/>
    <m/>
    <m/>
    <m/>
    <m/>
    <m/>
  </r>
  <r>
    <n v="1"/>
    <s v="BOLIVAR PROGRESA, SUPERACIÓN DE LA POBREZA"/>
    <m/>
    <m/>
    <x v="2"/>
    <x v="2"/>
    <m/>
    <m/>
    <x v="13"/>
    <x v="13"/>
    <m/>
    <m/>
    <m/>
    <s v="Aumentar la cobertura de aseguramiento en salud en el departamento a 98.1% "/>
    <s v="Aumentar la cobertura de_x000a_aseguramiento en salud en_x000a_el departamento a 98.1%"/>
    <s v="98.1"/>
    <n v="100"/>
    <m/>
    <s v="Base de Datos Única de Afiliados depurada."/>
    <s v="Base de Datos Única de Afiliados depurada."/>
    <m/>
    <n v="0.97"/>
    <s v="Mantenimiento"/>
    <m/>
    <s v="SALUD"/>
    <s v="A.2"/>
    <m/>
    <s v="SECRETARÍA DE SALUD"/>
    <n v="0.97"/>
    <n v="0.97"/>
    <n v="0.97"/>
    <n v="0.97"/>
    <n v="3.88"/>
    <b v="0"/>
    <n v="0.89"/>
    <n v="0.9"/>
    <n v="0.97"/>
    <n v="0.97"/>
    <n v="1"/>
    <n v="0.97"/>
    <n v="0.89"/>
    <n v="0.9"/>
    <m/>
    <n v="0.97"/>
    <n v="1"/>
    <n v="0.48499999999999999"/>
    <m/>
    <m/>
    <m/>
    <n v="0.5"/>
    <n v="0.97"/>
    <n v="0.97"/>
    <m/>
    <m/>
    <m/>
    <n v="1"/>
    <m/>
    <m/>
    <m/>
    <m/>
    <m/>
    <m/>
    <m/>
    <m/>
    <m/>
    <m/>
    <m/>
    <m/>
    <m/>
    <m/>
    <m/>
    <m/>
    <m/>
    <m/>
    <m/>
    <m/>
    <m/>
    <m/>
    <m/>
    <m/>
    <m/>
  </r>
  <r>
    <n v="1"/>
    <s v="BOLIVAR PROGRESA, SUPERACIÓN DE LA POBREZA"/>
    <m/>
    <m/>
    <x v="2"/>
    <x v="2"/>
    <m/>
    <m/>
    <x v="13"/>
    <x v="13"/>
    <m/>
    <m/>
    <m/>
    <s v="Aumentar a 45 el número_x000a_de secretarías locales de_x000a_Salud con intervenciones_x000a_de protección específica,_x000a_detección temprana y_x000a_acciones de atención_x000a_integral de eventos de_x000a_interés en salud pública_x000a_monitoreadas y evaluadas"/>
    <s v="Aumentar a 45 el número_x000a_de secretarías locales de_x000a_Salud con intervenciones_x000a_de protección específica,_x000a_detección temprana y_x000a_acciones de atención_x000a_integral de eventos de_x000a_interés en salud pública_x000a_monitoreadas y evaluadas"/>
    <n v="35"/>
    <n v="45"/>
    <m/>
    <s v="Proyecto de expansión_x000a_hospitalaria para la atención en_x000a_la emergencia sanitaria covid19 formulado y ejecutado "/>
    <s v="Proyecto de expansión_x000a_hospitalaria para la atención en_x000a_la emergencia sanitaria covid19 formulado y ejecutado "/>
    <m/>
    <n v="1"/>
    <s v="Mantenimiento"/>
    <m/>
    <s v="SALUD"/>
    <s v="A.2"/>
    <m/>
    <s v="SECRETARÍA DE SALUD"/>
    <n v="1"/>
    <m/>
    <m/>
    <m/>
    <n v="1"/>
    <b v="1"/>
    <n v="1"/>
    <n v="1"/>
    <n v="1"/>
    <n v="1"/>
    <n v="1"/>
    <n v="1"/>
    <n v="1"/>
    <n v="1"/>
    <m/>
    <n v="1"/>
    <n v="1"/>
    <n v="0.25"/>
    <m/>
    <m/>
    <m/>
    <n v="0.25"/>
    <s v="NP"/>
    <n v="0"/>
    <m/>
    <m/>
    <m/>
    <s v="NP"/>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Empresas Sociales del Estado_x000a_asesoradas en la_x000a_implementación centros de_x000a_costos por servicio y_x000a_optimización de procesos_x000a_contables y financieros."/>
    <s v="Empresas Sociales del Estado_x000a_asesoradas en la_x000a_implementación centros de_x000a_costos por servicio y_x000a_optimización de procesos_x000a_contables y financieros."/>
    <m/>
    <n v="18"/>
    <s v="Incremento"/>
    <m/>
    <s v="SALUD"/>
    <s v="A.4"/>
    <m/>
    <s v="SECRETARÍA DE SALUD"/>
    <n v="2"/>
    <n v="6"/>
    <n v="5"/>
    <n v="6"/>
    <n v="19"/>
    <b v="0"/>
    <n v="0"/>
    <n v="2"/>
    <n v="2"/>
    <n v="2"/>
    <n v="0.1111111111111111"/>
    <n v="2"/>
    <n v="0"/>
    <n v="2"/>
    <m/>
    <n v="2"/>
    <n v="1"/>
    <n v="2"/>
    <m/>
    <m/>
    <m/>
    <n v="0.1111111111111111"/>
    <n v="6"/>
    <n v="0"/>
    <m/>
    <m/>
    <m/>
    <n v="0"/>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Servicios de telemedicina implementados en municipios priorizados."/>
    <s v="Servicios de telemedicina implementados en municipios priorizados."/>
    <m/>
    <n v="12"/>
    <s v="Incremento"/>
    <m/>
    <s v="SALUD"/>
    <s v="A.4"/>
    <m/>
    <s v="SECRETARÍA DE SALUD"/>
    <m/>
    <n v="2"/>
    <n v="2"/>
    <n v="2"/>
    <n v="6"/>
    <b v="0"/>
    <m/>
    <m/>
    <m/>
    <m/>
    <n v="0"/>
    <m/>
    <m/>
    <m/>
    <m/>
    <m/>
    <s v="NP"/>
    <n v="0"/>
    <m/>
    <m/>
    <m/>
    <n v="0"/>
    <n v="2"/>
    <n v="0"/>
    <m/>
    <m/>
    <m/>
    <n v="0"/>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mejoramiento de_x000a_infraestructura y dotación_x000a_hospitalaria avalado según_x000a_documento red de prestación_x000a_de servicios y plan bienal de_x000a_inversiones departamental,_x000a_formulado y ejecutado._x000a_"/>
    <s v="Plan de mejoramiento de_x000a_infraestructura y dotación_x000a_hospitalaria avalado según_x000a_documento red de prestación_x000a_de servicios y plan bienal de_x000a_inversiones departamental,_x000a_formulado y ejecutado._x000a_"/>
    <m/>
    <n v="1"/>
    <s v="Mantenimiento"/>
    <m/>
    <s v="SALUD"/>
    <s v="A.4"/>
    <m/>
    <s v="SECRETARÍA DE SALUD"/>
    <n v="1"/>
    <n v="1"/>
    <n v="1"/>
    <n v="1"/>
    <n v="4"/>
    <b v="0"/>
    <n v="1"/>
    <n v="1"/>
    <n v="1"/>
    <n v="1"/>
    <n v="1"/>
    <n v="1"/>
    <n v="0.5"/>
    <n v="0.5"/>
    <m/>
    <n v="1"/>
    <n v="1"/>
    <n v="0.25"/>
    <m/>
    <m/>
    <m/>
    <n v="0.25"/>
    <n v="1"/>
    <n v="0"/>
    <m/>
    <m/>
    <m/>
    <n v="0"/>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dotación de_x000a_ambulancias a Empresas_x000a_Sociales del Estado ejecutado"/>
    <s v="Plan de dotación de_x000a_ambulancias a Empresas_x000a_Sociales del Estado ejecutado"/>
    <m/>
    <n v="1"/>
    <s v="Incremento"/>
    <m/>
    <m/>
    <m/>
    <m/>
    <s v="SECRETARÍA DE SALUD"/>
    <m/>
    <n v="1"/>
    <m/>
    <m/>
    <n v="1"/>
    <b v="1"/>
    <m/>
    <m/>
    <m/>
    <m/>
    <n v="0"/>
    <m/>
    <m/>
    <m/>
    <m/>
    <m/>
    <s v="NP"/>
    <n v="0"/>
    <m/>
    <m/>
    <m/>
    <n v="0"/>
    <n v="1"/>
    <n v="0"/>
    <m/>
    <m/>
    <m/>
    <n v="0"/>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Cumplimiento del plan de visitas_x000a_programado de acuerdo a los_x000a_componentes definidos en el_x000a_Sistema Obligatorio de Garantía de_x000a_la Calidad"/>
    <s v="Cumplimiento del plan de visitas_x000a_programado de acuerdo a los_x000a_componentes definidos en el_x000a_Sistema Obligatorio de Garantía de_x000a_la Calidad"/>
    <m/>
    <n v="0.9"/>
    <s v="Incremento"/>
    <m/>
    <s v="SALUD"/>
    <s v="A.4"/>
    <m/>
    <s v="SECRETARÍA DE SALUD"/>
    <n v="0.05"/>
    <n v="0.3"/>
    <n v="0.3"/>
    <n v="0.25"/>
    <n v="0.89999999999999991"/>
    <b v="1"/>
    <n v="0.03"/>
    <n v="0.05"/>
    <n v="0.05"/>
    <n v="0.05"/>
    <n v="5.5555555555555559E-2"/>
    <n v="0.05"/>
    <n v="0.06"/>
    <n v="0.05"/>
    <m/>
    <n v="0.05"/>
    <n v="1"/>
    <n v="7.0000000000000007E-2"/>
    <m/>
    <m/>
    <m/>
    <n v="7.7777777777777779E-2"/>
    <n v="0.3"/>
    <n v="0.02"/>
    <m/>
    <m/>
    <m/>
    <n v="6.6666666666666666E-2"/>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Cobertura de Acciones de_x000a_Inspección, Vigilancia y Control al_x000a_Flujo de recursos programados"/>
    <s v="Cobertura de Acciones de_x000a_Inspección, Vigilancia y Control al_x000a_Flujo de recursos programados"/>
    <m/>
    <n v="1"/>
    <s v="Mantenimiento"/>
    <m/>
    <s v="SALUD"/>
    <s v="A.4"/>
    <m/>
    <s v="SECRETARÍA DE SALUD"/>
    <n v="1"/>
    <n v="1"/>
    <n v="1"/>
    <n v="1"/>
    <n v="4"/>
    <b v="0"/>
    <n v="0.1"/>
    <n v="0.57999999999999996"/>
    <n v="0.8"/>
    <n v="0.8"/>
    <n v="0.8"/>
    <n v="1"/>
    <n v="0.1"/>
    <n v="0.1"/>
    <m/>
    <n v="0.8"/>
    <n v="0.8"/>
    <n v="0.20500000000000002"/>
    <m/>
    <m/>
    <m/>
    <n v="0.20500000000000002"/>
    <n v="1"/>
    <n v="0.02"/>
    <m/>
    <m/>
    <m/>
    <n v="0.02"/>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Municipios operando_x000a_Satisfactoriamente al menos tres_x000a_mecanismos de participación_x000a_Social_x000a_"/>
    <s v="Municipios operando_x000a_Satisfactoriamente al menos tres_x000a_mecanismos de participación_x000a_Social_x000a_"/>
    <m/>
    <n v="22"/>
    <s v="Incremento"/>
    <m/>
    <s v="SALUD"/>
    <s v="A.4"/>
    <m/>
    <s v="SECRETARÍA DE SALUD"/>
    <n v="5"/>
    <n v="5"/>
    <n v="7"/>
    <n v="7"/>
    <n v="24"/>
    <b v="0"/>
    <n v="0"/>
    <n v="1"/>
    <n v="1"/>
    <n v="1"/>
    <n v="4.5454545454545456E-2"/>
    <n v="5"/>
    <n v="0"/>
    <n v="1"/>
    <m/>
    <n v="1"/>
    <n v="0.2"/>
    <n v="1"/>
    <m/>
    <m/>
    <m/>
    <n v="4.5454545454545456E-2"/>
    <n v="5"/>
    <n v="0"/>
    <m/>
    <m/>
    <m/>
    <n v="0"/>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Ranking de municipios certificados"/>
    <s v="Ranking de municipios certificados"/>
    <m/>
    <n v="4"/>
    <s v="Incremento"/>
    <m/>
    <s v="SALUD"/>
    <s v="A.4"/>
    <m/>
    <s v="SECRETARÍA DE SALUD"/>
    <n v="1"/>
    <n v="1"/>
    <n v="1"/>
    <n v="1"/>
    <n v="4"/>
    <b v="1"/>
    <n v="0"/>
    <n v="0"/>
    <n v="0"/>
    <n v="0"/>
    <n v="0"/>
    <n v="1"/>
    <n v="0"/>
    <n v="0"/>
    <m/>
    <n v="0"/>
    <n v="0"/>
    <n v="0"/>
    <m/>
    <m/>
    <m/>
    <n v="0"/>
    <n v="1"/>
    <n v="0"/>
    <m/>
    <m/>
    <m/>
    <n v="0"/>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Municipios con metodología_x000a_GAUDI, implementada para la_x000a_auditoría del régimen subsidiado"/>
    <s v="Municipios con metodología_x000a_GAUDI, implementada para la_x000a_auditoría del régimen subsidiado"/>
    <m/>
    <n v="0.8"/>
    <s v="Incremento"/>
    <m/>
    <s v="SALUD"/>
    <s v="A.5"/>
    <m/>
    <s v="SECRETARÍA DE SALUD"/>
    <n v="0.3"/>
    <n v="0.2"/>
    <n v="0.3"/>
    <n v="0.3"/>
    <n v="1.1000000000000001"/>
    <b v="0"/>
    <n v="0"/>
    <n v="0"/>
    <n v="0"/>
    <n v="0"/>
    <n v="0"/>
    <n v="0.3"/>
    <n v="0"/>
    <n v="0"/>
    <m/>
    <n v="0"/>
    <n v="0"/>
    <n v="0"/>
    <m/>
    <m/>
    <m/>
    <n v="0"/>
    <n v="0.2"/>
    <n v="0"/>
    <m/>
    <m/>
    <m/>
    <n v="0"/>
    <m/>
    <m/>
    <m/>
    <m/>
    <m/>
    <m/>
    <m/>
    <m/>
    <m/>
    <m/>
    <m/>
    <m/>
    <m/>
    <m/>
    <m/>
    <m/>
    <m/>
    <m/>
    <m/>
    <m/>
    <m/>
    <m/>
    <m/>
    <m/>
    <m/>
  </r>
  <r>
    <n v="1"/>
    <s v="BOLIVAR PROGRESA, SUPERACIÓN DE LA POBREZA"/>
    <m/>
    <m/>
    <x v="3"/>
    <x v="3"/>
    <n v="0.17722222222222223"/>
    <n v="0.2722222222222222"/>
    <x v="14"/>
    <x v="14"/>
    <n v="0"/>
    <n v="0"/>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Viviendas nuevas Iniciadas con el propósito de reducir del déficit cuantitativo."/>
    <s v="Viviendas nuevas Iniciadas con el propósito de reducir del déficit cuantitativo."/>
    <n v="97004"/>
    <n v="5000"/>
    <s v="Disminución"/>
    <m/>
    <s v="Vivienda"/>
    <n v="40"/>
    <s v="11 Ciudades y comunidades sostenibles"/>
    <s v="SECRETARÍA DE HÁBITAT"/>
    <m/>
    <n v="1650"/>
    <m/>
    <m/>
    <n v="1650"/>
    <b v="0"/>
    <m/>
    <m/>
    <m/>
    <m/>
    <n v="0"/>
    <m/>
    <m/>
    <m/>
    <m/>
    <m/>
    <s v="NP"/>
    <n v="0"/>
    <m/>
    <m/>
    <m/>
    <n v="0"/>
    <n v="1650"/>
    <n v="0"/>
    <m/>
    <m/>
    <m/>
    <n v="0"/>
    <m/>
    <m/>
    <m/>
    <m/>
    <m/>
    <m/>
    <m/>
    <m/>
    <m/>
    <m/>
    <m/>
    <m/>
    <m/>
    <m/>
    <m/>
    <m/>
    <m/>
    <m/>
    <m/>
    <m/>
    <m/>
    <m/>
    <m/>
    <m/>
    <m/>
  </r>
  <r>
    <n v="1"/>
    <s v="BOLIVAR PROGRESA, SUPERACIÓN DE LA POBREZA"/>
    <m/>
    <m/>
    <x v="3"/>
    <x v="3"/>
    <m/>
    <m/>
    <x v="14"/>
    <x v="14"/>
    <m/>
    <m/>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Títulos de predios fiscales entregados a los hogares ocupantes con vivienda."/>
    <s v="Títulos de predios fiscales entregados a los hogares ocupantes con vivienda."/>
    <n v="1052"/>
    <n v="1000"/>
    <s v="Incremento"/>
    <m/>
    <s v="Vivienda"/>
    <n v="40"/>
    <s v="11 Ciudades y comunidades sostenibles"/>
    <s v="SECRETARÍA DE HÁBITAT"/>
    <m/>
    <m/>
    <m/>
    <m/>
    <n v="0"/>
    <b v="0"/>
    <m/>
    <m/>
    <m/>
    <m/>
    <n v="0"/>
    <m/>
    <m/>
    <m/>
    <m/>
    <m/>
    <s v="NP"/>
    <n v="0"/>
    <m/>
    <m/>
    <m/>
    <n v="0"/>
    <s v="NP"/>
    <n v="0"/>
    <m/>
    <m/>
    <m/>
    <s v="NP"/>
    <m/>
    <m/>
    <m/>
    <m/>
    <m/>
    <m/>
    <m/>
    <m/>
    <m/>
    <m/>
    <m/>
    <m/>
    <m/>
    <m/>
    <m/>
    <m/>
    <m/>
    <m/>
    <m/>
    <m/>
    <m/>
    <m/>
    <m/>
    <m/>
    <m/>
  </r>
  <r>
    <n v="1"/>
    <s v="BOLIVAR PROGRESA, SUPERACIÓN DE LA POBREZA"/>
    <m/>
    <m/>
    <x v="3"/>
    <x v="3"/>
    <m/>
    <m/>
    <x v="15"/>
    <x v="15"/>
    <n v="0.23629629629629631"/>
    <n v="0.32666666666666666"/>
    <m/>
    <s v="Aumentar a 90% la cobertura de agua potable en zona urbana en el departamento de Bolívar."/>
    <s v="Aumentar a 90% la cobertura de agua potable en zona urbana en el departamento de Bolívar."/>
    <n v="77"/>
    <n v="90"/>
    <m/>
    <s v="Construir y/o rehabilitar 9 acueductos en zona urbana del departamento de Bolívar"/>
    <s v="Construir y/o rehabilitar 9 acueductos en zona urbana del departamento de Bolívar"/>
    <n v="24"/>
    <n v="9"/>
    <s v="Incremento"/>
    <m/>
    <s v="AGUA POTABLE Y SANEAMIENTO BASICO "/>
    <s v="A.3"/>
    <m/>
    <s v="AGUAS DE BOLÍVAR"/>
    <n v="3"/>
    <n v="2"/>
    <n v="2"/>
    <n v="2"/>
    <n v="9"/>
    <b v="1"/>
    <n v="0"/>
    <n v="1"/>
    <n v="2"/>
    <n v="2"/>
    <n v="0.22222222222222221"/>
    <n v="3"/>
    <n v="0"/>
    <n v="1"/>
    <m/>
    <n v="2"/>
    <n v="0.66666666666666663"/>
    <n v="3"/>
    <m/>
    <m/>
    <m/>
    <n v="0.33333333333333331"/>
    <n v="2"/>
    <n v="1"/>
    <m/>
    <m/>
    <m/>
    <n v="0.5"/>
    <m/>
    <m/>
    <m/>
    <m/>
    <m/>
    <m/>
    <m/>
    <m/>
    <m/>
    <m/>
    <m/>
    <m/>
    <m/>
    <m/>
    <m/>
    <m/>
    <m/>
    <m/>
    <m/>
    <m/>
    <m/>
    <m/>
    <m/>
    <m/>
    <m/>
  </r>
  <r>
    <n v="1"/>
    <s v="BOLIVAR PROGRESA, SUPERACIÓN DE LA POBREZA"/>
    <m/>
    <m/>
    <x v="3"/>
    <x v="3"/>
    <m/>
    <m/>
    <x v="15"/>
    <x v="15"/>
    <m/>
    <m/>
    <m/>
    <s v="Aumentar a 50% la cobertura del servicio de agua en zona rural."/>
    <s v="Aumentar a 50% la cobertura del servicio de agua en zona rural."/>
    <n v="41"/>
    <n v="50"/>
    <m/>
    <s v="Construir y/o rehabilitar 25 acueductos en zona rural del departamento de Bolívar"/>
    <s v="Construir y/o rehabilitar 25 acueductos en zona rural del departamento de Bolívar"/>
    <n v="13"/>
    <n v="25"/>
    <s v="Incremento"/>
    <m/>
    <s v="AGUA POTABLE Y SANEAMIENTO BASICO "/>
    <s v="A.3"/>
    <m/>
    <s v="AGUAS DE BOLÍVAR"/>
    <n v="5"/>
    <n v="5"/>
    <n v="7"/>
    <n v="8"/>
    <n v="25"/>
    <b v="1"/>
    <n v="2"/>
    <n v="3"/>
    <n v="5"/>
    <n v="5"/>
    <n v="0.2"/>
    <n v="5"/>
    <n v="2"/>
    <n v="3"/>
    <m/>
    <n v="5"/>
    <n v="1"/>
    <n v="6"/>
    <m/>
    <m/>
    <m/>
    <n v="0.24"/>
    <n v="5"/>
    <n v="1"/>
    <m/>
    <m/>
    <m/>
    <n v="0.2"/>
    <m/>
    <m/>
    <m/>
    <m/>
    <m/>
    <m/>
    <m/>
    <m/>
    <m/>
    <m/>
    <m/>
    <m/>
    <m/>
    <m/>
    <m/>
    <m/>
    <m/>
    <m/>
    <m/>
    <m/>
    <m/>
    <m/>
    <m/>
    <m/>
    <m/>
  </r>
  <r>
    <n v="1"/>
    <s v="BOLIVAR PROGRESA, SUPERACIÓN DE LA POBREZA"/>
    <m/>
    <m/>
    <x v="3"/>
    <x v="3"/>
    <m/>
    <m/>
    <x v="15"/>
    <x v="15"/>
    <m/>
    <m/>
    <m/>
    <s v="Aumentar a 40% la cobertura del servicio de alcantarillado en zona urbana del departamento de Bolívar."/>
    <s v="Aumentar a 40% la cobertura del servicio de alcantarillado en zona urbana del departamento de Bolívar."/>
    <n v="24"/>
    <n v="40"/>
    <m/>
    <s v="Construir y/o rehabilitar 5 alcantarillados en zona urbana del departamento de Bolívar"/>
    <s v="Construir y/o rehabilitar 5 alcantarillados en zona urbana del departamento de Bolívar"/>
    <n v="2"/>
    <n v="5"/>
    <s v="Incremento"/>
    <m/>
    <s v="AGUA POTABLE Y SANEAMIENTO BASICO "/>
    <s v="A.3"/>
    <m/>
    <s v="AGUAS DE BOLÍVAR"/>
    <n v="1"/>
    <n v="1"/>
    <n v="1"/>
    <n v="2"/>
    <n v="5"/>
    <b v="1"/>
    <n v="1"/>
    <n v="3"/>
    <n v="0"/>
    <n v="0"/>
    <n v="0"/>
    <n v="1"/>
    <n v="1"/>
    <n v="1"/>
    <m/>
    <n v="0"/>
    <n v="0"/>
    <n v="0"/>
    <m/>
    <m/>
    <m/>
    <n v="0"/>
    <n v="1"/>
    <m/>
    <m/>
    <m/>
    <m/>
    <n v="0"/>
    <m/>
    <m/>
    <m/>
    <m/>
    <m/>
    <m/>
    <m/>
    <m/>
    <m/>
    <m/>
    <m/>
    <m/>
    <m/>
    <m/>
    <m/>
    <m/>
    <m/>
    <m/>
    <m/>
    <m/>
    <m/>
    <m/>
    <m/>
    <m/>
    <m/>
  </r>
  <r>
    <n v="1"/>
    <s v="BOLIVAR PROGRESA, SUPERACIÓN DE LA POBREZA"/>
    <m/>
    <m/>
    <x v="3"/>
    <x v="3"/>
    <m/>
    <m/>
    <x v="15"/>
    <x v="15"/>
    <m/>
    <m/>
    <m/>
    <s v="Aumentar en 85% la cobertura de aseo  en zona urbana del departamento de Bolívar."/>
    <s v="Aumentar en 85% la cobertura de aseo  en zona urbana del departamento de Bolívar."/>
    <n v="75"/>
    <n v="85"/>
    <m/>
    <s v="Construir y/o rehabilitar un (1) sistema regional de aseo en zona urbana del departamento de Bolívar."/>
    <s v="Construir y/o rehabilitar un (1) sistema regional de aseo en zona urbana del departamento de Bolívar."/>
    <n v="2"/>
    <n v="1"/>
    <s v="Incremento"/>
    <m/>
    <s v="AGUA POTABLE Y SANEAMIENTO BASICO "/>
    <s v="A.3"/>
    <m/>
    <s v="AGUAS DE BOLÍVAR"/>
    <m/>
    <m/>
    <n v="1"/>
    <m/>
    <n v="1"/>
    <b v="1"/>
    <m/>
    <m/>
    <m/>
    <m/>
    <n v="0"/>
    <m/>
    <m/>
    <m/>
    <m/>
    <m/>
    <s v="NP"/>
    <n v="0"/>
    <m/>
    <m/>
    <m/>
    <n v="0"/>
    <s v="NP"/>
    <m/>
    <m/>
    <m/>
    <m/>
    <s v="NP"/>
    <m/>
    <m/>
    <m/>
    <m/>
    <m/>
    <m/>
    <m/>
    <m/>
    <m/>
    <m/>
    <m/>
    <m/>
    <m/>
    <m/>
    <m/>
    <m/>
    <m/>
    <m/>
    <m/>
    <m/>
    <m/>
    <m/>
    <m/>
    <m/>
    <m/>
  </r>
  <r>
    <n v="1"/>
    <s v="BOLIVAR PROGRESA, SUPERACIÓN DE LA POBREZA"/>
    <m/>
    <m/>
    <x v="3"/>
    <x v="3"/>
    <m/>
    <m/>
    <x v="15"/>
    <x v="15"/>
    <m/>
    <m/>
    <m/>
    <s v="Aumentar a 100% de los municipios del departamento de Bolívar la asistencia técnica para disminuir promedio IRCA."/>
    <s v="Aumentar a 100% de los municipios del departamento de Bolívar la asistencia técnica para disminuir promedio IRCA."/>
    <n v="41"/>
    <n v="45"/>
    <m/>
    <s v="Asistir técnicamente a los 45 municipios vinculados al PDA Bolívar "/>
    <s v="Asistir técnicamente a los 45 municipios vinculados al PDA Bolívar "/>
    <n v="41"/>
    <n v="45"/>
    <s v="Incremento"/>
    <m/>
    <s v="AGUA POTABLE Y SANEAMIENTO BASICO "/>
    <s v="A.3"/>
    <m/>
    <s v="AGUAS DE BOLÍVAR"/>
    <n v="6"/>
    <n v="15"/>
    <n v="12"/>
    <n v="12"/>
    <n v="45"/>
    <b v="1"/>
    <n v="5"/>
    <n v="8"/>
    <n v="12"/>
    <n v="12"/>
    <n v="0.26666666666666666"/>
    <n v="6"/>
    <n v="5"/>
    <n v="6"/>
    <m/>
    <n v="12"/>
    <n v="1"/>
    <n v="19"/>
    <m/>
    <m/>
    <m/>
    <n v="0.42222222222222222"/>
    <n v="15"/>
    <n v="7"/>
    <m/>
    <m/>
    <m/>
    <n v="0.46666666666666667"/>
    <m/>
    <m/>
    <m/>
    <m/>
    <m/>
    <m/>
    <m/>
    <m/>
    <m/>
    <m/>
    <m/>
    <m/>
    <m/>
    <m/>
    <m/>
    <m/>
    <m/>
    <m/>
    <m/>
    <m/>
    <m/>
    <m/>
    <m/>
    <m/>
    <m/>
  </r>
  <r>
    <n v="1"/>
    <s v="BOLIVAR PROGRESA, SUPERACIÓN DE LA POBREZA"/>
    <m/>
    <m/>
    <x v="3"/>
    <x v="3"/>
    <m/>
    <m/>
    <x v="15"/>
    <x v="15"/>
    <m/>
    <m/>
    <m/>
    <s v="Aumentar en 3 horas (a 18 h/día) el promedio de continuidad del servicio de agua potable en zona urbana del departamento de Bolívar"/>
    <s v="Aumentar en 3 horas (a 18 h/día) el promedio de continuidad del servicio de agua potable en zona urbana del departamento de Bolívar"/>
    <n v="15"/>
    <n v="18"/>
    <m/>
    <s v="Asistir técnicamente a los 45 municipios del departamento de Bolivar para aumentar el promedio de continuidad del servicio de agua  potable en zona urbana."/>
    <s v="Asistir técnicamente a los 45 municipios del departamento de Bolivar para aumentar el promedio de continuidad del servicio de agua  potable en zona urbana."/>
    <n v="19"/>
    <n v="45"/>
    <s v="Incremento"/>
    <m/>
    <s v="AGUA POTABLE Y SANEAMIENTO BASICO "/>
    <s v="A.3"/>
    <m/>
    <s v="AGUAS DE BOLÍVAR"/>
    <n v="6"/>
    <n v="15"/>
    <n v="12"/>
    <n v="12"/>
    <n v="45"/>
    <b v="1"/>
    <n v="5"/>
    <n v="8"/>
    <n v="12"/>
    <n v="12"/>
    <n v="0.26666666666666666"/>
    <n v="6"/>
    <n v="5"/>
    <n v="6"/>
    <m/>
    <n v="12"/>
    <n v="1"/>
    <n v="19"/>
    <m/>
    <m/>
    <m/>
    <n v="0.42222222222222222"/>
    <n v="15"/>
    <n v="7"/>
    <m/>
    <m/>
    <m/>
    <n v="0.46666666666666667"/>
    <m/>
    <m/>
    <m/>
    <m/>
    <m/>
    <m/>
    <m/>
    <m/>
    <m/>
    <m/>
    <m/>
    <m/>
    <m/>
    <m/>
    <m/>
    <m/>
    <m/>
    <m/>
    <m/>
    <m/>
    <m/>
    <m/>
    <m/>
    <m/>
    <m/>
  </r>
  <r>
    <n v="1"/>
    <s v="BOLIVAR PROGRESA, SUPERACIÓN DE LA POBREZA"/>
    <m/>
    <m/>
    <x v="4"/>
    <x v="4"/>
    <n v="0.43212874732513312"/>
    <n v="0.17906398898153661"/>
    <x v="16"/>
    <x v="16"/>
    <n v="1.2500000000000001E-2"/>
    <n v="0"/>
    <m/>
    <s v="Escenarios deportivos y recreativos en óptimas condiciones."/>
    <s v="% Escenarios deportivos y recreativos en óptimas condiciones."/>
    <n v="0.45"/>
    <n v="0.55000000000000004"/>
    <m/>
    <s v="Escenarios deportivos recreativos  construidos"/>
    <s v="No. Escenarios deportivos recreativos  construidos"/>
    <n v="11"/>
    <n v="5"/>
    <s v="Incremento"/>
    <m/>
    <s v="Deporte y Recreación"/>
    <s v="A.4"/>
    <s v="Salud  y Bienestar"/>
    <s v="IDERBOL/SESCRETARÍA DE INFRAESTRUCTURA"/>
    <m/>
    <m/>
    <m/>
    <m/>
    <n v="0"/>
    <b v="0"/>
    <m/>
    <m/>
    <m/>
    <m/>
    <n v="0"/>
    <m/>
    <m/>
    <m/>
    <m/>
    <m/>
    <s v="NP"/>
    <n v="0"/>
    <m/>
    <m/>
    <m/>
    <n v="0"/>
    <s v="NP"/>
    <n v="0"/>
    <m/>
    <m/>
    <m/>
    <s v="NP"/>
    <m/>
    <m/>
    <m/>
    <m/>
    <m/>
    <m/>
    <m/>
    <m/>
    <m/>
    <m/>
    <m/>
    <m/>
    <m/>
    <m/>
    <m/>
    <m/>
    <m/>
    <m/>
    <m/>
    <m/>
    <m/>
    <m/>
    <m/>
    <m/>
    <m/>
  </r>
  <r>
    <n v="1"/>
    <s v="BOLIVAR PROGRESA, SUPERACIÓN DE LA POBREZA"/>
    <m/>
    <m/>
    <x v="4"/>
    <x v="4"/>
    <m/>
    <m/>
    <x v="16"/>
    <x v="16"/>
    <m/>
    <m/>
    <m/>
    <s v="Escenarios deportivos y recreativos en óptimas condiciones."/>
    <s v="% Escenarios deportivos y recreativos en óptimas condiciones."/>
    <n v="0.45"/>
    <n v="0.55000000000000004"/>
    <m/>
    <s v="Escenarios deportivos recreativos mantenidos, reparados y adecuados."/>
    <s v="No. de escenarios deportivos recreativos mantenidos, reparados y adecuados."/>
    <n v="12"/>
    <n v="20"/>
    <s v="Incremento"/>
    <s v="Mantenimiento escenario deportivo recreativo."/>
    <s v="Deporte y Recreación"/>
    <s v="A.4"/>
    <s v="Salud  y Bienestar"/>
    <s v="IDERBOL/SESCRETARÍA DE INFRAESTRUCTURA"/>
    <n v="1"/>
    <m/>
    <m/>
    <m/>
    <n v="1"/>
    <b v="0"/>
    <n v="1"/>
    <n v="1"/>
    <n v="1"/>
    <n v="1"/>
    <n v="0.05"/>
    <n v="1"/>
    <n v="1"/>
    <n v="1"/>
    <m/>
    <n v="1"/>
    <n v="1"/>
    <n v="1"/>
    <m/>
    <m/>
    <m/>
    <n v="0.05"/>
    <s v="NP"/>
    <n v="0"/>
    <m/>
    <m/>
    <m/>
    <s v="NP"/>
    <m/>
    <m/>
    <m/>
    <m/>
    <m/>
    <m/>
    <m/>
    <m/>
    <m/>
    <m/>
    <m/>
    <m/>
    <m/>
    <m/>
    <m/>
    <m/>
    <m/>
    <m/>
    <m/>
    <m/>
    <m/>
    <m/>
    <m/>
    <m/>
    <m/>
  </r>
  <r>
    <n v="1"/>
    <s v="BOLIVAR PROGRESA, SUPERACIÓN DE LA POBREZA"/>
    <m/>
    <m/>
    <x v="4"/>
    <x v="4"/>
    <m/>
    <m/>
    <x v="16"/>
    <x v="16"/>
    <m/>
    <m/>
    <m/>
    <s v="Escenarios deportivos y recreativos en óptimas condiciones."/>
    <s v="% Escenarios deportivos y recreativos en óptimas condiciones."/>
    <n v="0.45"/>
    <n v="0.55000000000000004"/>
    <m/>
    <s v="Parques infantiles construidos."/>
    <s v="No. de parques infantiles construidos."/>
    <n v="0"/>
    <n v="5"/>
    <s v="Incremento"/>
    <m/>
    <s v="Deporte y Recreación"/>
    <s v="A.4"/>
    <s v="Salud  y Bienestar"/>
    <s v="IDERBOL/SESCRETARÍA DE INFRAESTRUCTURA"/>
    <m/>
    <n v="1"/>
    <m/>
    <m/>
    <n v="1"/>
    <b v="0"/>
    <m/>
    <m/>
    <m/>
    <m/>
    <n v="0"/>
    <m/>
    <m/>
    <m/>
    <m/>
    <m/>
    <s v="NP"/>
    <n v="0"/>
    <m/>
    <m/>
    <m/>
    <n v="0"/>
    <n v="1"/>
    <n v="0"/>
    <m/>
    <m/>
    <m/>
    <n v="0"/>
    <m/>
    <m/>
    <m/>
    <m/>
    <m/>
    <m/>
    <m/>
    <m/>
    <m/>
    <m/>
    <m/>
    <m/>
    <m/>
    <m/>
    <m/>
    <m/>
    <m/>
    <m/>
    <m/>
    <m/>
    <m/>
    <m/>
    <m/>
    <m/>
    <m/>
  </r>
  <r>
    <n v="1"/>
    <s v="BOLIVAR PROGRESA, SUPERACIÓN DE LA POBREZA"/>
    <m/>
    <m/>
    <x v="4"/>
    <x v="4"/>
    <m/>
    <m/>
    <x v="16"/>
    <x v="16"/>
    <m/>
    <m/>
    <m/>
    <s v="Escenarios deportivos y recreativos en óptimas condiciones."/>
    <s v="% Escenarios deportivos y recreativos en óptimas condiciones."/>
    <n v="0.45"/>
    <n v="0.55000000000000004"/>
    <m/>
    <s v="Parques infantiles mantenidos, reparados y adecuados."/>
    <s v="No. de parques infantiles mantenidos, reparados y adecuados."/>
    <n v="0"/>
    <n v="10"/>
    <s v="Incremento"/>
    <m/>
    <s v="Deporte y Recreación"/>
    <s v="A.4"/>
    <s v="Salud  y Bienestar"/>
    <s v="IDERBOL/SESCRETARÍA DE INFRAESTRUCTURA"/>
    <m/>
    <m/>
    <m/>
    <m/>
    <n v="0"/>
    <b v="0"/>
    <m/>
    <m/>
    <m/>
    <m/>
    <n v="0"/>
    <m/>
    <m/>
    <m/>
    <m/>
    <m/>
    <s v="NP"/>
    <n v="0"/>
    <m/>
    <m/>
    <m/>
    <n v="0"/>
    <s v="NP"/>
    <m/>
    <m/>
    <m/>
    <m/>
    <s v="NP"/>
    <m/>
    <m/>
    <m/>
    <m/>
    <m/>
    <m/>
    <m/>
    <m/>
    <m/>
    <m/>
    <m/>
    <m/>
    <m/>
    <m/>
    <m/>
    <m/>
    <m/>
    <m/>
    <m/>
    <m/>
    <m/>
    <m/>
    <m/>
    <m/>
    <m/>
  </r>
  <r>
    <n v="1"/>
    <s v="BOLIVAR PROGRESA, SUPERACIÓN DE LA POBREZA"/>
    <m/>
    <m/>
    <x v="4"/>
    <x v="4"/>
    <m/>
    <m/>
    <x v="17"/>
    <x v="17"/>
    <n v="0.64253919773037427"/>
    <n v="0.39417063728409762"/>
    <m/>
    <s v="Mantener el 4° lugar en los Juegos Deportivos Nacionales 2023"/>
    <s v="Mantener el 4° lugar en los Juegos Deportivos Nacionales 2023"/>
    <n v="4"/>
    <n v="4"/>
    <m/>
    <s v="Deportistas apoyados de Altos Logros"/>
    <s v="No.  De  Deportistas apoyados de Altos Logros"/>
    <n v="204"/>
    <n v="250"/>
    <s v="Incremento"/>
    <m/>
    <s v="Deporte y Recreación"/>
    <s v="A.4"/>
    <s v="Salud  y Bienestar"/>
    <s v="IDERBOL/SECRETARÍA PRIVADA"/>
    <n v="190"/>
    <n v="219"/>
    <m/>
    <m/>
    <n v="409"/>
    <b v="0"/>
    <n v="215"/>
    <n v="215"/>
    <n v="215"/>
    <n v="219"/>
    <n v="0.876"/>
    <n v="190"/>
    <n v="215"/>
    <n v="190"/>
    <m/>
    <n v="219"/>
    <n v="1"/>
    <n v="413"/>
    <m/>
    <m/>
    <m/>
    <n v="1.6519999999999999"/>
    <n v="219"/>
    <n v="194"/>
    <m/>
    <m/>
    <m/>
    <n v="0.88584474885844744"/>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dallas en eventos Internacionales del Ciclo Olimpico"/>
    <s v="No. de Medallas en eventos Internacionales del Ciclo Olimpico"/>
    <n v="84"/>
    <n v="56"/>
    <s v="Disminución"/>
    <m/>
    <s v="Deporte y Recreación"/>
    <s v="A.4"/>
    <s v="Salud  y Bienestar"/>
    <s v="IDERBOL/SECRETARÍA PRIVADA"/>
    <m/>
    <n v="19"/>
    <m/>
    <m/>
    <n v="19"/>
    <b v="0"/>
    <m/>
    <m/>
    <m/>
    <m/>
    <n v="0"/>
    <m/>
    <m/>
    <m/>
    <m/>
    <m/>
    <s v="NP"/>
    <n v="0"/>
    <m/>
    <m/>
    <m/>
    <n v="0"/>
    <n v="19"/>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dallas de Oro Juegos Nacionales"/>
    <s v="No. de Medallas de Oro Juegos Nacionales"/>
    <n v="57"/>
    <n v="60"/>
    <s v="Incremento"/>
    <m/>
    <s v="Deporte y Recreación"/>
    <s v="A.4"/>
    <s v="Salud  y Bienestar"/>
    <s v="IDERBOL/SECRETARÍA PRIVADA"/>
    <n v="12"/>
    <m/>
    <m/>
    <m/>
    <n v="12"/>
    <b v="0"/>
    <n v="0"/>
    <n v="0"/>
    <m/>
    <m/>
    <n v="0"/>
    <n v="12"/>
    <n v="0"/>
    <n v="0"/>
    <m/>
    <n v="0"/>
    <n v="0"/>
    <n v="0"/>
    <m/>
    <m/>
    <m/>
    <n v="0"/>
    <s v="NP"/>
    <m/>
    <m/>
    <m/>
    <m/>
    <s v="NP"/>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dallas de Oro Juegos Paranacionales"/>
    <s v="No. de Medallas de Oro Juegos Paranacionales"/>
    <n v="2"/>
    <n v="5"/>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n v="3"/>
    <n v="5"/>
    <m/>
    <m/>
    <n v="8"/>
    <b v="0"/>
    <n v="3"/>
    <n v="3"/>
    <n v="3"/>
    <n v="5"/>
    <n v="1"/>
    <n v="3"/>
    <n v="3"/>
    <n v="3"/>
    <m/>
    <n v="5"/>
    <n v="1"/>
    <n v="5"/>
    <m/>
    <m/>
    <m/>
    <n v="1"/>
    <n v="5"/>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Deportistas en selecciones Colombia del Ciclo Olimpico"/>
    <s v="No. de Deportistas en selecciones Colombia del Ciclo Olimpico"/>
    <n v="79"/>
    <n v="68"/>
    <s v="Disminución"/>
    <s v="1)Desarrollo de 7 Zodes deportivos. (Desarrollo, Preparación y participación del deporte de alto rendimiento del Departamento de Bolívar) .                      2)Fomento, formación y fortalecimiento  Deportivo.                               "/>
    <s v="Deporte y Recreación"/>
    <s v="A.4"/>
    <s v="Salud  y Bienestar"/>
    <s v="IDERBOL"/>
    <n v="3"/>
    <n v="22"/>
    <m/>
    <m/>
    <n v="25"/>
    <b v="0"/>
    <n v="3"/>
    <n v="3"/>
    <n v="3"/>
    <n v="5"/>
    <n v="7.3529411764705885E-2"/>
    <n v="3"/>
    <n v="3"/>
    <n v="3"/>
    <m/>
    <n v="5"/>
    <n v="1"/>
    <n v="5"/>
    <m/>
    <m/>
    <m/>
    <n v="7.3529411764705885E-2"/>
    <n v="22"/>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Deportistas Talento y Reserva Deportiva"/>
    <s v="No. de Deportistas Talento y Reserva Deportiva"/>
    <n v="322"/>
    <n v="480"/>
    <s v="Incremento"/>
    <s v="1)Desarrollo de 7 Zodes deportivos. (Desarrollo, Preparación y participación del deporte de alto rendimiento del Departamento de Bolívar) .                      2)Fomento, formación y fortalecimiento  Deportivo.                               "/>
    <s v="Deporte y Recreación"/>
    <s v="A.4"/>
    <s v="Salud  y Bienestar"/>
    <s v="IDERBOL"/>
    <n v="240"/>
    <n v="505"/>
    <m/>
    <m/>
    <n v="745"/>
    <b v="0"/>
    <n v="505"/>
    <n v="480"/>
    <n v="505"/>
    <n v="505"/>
    <n v="1"/>
    <n v="240"/>
    <n v="505"/>
    <n v="240"/>
    <m/>
    <n v="505"/>
    <n v="1"/>
    <n v="505"/>
    <m/>
    <m/>
    <m/>
    <n v="1.0520833333333333"/>
    <n v="505"/>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Estructura de Planificación Tecno-metodológica del Entrenamiento a las Ligas Deportivas"/>
    <s v="Estructura de Planificación Tecno-metodológica del Entrenamiento a las Ligas Deportivas"/>
    <n v="1"/>
    <n v="1"/>
    <s v="Mantenimiento"/>
    <s v="1)Desarrollo de 7 Zodes deportivos. (Desarrollo, Preparación y participación del deporte de alto rendimiento del Departamento de Bolívar) .                      2)Fomento, formación y fortalecimiento  Deportivo.                               "/>
    <s v="Deporte y Recreación"/>
    <s v="A.4"/>
    <s v="Salud  y Bienestar"/>
    <s v="IDERBOL"/>
    <n v="1"/>
    <n v="1"/>
    <m/>
    <m/>
    <n v="2"/>
    <b v="0"/>
    <n v="1"/>
    <n v="1"/>
    <n v="1"/>
    <n v="1"/>
    <n v="1"/>
    <n v="1"/>
    <n v="1"/>
    <n v="1"/>
    <m/>
    <n v="1"/>
    <n v="1"/>
    <n v="0.5"/>
    <m/>
    <m/>
    <m/>
    <n v="0.5"/>
    <n v="1"/>
    <n v="1"/>
    <m/>
    <m/>
    <m/>
    <n v="1"/>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Profesionales de Ciencias Aplicadas contratados"/>
    <s v="No. de Profesionales de Ciencias Aplicadas contratados"/>
    <n v="17"/>
    <n v="21"/>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n v="3"/>
    <n v="13"/>
    <m/>
    <m/>
    <n v="16"/>
    <b v="0"/>
    <n v="5"/>
    <n v="5"/>
    <n v="5"/>
    <n v="5"/>
    <n v="0.23809523809523808"/>
    <n v="3"/>
    <n v="5"/>
    <n v="3"/>
    <m/>
    <n v="5"/>
    <n v="1"/>
    <n v="5"/>
    <m/>
    <m/>
    <m/>
    <n v="0.23809523809523808"/>
    <n v="13"/>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Entrenadores Contratados"/>
    <s v="No. de Entrenadores Contratados"/>
    <n v="57"/>
    <n v="63"/>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n v="42"/>
    <n v="46"/>
    <m/>
    <m/>
    <n v="88"/>
    <b v="0"/>
    <n v="35"/>
    <n v="35"/>
    <n v="35"/>
    <n v="36"/>
    <n v="0.5714285714285714"/>
    <n v="42"/>
    <n v="35"/>
    <n v="35"/>
    <m/>
    <n v="36"/>
    <n v="0.8571428571428571"/>
    <n v="48"/>
    <m/>
    <m/>
    <m/>
    <n v="0.76190476190476186"/>
    <n v="46"/>
    <n v="12"/>
    <m/>
    <m/>
    <m/>
    <n v="0.2608695652173913"/>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onitores para los talentos y reserva deportiva contratados"/>
    <s v="No. de Monitores para los talentos y reserva deportiva contratados"/>
    <n v="50"/>
    <n v="60"/>
    <s v="Incremento"/>
    <m/>
    <s v="Deporte y Recreación"/>
    <s v="A.4"/>
    <s v="Salud  y Bienestar"/>
    <s v="IDERBOL"/>
    <n v="12"/>
    <n v="12"/>
    <m/>
    <m/>
    <n v="24"/>
    <b v="0"/>
    <n v="12"/>
    <n v="12"/>
    <n v="12"/>
    <n v="12"/>
    <n v="0.2"/>
    <n v="12"/>
    <n v="12"/>
    <n v="12"/>
    <m/>
    <n v="12"/>
    <n v="1"/>
    <n v="24"/>
    <m/>
    <m/>
    <m/>
    <n v="0.4"/>
    <n v="12"/>
    <n v="12"/>
    <m/>
    <m/>
    <m/>
    <n v="1"/>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todólogos contratados"/>
    <s v="No. de Metodólogos contratados"/>
    <n v="10"/>
    <n v="14"/>
    <s v="Incremento"/>
    <m/>
    <s v="Deporte y Recreación"/>
    <s v="A.4"/>
    <s v="Salud  y Bienestar"/>
    <s v="IDERBOL/SECRETARÍA PRIVADA"/>
    <n v="6"/>
    <n v="7"/>
    <m/>
    <m/>
    <n v="13"/>
    <b v="0"/>
    <n v="6"/>
    <n v="6"/>
    <n v="6"/>
    <n v="6"/>
    <n v="0.42857142857142855"/>
    <n v="6"/>
    <n v="6"/>
    <n v="6"/>
    <m/>
    <n v="6"/>
    <n v="1"/>
    <n v="17"/>
    <m/>
    <m/>
    <m/>
    <n v="1.2142857142857142"/>
    <n v="7"/>
    <n v="11"/>
    <m/>
    <m/>
    <m/>
    <n v="1"/>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Apoyo a Ligas Deportivas"/>
    <s v="No. de Apoyo a Ligas Deportivas"/>
    <n v="33"/>
    <n v="36"/>
    <s v="Incremento"/>
    <m/>
    <s v="Deporte y Recreación"/>
    <s v="A.4"/>
    <s v="Salud  y Bienestar"/>
    <s v="IDERBOL/SECRETARÍA PRIVADA"/>
    <n v="7"/>
    <n v="12"/>
    <m/>
    <m/>
    <n v="19"/>
    <b v="0"/>
    <n v="7"/>
    <n v="7"/>
    <n v="7"/>
    <n v="12"/>
    <n v="0.33333333333333331"/>
    <n v="7"/>
    <n v="7"/>
    <n v="7"/>
    <m/>
    <n v="12"/>
    <n v="1"/>
    <n v="19"/>
    <m/>
    <m/>
    <m/>
    <n v="0.52777777777777779"/>
    <n v="12"/>
    <n v="7"/>
    <m/>
    <m/>
    <m/>
    <n v="0.58333333333333337"/>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Capacitaciones realizadas"/>
    <s v="No. de Capacitaciones realizadas"/>
    <n v="8"/>
    <n v="15"/>
    <s v="Incremento"/>
    <m/>
    <s v="Deporte y Recreación"/>
    <s v="A.4"/>
    <s v="Salud  y Bienestar"/>
    <s v="IDERBOL/SECRETARÍA PRIVADA"/>
    <n v="2"/>
    <n v="4"/>
    <m/>
    <m/>
    <n v="6"/>
    <b v="0"/>
    <n v="7"/>
    <n v="7"/>
    <n v="7"/>
    <n v="14"/>
    <n v="0.93333333333333335"/>
    <n v="2"/>
    <n v="7"/>
    <n v="2"/>
    <m/>
    <n v="14"/>
    <n v="1"/>
    <n v="14"/>
    <m/>
    <m/>
    <m/>
    <n v="0.93333333333333335"/>
    <n v="4"/>
    <n v="0"/>
    <m/>
    <m/>
    <m/>
    <n v="0"/>
    <m/>
    <m/>
    <m/>
    <m/>
    <m/>
    <m/>
    <m/>
    <m/>
    <m/>
    <m/>
    <m/>
    <m/>
    <m/>
    <m/>
    <m/>
    <m/>
    <m/>
    <m/>
    <m/>
    <m/>
    <m/>
    <m/>
    <m/>
    <m/>
    <m/>
  </r>
  <r>
    <n v="1"/>
    <s v="BOLIVAR PROGRESA, SUPERACIÓN DE LA POBREZA"/>
    <m/>
    <m/>
    <x v="4"/>
    <x v="4"/>
    <m/>
    <m/>
    <x v="18"/>
    <x v="18"/>
    <n v="0.4841583333333333"/>
    <n v="0"/>
    <m/>
    <s v="Cobertura Departamental de municipios en Escuelas de Fomación Deportivas"/>
    <s v="%  de Cobertura Departamental de municipios en Escuelas de Formación Deportivas."/>
    <n v="0.27"/>
    <n v="0.35"/>
    <m/>
    <s v="Actividades de formación anualmente para la práctica del deporte."/>
    <s v="No. de Actividades de formación anualmente para la práctica del deporte."/>
    <n v="864"/>
    <n v="1920"/>
    <s v="Incremento"/>
    <s v="Escuelas Deportivas para Todos"/>
    <s v="Deporte y Recreación"/>
    <s v="A.4"/>
    <s v="Salud  y Bienestar"/>
    <s v="IDERBOL"/>
    <n v="1440"/>
    <n v="1920"/>
    <m/>
    <m/>
    <n v="3360"/>
    <b v="0"/>
    <n v="440"/>
    <n v="440"/>
    <n v="440"/>
    <n v="1760"/>
    <n v="0.91666666666666663"/>
    <n v="1440"/>
    <n v="440"/>
    <n v="440"/>
    <m/>
    <n v="1760"/>
    <n v="1"/>
    <n v="1760"/>
    <m/>
    <m/>
    <m/>
    <n v="0.91666666666666663"/>
    <n v="1920"/>
    <n v="0"/>
    <m/>
    <m/>
    <m/>
    <n v="0"/>
    <m/>
    <m/>
    <m/>
    <m/>
    <m/>
    <m/>
    <m/>
    <m/>
    <m/>
    <m/>
    <m/>
    <m/>
    <m/>
    <m/>
    <m/>
    <m/>
    <m/>
    <m/>
    <m/>
    <m/>
    <m/>
    <m/>
    <m/>
    <m/>
    <m/>
  </r>
  <r>
    <n v="1"/>
    <s v="BOLIVAR PROGRESA, SUPERACIÓN DE LA POBREZA"/>
    <m/>
    <m/>
    <x v="4"/>
    <x v="4"/>
    <m/>
    <m/>
    <x v="18"/>
    <x v="18"/>
    <m/>
    <m/>
    <m/>
    <s v="Cobertura Departamental de municipios en Escuelas de Fomación Deportivas"/>
    <s v="%  de Cobertura Departamental de municipios en Escuelas de Formación Deportivas."/>
    <n v="0.27"/>
    <n v="0.35"/>
    <m/>
    <s v="Niños y jóvenes beneficiados de la práctica de formación deportiva."/>
    <s v="No. de Niños y jóvenes beneficiados de la práctica de formación deportiva."/>
    <n v="480"/>
    <n v="640"/>
    <s v="Incremento"/>
    <s v="Escuelas Deportivas para Todos"/>
    <s v="Deporte y Recreación"/>
    <s v="A.4"/>
    <s v="Salud  y Bienestar"/>
    <s v="IDERBOL"/>
    <n v="480"/>
    <n v="480"/>
    <m/>
    <m/>
    <n v="960"/>
    <b v="0"/>
    <n v="380"/>
    <n v="380"/>
    <n v="380"/>
    <n v="480"/>
    <n v="0.75"/>
    <n v="480"/>
    <n v="380"/>
    <n v="380"/>
    <m/>
    <n v="480"/>
    <n v="1"/>
    <n v="480"/>
    <m/>
    <m/>
    <m/>
    <n v="0.75"/>
    <n v="480"/>
    <n v="0"/>
    <m/>
    <m/>
    <m/>
    <n v="0"/>
    <m/>
    <m/>
    <m/>
    <m/>
    <m/>
    <m/>
    <m/>
    <m/>
    <m/>
    <m/>
    <m/>
    <m/>
    <m/>
    <m/>
    <m/>
    <m/>
    <m/>
    <m/>
    <m/>
    <m/>
    <m/>
    <m/>
    <m/>
    <m/>
    <m/>
  </r>
  <r>
    <n v="1"/>
    <s v="BOLIVAR PROGRESA, SUPERACIÓN DE LA POBREZA"/>
    <m/>
    <m/>
    <x v="4"/>
    <x v="4"/>
    <m/>
    <m/>
    <x v="18"/>
    <x v="18"/>
    <m/>
    <m/>
    <m/>
    <s v="Instituciones Educativas participando en los Juegos Supérate Intercolegiados"/>
    <s v="No. de Instituciones Educativas participando en los Juegos Supérate Intercolegiados"/>
    <n v="203"/>
    <n v="300"/>
    <m/>
    <s v="Juegos Supérate en sus diferentes fases: Intramural, municipal, zodal y final Departamental."/>
    <s v="No. de Juegos Supérate en sus diferentes fases: Intramural, municipal, zodal y final Departamental."/>
    <n v="4"/>
    <n v="4"/>
    <s v="Mantenimiento"/>
    <s v="Programa Juegos Intercolegiados"/>
    <s v="Deporte y Recreación"/>
    <s v="A.4"/>
    <s v="Salud  y Bienestar"/>
    <s v="IDERBOL"/>
    <n v="1"/>
    <n v="1"/>
    <m/>
    <m/>
    <n v="2"/>
    <b v="0"/>
    <n v="0"/>
    <n v="0"/>
    <m/>
    <n v="1"/>
    <n v="0.25"/>
    <n v="1"/>
    <n v="0"/>
    <n v="0"/>
    <m/>
    <n v="1"/>
    <n v="1"/>
    <n v="0.25"/>
    <m/>
    <m/>
    <m/>
    <n v="6.25E-2"/>
    <n v="1"/>
    <n v="0"/>
    <m/>
    <m/>
    <m/>
    <n v="0"/>
    <m/>
    <m/>
    <m/>
    <m/>
    <m/>
    <m/>
    <m/>
    <m/>
    <m/>
    <m/>
    <m/>
    <m/>
    <m/>
    <m/>
    <m/>
    <m/>
    <m/>
    <m/>
    <m/>
    <m/>
    <m/>
    <m/>
    <m/>
    <m/>
    <m/>
  </r>
  <r>
    <n v="1"/>
    <s v="BOLIVAR PROGRESA, SUPERACIÓN DE LA POBREZA"/>
    <m/>
    <m/>
    <x v="4"/>
    <x v="4"/>
    <m/>
    <m/>
    <x v="18"/>
    <x v="18"/>
    <m/>
    <m/>
    <m/>
    <s v="Instituciones Educativas participando en los Juegos Supérate Intercolegiados"/>
    <s v="No. de Instituciones Educativas participando en los Juegos Supérate Intercolegiados"/>
    <n v="203"/>
    <n v="300"/>
    <m/>
    <s v="Niños y jóvenes en los Juegos Supérate Intercolegiados"/>
    <s v="No. de Niños y jóvenes en los Juegos Supérate Intercolegiados"/>
    <n v="80000"/>
    <n v="60000"/>
    <s v="Disminución"/>
    <s v="Programa Juegos Intercolegiados"/>
    <s v="Deporte y Recreación"/>
    <s v="A.4"/>
    <s v="Salud  y Bienestar"/>
    <s v="IDERBOL"/>
    <n v="1000"/>
    <n v="15000"/>
    <m/>
    <m/>
    <n v="16000"/>
    <b v="0"/>
    <n v="0"/>
    <n v="0"/>
    <m/>
    <n v="12448"/>
    <n v="0.20746666666666666"/>
    <n v="1000"/>
    <n v="0"/>
    <n v="0"/>
    <m/>
    <n v="12448"/>
    <n v="1"/>
    <n v="12448"/>
    <m/>
    <m/>
    <m/>
    <n v="0.20746666666666666"/>
    <n v="15000"/>
    <n v="0"/>
    <m/>
    <m/>
    <m/>
    <n v="0"/>
    <m/>
    <m/>
    <m/>
    <m/>
    <m/>
    <m/>
    <m/>
    <m/>
    <m/>
    <m/>
    <m/>
    <m/>
    <m/>
    <m/>
    <m/>
    <m/>
    <m/>
    <m/>
    <m/>
    <m/>
    <m/>
    <m/>
    <m/>
    <m/>
    <m/>
  </r>
  <r>
    <n v="1"/>
    <s v="BOLIVAR PROGRESA, SUPERACIÓN DE LA POBREZA"/>
    <m/>
    <m/>
    <x v="4"/>
    <x v="4"/>
    <m/>
    <m/>
    <x v="19"/>
    <x v="19"/>
    <n v="0.46812996031746029"/>
    <n v="0"/>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Actividades encaminadas a la práctica deportiva y al aprovechamiento del tiempo libre de manera regular con grupos focalizados."/>
    <s v="No. de Actividades encaminadas a la práctica deportiva y al aprovechamiento del tiempo libre de manera regular con grupos focalizados."/>
    <n v="2000"/>
    <n v="2688"/>
    <s v="Incremento"/>
    <s v="Deporte Social Comunitario"/>
    <s v="Deporte y Recreación"/>
    <s v="A.4"/>
    <s v="Salud  y Bienestar"/>
    <s v="IDERBOL"/>
    <n v="500"/>
    <n v="600"/>
    <m/>
    <m/>
    <n v="1100"/>
    <b v="0"/>
    <n v="45"/>
    <n v="45"/>
    <n v="48"/>
    <n v="511"/>
    <n v="0.19010416666666666"/>
    <n v="500"/>
    <n v="45"/>
    <n v="45"/>
    <m/>
    <n v="511"/>
    <n v="1"/>
    <n v="511"/>
    <m/>
    <m/>
    <m/>
    <n v="0.19010416666666666"/>
    <n v="600"/>
    <n v="0"/>
    <m/>
    <m/>
    <m/>
    <n v="0"/>
    <m/>
    <m/>
    <m/>
    <m/>
    <m/>
    <m/>
    <m/>
    <m/>
    <m/>
    <m/>
    <m/>
    <m/>
    <m/>
    <m/>
    <m/>
    <m/>
    <m/>
    <m/>
    <m/>
    <m/>
    <m/>
    <m/>
    <m/>
    <m/>
    <m/>
  </r>
  <r>
    <n v="1"/>
    <s v="BOLIVAR PROGRESA, SUPERACIÓN DE LA POBREZA"/>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mpeonatos Deportivos realizados."/>
    <s v="No. de Campeonatos Deportivos realizados."/>
    <n v="0"/>
    <n v="4"/>
    <s v="Incremento"/>
    <m/>
    <s v="Deporte y Recreación"/>
    <s v="A.4"/>
    <s v="Salud  y Bienestar"/>
    <s v="IDERBOL"/>
    <n v="3"/>
    <n v="1"/>
    <m/>
    <m/>
    <n v="4"/>
    <b v="1"/>
    <n v="3"/>
    <n v="3"/>
    <n v="3"/>
    <n v="3"/>
    <n v="0.75"/>
    <n v="3"/>
    <n v="3"/>
    <n v="3"/>
    <m/>
    <n v="3"/>
    <n v="1"/>
    <n v="3"/>
    <m/>
    <m/>
    <m/>
    <n v="0.75"/>
    <n v="1"/>
    <n v="0"/>
    <m/>
    <m/>
    <m/>
    <n v="0"/>
    <m/>
    <m/>
    <m/>
    <m/>
    <m/>
    <m/>
    <m/>
    <m/>
    <m/>
    <m/>
    <m/>
    <m/>
    <m/>
    <m/>
    <m/>
    <m/>
    <m/>
    <m/>
    <m/>
    <m/>
    <m/>
    <m/>
    <m/>
    <m/>
    <m/>
  </r>
  <r>
    <n v="1"/>
    <s v="BOLIVAR PROGRESA, SUPERACIÓN DE LA POBREZA"/>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pacitaciones &quot;El Deporte Social Comunitario como Herramienta de Inclusión Social y Construcción de Valores&quot;"/>
    <s v="No. de Capacitaciones &quot;El Deporte Social Comunitario como Herramienta de Inclusión Social y Construcción de Valores&quot;"/>
    <n v="20"/>
    <n v="28"/>
    <s v="Incremento"/>
    <s v="Deporte Social Comunitario"/>
    <s v="Deporte y Recreación"/>
    <s v="A.4"/>
    <s v="Salud  y Bienestar"/>
    <s v="IDERBOL"/>
    <n v="4"/>
    <n v="13"/>
    <m/>
    <m/>
    <n v="17"/>
    <b v="0"/>
    <n v="3"/>
    <n v="3"/>
    <n v="5"/>
    <n v="13"/>
    <n v="0.4642857142857143"/>
    <n v="4"/>
    <n v="3"/>
    <n v="3"/>
    <m/>
    <n v="13"/>
    <n v="1"/>
    <n v="13"/>
    <m/>
    <m/>
    <m/>
    <n v="0.4642857142857143"/>
    <n v="13"/>
    <n v="0"/>
    <m/>
    <m/>
    <m/>
    <n v="0"/>
    <m/>
    <m/>
    <m/>
    <m/>
    <m/>
    <m/>
    <m/>
    <m/>
    <m/>
    <m/>
    <m/>
    <m/>
    <m/>
    <m/>
    <m/>
    <m/>
    <m/>
    <m/>
    <m/>
    <m/>
    <m/>
    <m/>
    <m/>
    <m/>
    <m/>
  </r>
  <r>
    <n v="1"/>
    <s v="BOLIVAR PROGRESA, SUPERACIÓN DE LA POBREZA"/>
    <m/>
    <m/>
    <x v="4"/>
    <x v="4"/>
    <m/>
    <m/>
    <x v="20"/>
    <x v="20"/>
    <n v="0.3675913461538462"/>
    <n v="0"/>
    <m/>
    <s v="Cobertura Departamental por municipios en la implementación de actividades recreativas y lúdicas por Iderbol"/>
    <s v="% Cobertura Departamental por municipios en la implementación de actividades recreativas y lúdicas por Iderbol"/>
    <n v="0.24"/>
    <n v="0.56000000000000005"/>
    <m/>
    <s v="Realización  de campamentos Juveniles."/>
    <s v="No. de campamentos Juveniles realizados."/>
    <n v="4"/>
    <n v="4"/>
    <s v="Mantenimiento"/>
    <s v="Las Escuelas Recreativas …Un espacio  lúdico del Bolívar Primero"/>
    <s v="Deporte y Recreación"/>
    <s v="A.4"/>
    <s v="Salud  y Bienestar"/>
    <s v="IDERBOL"/>
    <n v="1"/>
    <n v="1"/>
    <m/>
    <m/>
    <n v="2"/>
    <b v="0"/>
    <n v="0"/>
    <n v="0"/>
    <m/>
    <n v="1"/>
    <n v="0.25"/>
    <n v="1"/>
    <n v="0"/>
    <n v="0"/>
    <m/>
    <n v="1"/>
    <n v="1"/>
    <n v="0.25"/>
    <m/>
    <m/>
    <m/>
    <n v="6.25E-2"/>
    <n v="1"/>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Campamentos Juveniles con la estrategia de construcción de valores."/>
    <s v="No. de Beneficiados en Campamentos Juveniles con la estrategia de construcción de valores."/>
    <n v="350"/>
    <n v="500"/>
    <s v="Incremento"/>
    <s v="Las Escuelas Recreativas …Un espacio  lúdico del Bolívar Primero"/>
    <s v="Deporte y Recreación"/>
    <s v="A.4"/>
    <s v="Salud  y Bienestar"/>
    <s v="IDERBOL"/>
    <n v="100"/>
    <n v="434"/>
    <m/>
    <m/>
    <n v="534"/>
    <b v="0"/>
    <n v="100"/>
    <n v="434"/>
    <n v="434"/>
    <n v="434"/>
    <n v="0.86799999999999999"/>
    <n v="100"/>
    <n v="100"/>
    <n v="100"/>
    <m/>
    <n v="434"/>
    <n v="1"/>
    <n v="434"/>
    <m/>
    <m/>
    <m/>
    <n v="0.86799999999999999"/>
    <n v="434"/>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niños y niñas en primera infancia, niños  y niñas entre 6 y 12 años y personas mayores, en el desarrollo de actividades lúdico recreativas por procesos."/>
    <s v="No. de Beneficiados en niños y niñas en primera infancia, niños  y niñas entre 6 y 12 años y personas mayores, en el desarrollo de actividades lúdico recreativas por procesos."/>
    <n v="8160"/>
    <n v="20800"/>
    <s v="Incremento"/>
    <s v="Las Escuelas Recreativas …Un espacio  lúdico del Bolívar Primero"/>
    <s v="Deporte y Recreación"/>
    <s v="A.4"/>
    <s v="Salud  y Bienestar"/>
    <s v="IDERBOL"/>
    <n v="5200"/>
    <n v="7000"/>
    <m/>
    <m/>
    <n v="12200"/>
    <b v="0"/>
    <n v="2100"/>
    <n v="3181"/>
    <n v="3181"/>
    <n v="5721"/>
    <n v="0.27504807692307692"/>
    <n v="5200"/>
    <n v="2100"/>
    <n v="3181"/>
    <m/>
    <n v="5721"/>
    <n v="1"/>
    <n v="5721"/>
    <m/>
    <m/>
    <m/>
    <n v="0.27504807692307692"/>
    <n v="7000"/>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Actividades encaminadas a las actividades lúdicas y recreativas de manera regular con grupos focalizados."/>
    <s v="No. de Actividades encaminadas a las actividades lúdicas y recreativas de manera regular con grupos focalizados."/>
    <n v="2100"/>
    <n v="3200"/>
    <s v="Incremento"/>
    <s v="Las Escuelas Recreativas …Un espacio  lúdico del Bolívar Primero"/>
    <s v="Deporte y Recreación"/>
    <s v="A.4"/>
    <s v="Salud  y Bienestar"/>
    <s v="IDERBOL"/>
    <n v="500"/>
    <n v="1500"/>
    <m/>
    <m/>
    <n v="2000"/>
    <b v="0"/>
    <n v="81"/>
    <n v="81"/>
    <n v="85"/>
    <n v="1200"/>
    <n v="0.375"/>
    <n v="500"/>
    <n v="81"/>
    <n v="81"/>
    <m/>
    <n v="1200"/>
    <n v="1"/>
    <n v="1200"/>
    <m/>
    <m/>
    <m/>
    <n v="0.375"/>
    <n v="1500"/>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Festivales recreativos."/>
    <s v="No. de Festivales recreativos realizados."/>
    <n v="4"/>
    <n v="8"/>
    <s v="Incremento"/>
    <s v="Las Escuelas Recreativas …Un espacio  lúdico del Bolívar Primero"/>
    <s v="Deporte y Recreación"/>
    <s v="A.4"/>
    <s v="Salud  y Bienestar"/>
    <s v="IDERBOL"/>
    <n v="1"/>
    <n v="7"/>
    <m/>
    <m/>
    <n v="8"/>
    <b v="1"/>
    <n v="0"/>
    <n v="0"/>
    <n v="0"/>
    <n v="4"/>
    <n v="0.5"/>
    <n v="1"/>
    <n v="0"/>
    <n v="0"/>
    <m/>
    <m/>
    <n v="0"/>
    <n v="4"/>
    <m/>
    <m/>
    <m/>
    <n v="0.5"/>
    <n v="7"/>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Capacitaciones del Plan Nacional de Recreación."/>
    <s v="No. de Capacitaciones del Plan Nacional de Recreación realizadas."/>
    <n v="4"/>
    <n v="8"/>
    <s v="Incremento"/>
    <s v="Las Escuelas Recreativas …Un espacio  lúdico del Bolívar Primero"/>
    <s v="Deporte y Recreación"/>
    <s v="A.4"/>
    <s v="Salud  y Bienestar"/>
    <s v="IDERBOL"/>
    <n v="1"/>
    <n v="1"/>
    <m/>
    <m/>
    <n v="2"/>
    <b v="0"/>
    <n v="0"/>
    <n v="0"/>
    <n v="0"/>
    <n v="1"/>
    <n v="0.125"/>
    <n v="1"/>
    <n v="0"/>
    <n v="0"/>
    <m/>
    <m/>
    <n v="0"/>
    <n v="1"/>
    <m/>
    <m/>
    <m/>
    <n v="0.125"/>
    <n v="1"/>
    <n v="0"/>
    <m/>
    <m/>
    <m/>
    <n v="0"/>
    <m/>
    <m/>
    <m/>
    <m/>
    <m/>
    <m/>
    <m/>
    <m/>
    <m/>
    <m/>
    <m/>
    <m/>
    <m/>
    <m/>
    <m/>
    <m/>
    <m/>
    <m/>
    <m/>
    <m/>
    <m/>
    <m/>
    <m/>
    <m/>
    <m/>
  </r>
  <r>
    <n v="1"/>
    <s v="BOLIVAR PROGRESA, SUPERACIÓN DE LA POBREZA"/>
    <m/>
    <m/>
    <x v="4"/>
    <x v="4"/>
    <m/>
    <m/>
    <x v="21"/>
    <x v="21"/>
    <n v="0.26784234033352255"/>
    <n v="0.16666666666666666"/>
    <m/>
    <s v="Cobertura Departamental de municipios atendidos realizando actividad física dirigida musicalizada."/>
    <s v="% de Cobertura Departamental de municipios atendidos realizando actividad física dirigida musicalizada."/>
    <n v="0.22"/>
    <n v="0.44"/>
    <m/>
    <s v="Organizar grupos para la práctica regular de actividad física y promoción de Hábitos Saludables en los municipios impactados en el Departamento de Bolívar."/>
    <s v="No. de  grupos para la práctica regular de actividad física y promoción de Hábitos Saludables en los municipios impactados en el Departamento de Bolívar."/>
    <n v="160"/>
    <n v="300"/>
    <s v="Incremento"/>
    <s v="Hábitos y Estilos de Vida Saludable &quot;Bolívar Primero…por Tú Salud ponte pilas&quot;"/>
    <s v="Deporte y Recreación"/>
    <s v="A.4"/>
    <s v="Salud  y Bienestar"/>
    <s v="IDERBOL"/>
    <n v="75"/>
    <n v="75"/>
    <m/>
    <m/>
    <n v="150"/>
    <b v="0"/>
    <n v="85"/>
    <n v="85"/>
    <n v="86"/>
    <n v="86"/>
    <n v="0.28666666666666668"/>
    <n v="75"/>
    <n v="85"/>
    <n v="75"/>
    <m/>
    <n v="86"/>
    <n v="1"/>
    <n v="86"/>
    <m/>
    <m/>
    <m/>
    <n v="0.28666666666666668"/>
    <n v="75"/>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Eventos masivos para la promoción de Hábitos y Estilos de Vida Saludable de manera presencial y a través de plataformas virtuales "/>
    <s v="No. de eventos masivos  realizados para la promoción de Hábitos y Estilos de Vida Saludable de manera presencial y a través de plataformas virtuales "/>
    <n v="144"/>
    <n v="120"/>
    <s v="Disminución"/>
    <s v="Hábitos y Estilos de Vida Saludable &quot;Bolívar Primero…por Tú Salud ponte pilas&quot;"/>
    <s v="Deporte y Recreación"/>
    <s v="A.4"/>
    <s v="Salud  y Bienestar"/>
    <s v="IDERBOL"/>
    <n v="5"/>
    <n v="35"/>
    <m/>
    <m/>
    <n v="40"/>
    <b v="0"/>
    <n v="2"/>
    <n v="2"/>
    <n v="2"/>
    <n v="36"/>
    <n v="0.3"/>
    <n v="5"/>
    <n v="2"/>
    <n v="2"/>
    <m/>
    <n v="36"/>
    <n v="1"/>
    <n v="36"/>
    <m/>
    <m/>
    <m/>
    <n v="0.3"/>
    <n v="35"/>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Eventos de celebración del Día Mundial de la Actividad Física."/>
    <s v="No. de eventos realizados de celebración del Día Mundial de la Actividad Física."/>
    <n v="4"/>
    <n v="4"/>
    <s v="Mantenimiento"/>
    <s v="Hábitos y Estilos de Vida Saludable &quot;Bolívar Primero…por Tú Salud ponte pilas&quot;"/>
    <s v="Deporte y Recreación"/>
    <s v="A.4"/>
    <s v="Salud  y Bienestar"/>
    <s v="IDERBOL"/>
    <n v="1"/>
    <n v="1"/>
    <m/>
    <m/>
    <n v="2"/>
    <b v="0"/>
    <n v="0"/>
    <n v="0"/>
    <n v="1"/>
    <n v="1"/>
    <n v="0.25"/>
    <n v="1"/>
    <n v="0"/>
    <n v="0"/>
    <m/>
    <n v="1"/>
    <n v="1"/>
    <n v="0.5"/>
    <m/>
    <m/>
    <m/>
    <n v="0.125"/>
    <n v="1"/>
    <n v="1"/>
    <m/>
    <m/>
    <m/>
    <n v="1"/>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Carreras Atléticas 5K. Por la salud."/>
    <s v="No. de Carreras Atléticas 5K.  realizadas por la salud."/>
    <n v="8"/>
    <n v="8"/>
    <s v="Mantenimiento"/>
    <s v="Hábitos y Estilos de Vida Saludable &quot;Bolívar Primero…por Tú Salud ponte pilas&quot;"/>
    <s v="Deporte y Recreación"/>
    <s v="A.4"/>
    <s v="Salud  y Bienestar"/>
    <s v="IDERBOL"/>
    <m/>
    <n v="2"/>
    <m/>
    <m/>
    <n v="2"/>
    <b v="0"/>
    <m/>
    <m/>
    <n v="0"/>
    <n v="0"/>
    <n v="0"/>
    <m/>
    <m/>
    <m/>
    <m/>
    <m/>
    <s v="NP"/>
    <n v="0"/>
    <m/>
    <m/>
    <m/>
    <n v="0"/>
    <n v="2"/>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Actividades de capacitación en promoción de HEVS y Actividad física musicalizada dirigida."/>
    <s v="No. de Actividades de capacitación realizadas  en promoción de HEVS y Actividad física musicalizada dirigida."/>
    <n v="8"/>
    <n v="8"/>
    <s v="Mantenimiento"/>
    <m/>
    <s v="Deporte y Recreación"/>
    <s v="A.4"/>
    <s v="Salud  y Bienestar"/>
    <s v="IDERBOL"/>
    <n v="1"/>
    <n v="2"/>
    <m/>
    <m/>
    <n v="3"/>
    <b v="0"/>
    <n v="0"/>
    <n v="0"/>
    <n v="0"/>
    <n v="2"/>
    <n v="0.25"/>
    <n v="1"/>
    <n v="0"/>
    <n v="0"/>
    <m/>
    <m/>
    <n v="0"/>
    <n v="0.5"/>
    <m/>
    <m/>
    <m/>
    <n v="6.25E-2"/>
    <n v="2"/>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Personas beneficiadas anualmente con el programa Departamental de Hábitos y Estilos de vida saludable,  en actividades de promocion de práctica de actividad física,  alimentacion saludable  y proteccion de espacios 100% libres de humo de tabaco."/>
    <s v="No. Personas beneficiadas anualmente con el programa Departamental de Hábitos y Estilos de vida saludable,  en actividades de promocion de práctica de actividad física,  alimentacion saludable  y proteccion de espacios 100% libres de humo de tabaco."/>
    <n v="6660"/>
    <n v="16444"/>
    <s v="Incremento"/>
    <s v="Hábitos y Estilos de Vida Saludable &quot;Bolívar Primero…por Tú Salud ponte pilas&quot;"/>
    <s v="Deporte y Recreación"/>
    <s v="A.4"/>
    <s v="Salud  y Bienestar"/>
    <s v="IDERBOL"/>
    <n v="16444"/>
    <n v="16444"/>
    <m/>
    <m/>
    <n v="32888"/>
    <b v="0"/>
    <n v="7500"/>
    <n v="7500"/>
    <n v="13696"/>
    <n v="13696"/>
    <n v="0.83288737533446855"/>
    <n v="16444"/>
    <n v="7500"/>
    <n v="7500"/>
    <m/>
    <n v="13696"/>
    <n v="0.83288737533446855"/>
    <n v="13696"/>
    <m/>
    <m/>
    <m/>
    <n v="0.83288737533446855"/>
    <n v="16444"/>
    <n v="0"/>
    <m/>
    <m/>
    <m/>
    <n v="0"/>
    <m/>
    <m/>
    <m/>
    <m/>
    <m/>
    <m/>
    <m/>
    <m/>
    <m/>
    <m/>
    <m/>
    <m/>
    <m/>
    <m/>
    <m/>
    <m/>
    <m/>
    <m/>
    <m/>
    <m/>
    <m/>
    <m/>
    <m/>
    <m/>
    <m/>
  </r>
  <r>
    <n v="1"/>
    <s v="BOLIVAR PROGRESA, SUPERACIÓN DE LA POBREZA"/>
    <m/>
    <m/>
    <x v="5"/>
    <x v="5"/>
    <n v="0.4350444511540526"/>
    <n v="0.53"/>
    <x v="22"/>
    <x v="22"/>
    <n v="0.24822916666666664"/>
    <n v="0.41"/>
    <m/>
    <s v="Fortalecimiento a los procesos de formación artística y cultural en los municipios"/>
    <s v="Numero de municipios con procesos de formación artistica y cultural fortalecidos "/>
    <n v="46"/>
    <n v="46"/>
    <m/>
    <s v="Municipios fortalecidos "/>
    <s v="Porcentaje de implementación del programa de cultura en movimiento "/>
    <n v="46"/>
    <n v="0.8"/>
    <s v="Mantenimiento"/>
    <m/>
    <s v="Cultura"/>
    <s v="A.5"/>
    <n v="11"/>
    <s v="ICULTUR"/>
    <n v="4"/>
    <n v="10"/>
    <n v="16"/>
    <n v="16"/>
    <n v="46"/>
    <b v="0"/>
    <n v="0.2391304347826087"/>
    <n v="0.24"/>
    <n v="0.35"/>
    <n v="0.35"/>
    <n v="0.43749999999999994"/>
    <n v="4"/>
    <n v="11"/>
    <n v="4"/>
    <m/>
    <n v="0.35"/>
    <n v="8.7499999999999994E-2"/>
    <n v="8.7499999999999994E-2"/>
    <m/>
    <m/>
    <m/>
    <n v="0.10937499999999999"/>
    <n v="10"/>
    <m/>
    <m/>
    <m/>
    <m/>
    <n v="0"/>
    <m/>
    <m/>
    <m/>
    <m/>
    <m/>
    <m/>
    <m/>
    <m/>
    <m/>
    <m/>
    <m/>
    <m/>
    <m/>
    <m/>
    <m/>
    <m/>
    <m/>
    <m/>
    <m/>
    <m/>
    <m/>
    <m/>
    <m/>
    <m/>
    <m/>
  </r>
  <r>
    <n v="1"/>
    <s v="BOLIVAR PROGRESA, SUPERACIÓN DE LA POBREZA"/>
    <m/>
    <m/>
    <x v="5"/>
    <x v="5"/>
    <m/>
    <m/>
    <x v="22"/>
    <x v="22"/>
    <m/>
    <m/>
    <m/>
    <s v="Divulgación, publicación y salvaguarda del Patrimonio Cultural"/>
    <s v="Número de estrategias de divulgación, publicación y salvaguarda del patrimonio cultural implementadas"/>
    <n v="0"/>
    <n v="1"/>
    <m/>
    <s v="Estrategia implementada"/>
    <s v="Porcentaje de implementación de la estrategia de divulgación y publicación del Patrimonio Cultural "/>
    <n v="0"/>
    <n v="1"/>
    <s v="Incremento"/>
    <m/>
    <s v="Cultura"/>
    <s v="A.5"/>
    <n v="11"/>
    <s v="ICULTUR"/>
    <m/>
    <n v="1"/>
    <m/>
    <m/>
    <n v="1"/>
    <b v="1"/>
    <m/>
    <m/>
    <m/>
    <m/>
    <n v="0"/>
    <m/>
    <m/>
    <m/>
    <m/>
    <m/>
    <s v="NP"/>
    <n v="0"/>
    <m/>
    <m/>
    <m/>
    <n v="0"/>
    <n v="1"/>
    <m/>
    <m/>
    <m/>
    <m/>
    <n v="0"/>
    <m/>
    <m/>
    <m/>
    <m/>
    <m/>
    <m/>
    <m/>
    <m/>
    <m/>
    <m/>
    <m/>
    <m/>
    <m/>
    <m/>
    <m/>
    <m/>
    <m/>
    <m/>
    <m/>
    <m/>
    <m/>
    <m/>
    <m/>
    <m/>
    <m/>
  </r>
  <r>
    <n v="1"/>
    <s v="BOLIVAR PROGRESA, SUPERACIÓN DE LA POBREZA"/>
    <m/>
    <m/>
    <x v="5"/>
    <x v="5"/>
    <m/>
    <m/>
    <x v="22"/>
    <x v="22"/>
    <m/>
    <m/>
    <m/>
    <s v="Inventario y registro del patrimonio material e inmaterial del Departamento"/>
    <s v="Numero de Inventarios y registros del patrimonio material e inmaterial del Departamento realizados"/>
    <n v="9"/>
    <n v="4"/>
    <m/>
    <s v="Proyectos para fortalecimiento de los inventarios y registros del Patrimonio Cultural Material e Inmaterial realizados"/>
    <s v="Número de proyectos para el fortalecimiento de los Inventarios y registro del patrimonio material e inmaterial del departamento "/>
    <n v="2"/>
    <n v="1"/>
    <s v="Incremento"/>
    <m/>
    <s v="Cultura"/>
    <s v="A.5"/>
    <n v="11"/>
    <s v="ICULTUR"/>
    <m/>
    <m/>
    <n v="2"/>
    <n v="2"/>
    <n v="4"/>
    <b v="0"/>
    <m/>
    <m/>
    <m/>
    <m/>
    <n v="0"/>
    <m/>
    <m/>
    <m/>
    <m/>
    <m/>
    <s v="NP"/>
    <n v="0"/>
    <m/>
    <m/>
    <m/>
    <n v="0"/>
    <s v="NP"/>
    <m/>
    <m/>
    <m/>
    <m/>
    <s v="NP"/>
    <m/>
    <m/>
    <m/>
    <m/>
    <m/>
    <m/>
    <m/>
    <m/>
    <m/>
    <m/>
    <m/>
    <m/>
    <m/>
    <m/>
    <m/>
    <m/>
    <m/>
    <m/>
    <m/>
    <m/>
    <m/>
    <m/>
    <m/>
    <m/>
    <m/>
  </r>
  <r>
    <n v="1"/>
    <s v="BOLIVAR PROGRESA, SUPERACIÓN DE LA POBREZA"/>
    <m/>
    <m/>
    <x v="5"/>
    <x v="5"/>
    <m/>
    <m/>
    <x v="22"/>
    <x v="22"/>
    <m/>
    <m/>
    <m/>
    <s v="Red Departamental de Bibliotecas Públicas funcionado en condiciones optimas "/>
    <s v="Porcentaje de funcionamiento optimo de la Red Departamental de bibliotecas públicas alcanzado"/>
    <n v="1"/>
    <n v="1"/>
    <m/>
    <s v="Red Departamental de Bibliotecas Públicas en optimo funcionamiento "/>
    <s v="Sistema de recolección de información diseñado e implementado"/>
    <n v="0"/>
    <n v="1"/>
    <s v="Mantenimiento"/>
    <m/>
    <s v="Cultura"/>
    <s v="A.5"/>
    <n v="11"/>
    <s v="ICULTUR"/>
    <n v="0.4"/>
    <n v="0.2"/>
    <n v="3"/>
    <n v="5"/>
    <n v="8.6"/>
    <b v="0"/>
    <n v="0.4"/>
    <n v="0.4"/>
    <n v="0.4"/>
    <n v="0.8"/>
    <n v="0.8"/>
    <n v="0.4"/>
    <n v="0"/>
    <n v="0.4"/>
    <m/>
    <n v="0.8"/>
    <n v="1"/>
    <n v="0.25"/>
    <m/>
    <m/>
    <m/>
    <n v="0.25"/>
    <n v="0.2"/>
    <n v="0.2"/>
    <m/>
    <m/>
    <m/>
    <n v="1"/>
    <m/>
    <m/>
    <m/>
    <m/>
    <m/>
    <m/>
    <m/>
    <m/>
    <m/>
    <m/>
    <m/>
    <m/>
    <m/>
    <m/>
    <m/>
    <m/>
    <m/>
    <m/>
    <m/>
    <m/>
    <m/>
    <m/>
    <m/>
    <m/>
    <m/>
  </r>
  <r>
    <n v="1"/>
    <s v="BOLIVAR PROGRESA, SUPERACIÓN DE LA POBREZA"/>
    <m/>
    <m/>
    <x v="5"/>
    <x v="5"/>
    <m/>
    <m/>
    <x v="22"/>
    <x v="22"/>
    <m/>
    <m/>
    <m/>
    <s v="Asesorías técnicas_x000a_en gestión de_x000a_bibliotecas públicas"/>
    <s v="Número de_x000a_bibliotecas con_x000a_asistencias técnicas_x000a_realizadas"/>
    <n v="4"/>
    <n v="20"/>
    <m/>
    <s v="Bibliotecas con asistencia técnica realizada"/>
    <s v="Número de bibliotecas con asistencias técnicas realizadas"/>
    <n v="4"/>
    <n v="20"/>
    <s v="Incremento"/>
    <m/>
    <s v="Cultura"/>
    <s v="A.5"/>
    <n v="11"/>
    <s v="ICULTUR"/>
    <n v="3"/>
    <n v="4"/>
    <m/>
    <m/>
    <n v="7"/>
    <b v="0"/>
    <n v="0.4"/>
    <n v="0.4"/>
    <n v="3"/>
    <n v="12"/>
    <n v="0.6"/>
    <n v="3"/>
    <n v="8"/>
    <n v="0.4"/>
    <m/>
    <n v="12"/>
    <n v="1"/>
    <n v="13"/>
    <m/>
    <m/>
    <m/>
    <n v="0.65"/>
    <n v="4"/>
    <n v="1"/>
    <m/>
    <m/>
    <m/>
    <n v="0.25"/>
    <m/>
    <m/>
    <m/>
    <m/>
    <m/>
    <m/>
    <m/>
    <m/>
    <m/>
    <m/>
    <m/>
    <m/>
    <m/>
    <m/>
    <m/>
    <m/>
    <m/>
    <m/>
    <m/>
    <m/>
    <m/>
    <m/>
    <m/>
    <m/>
    <m/>
  </r>
  <r>
    <n v="1"/>
    <s v="BOLIVAR PROGRESA, SUPERACIÓN DE LA POBREZA"/>
    <m/>
    <m/>
    <x v="5"/>
    <x v="5"/>
    <m/>
    <m/>
    <x v="22"/>
    <x v="22"/>
    <m/>
    <m/>
    <m/>
    <s v="Plan Departamental de Lectura fortalecido "/>
    <s v="Numero de planes departamentales de lectura fortalecidos "/>
    <n v="0.5"/>
    <n v="1"/>
    <m/>
    <s v="Plan Departamental de lectura fortalecido"/>
    <s v="Número de planes de lectura fortalecidos y ejecutados "/>
    <n v="1"/>
    <n v="2"/>
    <s v="Incremento"/>
    <m/>
    <s v="Cultura"/>
    <s v="A.5"/>
    <n v="11"/>
    <s v="ICULTUR"/>
    <n v="1"/>
    <n v="0.2"/>
    <n v="4"/>
    <n v="3"/>
    <n v="8.1999999999999993"/>
    <b v="0"/>
    <n v="0.3"/>
    <n v="1"/>
    <n v="0.8"/>
    <n v="0.8"/>
    <n v="0.4"/>
    <n v="1"/>
    <n v="0"/>
    <n v="1"/>
    <m/>
    <n v="0.8"/>
    <n v="0.8"/>
    <n v="0.96000000000000008"/>
    <m/>
    <m/>
    <m/>
    <n v="0.48000000000000004"/>
    <n v="0.2"/>
    <n v="0.16"/>
    <m/>
    <m/>
    <m/>
    <n v="0.79999999999999993"/>
    <m/>
    <m/>
    <m/>
    <m/>
    <m/>
    <m/>
    <m/>
    <m/>
    <m/>
    <m/>
    <m/>
    <m/>
    <m/>
    <m/>
    <m/>
    <m/>
    <m/>
    <m/>
    <m/>
    <m/>
    <m/>
    <m/>
    <m/>
    <m/>
    <m/>
  </r>
  <r>
    <n v="1"/>
    <s v="BOLIVAR PROGRESA, SUPERACIÓN DE LA POBREZA"/>
    <m/>
    <m/>
    <x v="5"/>
    <x v="5"/>
    <m/>
    <m/>
    <x v="23"/>
    <x v="23"/>
    <n v="0.52845209339774557"/>
    <n v="0.59000000000000008"/>
    <m/>
    <s v="Centros Culturales mantenidos y en operación "/>
    <s v="Numero de Centros Culturales mantenidos y en operación "/>
    <n v="6"/>
    <n v="6"/>
    <m/>
    <s v="Centros culturales mantenidos y operando "/>
    <s v="Número de centros culturales fortalecidos en formación artística"/>
    <n v="6"/>
    <n v="6"/>
    <s v="Mantenimiento"/>
    <m/>
    <s v="Cultura"/>
    <s v="A.5"/>
    <n v="11"/>
    <s v="ICULTUR"/>
    <n v="6"/>
    <n v="6"/>
    <n v="6"/>
    <n v="6"/>
    <n v="24"/>
    <b v="0"/>
    <n v="6"/>
    <n v="6"/>
    <n v="6"/>
    <n v="6"/>
    <n v="1"/>
    <n v="6"/>
    <n v="6"/>
    <n v="6"/>
    <m/>
    <n v="6"/>
    <n v="1"/>
    <n v="2.25"/>
    <m/>
    <m/>
    <m/>
    <n v="0.375"/>
    <n v="6"/>
    <n v="3"/>
    <m/>
    <m/>
    <m/>
    <n v="0.5"/>
    <m/>
    <m/>
    <m/>
    <m/>
    <m/>
    <m/>
    <m/>
    <m/>
    <m/>
    <m/>
    <m/>
    <m/>
    <m/>
    <m/>
    <m/>
    <m/>
    <m/>
    <m/>
    <m/>
    <m/>
    <m/>
    <m/>
    <m/>
    <m/>
    <m/>
  </r>
  <r>
    <n v="1"/>
    <s v="BOLIVAR PROGRESA, SUPERACIÓN DE LA POBREZA"/>
    <m/>
    <m/>
    <x v="5"/>
    <x v="5"/>
    <m/>
    <m/>
    <x v="23"/>
    <x v="23"/>
    <m/>
    <m/>
    <m/>
    <s v="Infraestructura cultural construida "/>
    <s v="Numero de infraestructura cultural diseñada y construida. "/>
    <n v="6"/>
    <n v="1"/>
    <m/>
    <s v="Infraestructura cultural diseñada y construida"/>
    <s v="Numero de infraestructura cultural diseñada y construida. "/>
    <n v="6"/>
    <n v="1"/>
    <s v="Incremento"/>
    <m/>
    <s v="Cultura"/>
    <s v="A.5"/>
    <n v="11"/>
    <s v="ICULTUR"/>
    <m/>
    <m/>
    <m/>
    <n v="1"/>
    <n v="1"/>
    <b v="1"/>
    <m/>
    <m/>
    <m/>
    <m/>
    <n v="0"/>
    <m/>
    <m/>
    <m/>
    <m/>
    <m/>
    <s v="NP"/>
    <n v="0"/>
    <m/>
    <m/>
    <m/>
    <n v="0"/>
    <s v="NP"/>
    <m/>
    <m/>
    <m/>
    <m/>
    <s v="NP"/>
    <m/>
    <m/>
    <m/>
    <m/>
    <m/>
    <m/>
    <m/>
    <m/>
    <m/>
    <m/>
    <m/>
    <m/>
    <m/>
    <m/>
    <m/>
    <m/>
    <m/>
    <m/>
    <m/>
    <m/>
    <m/>
    <m/>
    <m/>
    <m/>
    <m/>
  </r>
  <r>
    <n v="1"/>
    <s v="BOLIVAR PROGRESA, SUPERACIÓN DE LA POBREZA"/>
    <m/>
    <m/>
    <x v="5"/>
    <x v="5"/>
    <m/>
    <m/>
    <x v="23"/>
    <x v="23"/>
    <m/>
    <m/>
    <m/>
    <s v="Fomentar la creación de las escuelas música en el departamento de_x000a_Bolívar"/>
    <s v="Numero de escuelas de musica municipales  creadas"/>
    <s v="ND"/>
    <n v="6"/>
    <m/>
    <s v="Escuelas de musica creadas"/>
    <s v="Numero de escuelas de musica municipales  creadas"/>
    <n v="1"/>
    <n v="6"/>
    <s v="Incremento"/>
    <m/>
    <s v="Cultura"/>
    <s v="A.5"/>
    <n v="11"/>
    <s v="ICULTUR"/>
    <n v="0.22"/>
    <n v="1"/>
    <n v="2"/>
    <n v="3"/>
    <n v="6.22"/>
    <b v="0"/>
    <n v="0"/>
    <n v="0"/>
    <m/>
    <m/>
    <n v="0"/>
    <n v="0.22"/>
    <n v="0"/>
    <n v="0"/>
    <m/>
    <n v="0"/>
    <n v="0"/>
    <n v="0"/>
    <m/>
    <m/>
    <m/>
    <n v="0"/>
    <n v="1"/>
    <n v="0"/>
    <m/>
    <m/>
    <m/>
    <n v="0"/>
    <m/>
    <m/>
    <m/>
    <m/>
    <m/>
    <m/>
    <m/>
    <m/>
    <m/>
    <m/>
    <m/>
    <m/>
    <m/>
    <m/>
    <m/>
    <m/>
    <m/>
    <m/>
    <m/>
    <m/>
    <m/>
    <m/>
    <m/>
    <m/>
    <m/>
  </r>
  <r>
    <n v="1"/>
    <s v="BOLIVAR PROGRESA, SUPERACIÓN DE LA POBREZA"/>
    <m/>
    <m/>
    <x v="5"/>
    <x v="5"/>
    <m/>
    <m/>
    <x v="23"/>
    <x v="23"/>
    <m/>
    <m/>
    <m/>
    <s v="Identificar, asesorar y fortalecer los museos del Departamento"/>
    <s v="Numero de_x000a_museos_x000a_identificados,_x000a_asesorados y_x000a_fortalecidos de la_x000a_red de museos del_x000a_departamento "/>
    <n v="1"/>
    <n v="3"/>
    <m/>
    <s v="Museos de la red de museos del Departamento, identificados, asesorados y fortalecidos"/>
    <s v="Numero de museos identificados, asesorados y fortalecidos de la red de museos del departamento  "/>
    <n v="1"/>
    <n v="3"/>
    <s v="Incremento"/>
    <m/>
    <s v="Cultura"/>
    <s v="A.5"/>
    <n v="11"/>
    <s v="ICULTUR"/>
    <n v="1"/>
    <n v="1"/>
    <n v="1"/>
    <n v="1"/>
    <n v="4"/>
    <b v="0"/>
    <n v="0"/>
    <n v="1"/>
    <n v="2"/>
    <n v="2"/>
    <n v="0.66666666666666663"/>
    <n v="1"/>
    <n v="0"/>
    <n v="1"/>
    <m/>
    <n v="2"/>
    <n v="1"/>
    <n v="3"/>
    <m/>
    <m/>
    <m/>
    <n v="1"/>
    <n v="1"/>
    <n v="1"/>
    <m/>
    <m/>
    <m/>
    <n v="1"/>
    <m/>
    <m/>
    <m/>
    <m/>
    <m/>
    <m/>
    <m/>
    <m/>
    <m/>
    <m/>
    <m/>
    <m/>
    <m/>
    <m/>
    <m/>
    <m/>
    <m/>
    <m/>
    <m/>
    <m/>
    <m/>
    <m/>
    <m/>
    <m/>
    <m/>
  </r>
  <r>
    <n v="1"/>
    <s v="BOLIVAR PROGRESA, SUPERACIÓN DE LA POBREZA"/>
    <m/>
    <m/>
    <x v="5"/>
    <x v="5"/>
    <m/>
    <m/>
    <x v="23"/>
    <x v="23"/>
    <m/>
    <m/>
    <m/>
    <s v="Institucionalizar el Consejo Departamental de Cultura con funciones específicas y cronograma de reuniones periódicas ordinarias"/>
    <s v="Número de_x000a_reuniones de funcionamiento del Consejo Departamental de Cultura_x000a_realizadas"/>
    <n v="7"/>
    <n v="8"/>
    <m/>
    <s v="Consejo Departamental de Cultura en funcionamiento"/>
    <s v="Número de reuniones ordinarias realizadas"/>
    <n v="7"/>
    <n v="1"/>
    <s v="Incremento"/>
    <m/>
    <s v="Cultura"/>
    <s v="A.5"/>
    <n v="11"/>
    <s v="ICULTUR"/>
    <m/>
    <n v="2"/>
    <n v="2"/>
    <n v="3"/>
    <n v="7"/>
    <b v="0"/>
    <m/>
    <m/>
    <m/>
    <m/>
    <n v="0"/>
    <m/>
    <m/>
    <m/>
    <m/>
    <m/>
    <s v="NP"/>
    <n v="0"/>
    <m/>
    <m/>
    <m/>
    <n v="0"/>
    <n v="2"/>
    <n v="0"/>
    <m/>
    <m/>
    <m/>
    <n v="0"/>
    <m/>
    <m/>
    <m/>
    <m/>
    <m/>
    <m/>
    <m/>
    <m/>
    <m/>
    <m/>
    <m/>
    <m/>
    <m/>
    <m/>
    <m/>
    <m/>
    <m/>
    <m/>
    <m/>
    <m/>
    <m/>
    <m/>
    <m/>
    <m/>
    <m/>
  </r>
  <r>
    <n v="1"/>
    <s v="BOLIVAR PROGRESA, SUPERACIÓN DE LA POBREZA"/>
    <m/>
    <m/>
    <x v="5"/>
    <x v="5"/>
    <m/>
    <m/>
    <x v="23"/>
    <x v="23"/>
    <m/>
    <m/>
    <m/>
    <s v="Consejos Municipales de Cultura en operación "/>
    <s v="Numero de Consejos municipales de cultura operando"/>
    <s v="ND"/>
    <n v="46"/>
    <m/>
    <s v="Consejos municipales de cultura en operación"/>
    <s v="Numero de Consejos municipales de cultura en operación"/>
    <s v="ND"/>
    <n v="46"/>
    <s v="Incremento"/>
    <m/>
    <s v="Cultura"/>
    <s v="A.5"/>
    <n v="11"/>
    <s v="ICULTUR"/>
    <n v="5"/>
    <n v="10"/>
    <n v="11"/>
    <n v="20"/>
    <n v="46"/>
    <b v="1"/>
    <n v="0.54347826086956519"/>
    <n v="5"/>
    <n v="25"/>
    <n v="25"/>
    <n v="0.54347826086956519"/>
    <n v="5"/>
    <n v="25"/>
    <n v="5"/>
    <m/>
    <n v="25"/>
    <n v="1"/>
    <n v="35"/>
    <m/>
    <m/>
    <m/>
    <n v="0.76086956521739135"/>
    <n v="10"/>
    <n v="10"/>
    <m/>
    <m/>
    <m/>
    <n v="1"/>
    <m/>
    <m/>
    <m/>
    <m/>
    <m/>
    <m/>
    <m/>
    <m/>
    <m/>
    <m/>
    <m/>
    <m/>
    <m/>
    <m/>
    <m/>
    <m/>
    <m/>
    <m/>
    <m/>
    <m/>
    <m/>
    <m/>
    <m/>
    <m/>
    <m/>
  </r>
  <r>
    <n v="1"/>
    <s v="BOLIVAR PROGRESA, SUPERACIÓN DE LA POBREZA"/>
    <m/>
    <m/>
    <x v="5"/>
    <x v="5"/>
    <m/>
    <m/>
    <x v="23"/>
    <x v="23"/>
    <m/>
    <m/>
    <m/>
    <s v="Programa para la circulación de artistas en eventos departamentales "/>
    <s v="Número de artistas beneficiados con el programa de circulación artística departamental"/>
    <n v="1000"/>
    <n v="1500"/>
    <m/>
    <s v="Artistas beneficiados con el programa de circulación artistica departamental "/>
    <s v="Número de artistas beneficiados con el programa de circulación artistica departamental"/>
    <n v="1000"/>
    <n v="1500"/>
    <s v="Incremento"/>
    <m/>
    <s v="Cultura"/>
    <s v="A.5"/>
    <n v="11"/>
    <s v="ICULTUR"/>
    <m/>
    <n v="138"/>
    <n v="600"/>
    <n v="900"/>
    <n v="1638"/>
    <b v="0"/>
    <m/>
    <m/>
    <m/>
    <m/>
    <n v="0"/>
    <m/>
    <m/>
    <m/>
    <m/>
    <m/>
    <s v="NP"/>
    <n v="138"/>
    <m/>
    <m/>
    <m/>
    <n v="9.1999999999999998E-2"/>
    <n v="138"/>
    <n v="138"/>
    <m/>
    <m/>
    <m/>
    <n v="1"/>
    <m/>
    <m/>
    <m/>
    <m/>
    <m/>
    <m/>
    <m/>
    <m/>
    <m/>
    <m/>
    <m/>
    <m/>
    <m/>
    <m/>
    <m/>
    <m/>
    <m/>
    <m/>
    <m/>
    <m/>
    <m/>
    <m/>
    <m/>
    <m/>
    <m/>
  </r>
  <r>
    <n v="1"/>
    <s v="BOLIVAR PROGRESA, SUPERACIÓN DE LA POBREZA"/>
    <m/>
    <m/>
    <x v="5"/>
    <x v="5"/>
    <m/>
    <m/>
    <x v="23"/>
    <x v="23"/>
    <m/>
    <m/>
    <m/>
    <s v="Asesorías técnicas a los festivales del departamento de Bolívar"/>
    <s v="Numero de Asesorías técnicas a_x000a_los festivales del_x000a_departamento de_x000a_Bolívar"/>
    <n v="19"/>
    <n v="20"/>
    <m/>
    <s v="Festivales del Departamento de Bolivar con asesoría técnica"/>
    <s v="Número de festivales de Bolívar con asesorías  tecnicas realizadas a los organizadores"/>
    <n v="15"/>
    <n v="20"/>
    <s v="Incremento"/>
    <m/>
    <s v="Cultura"/>
    <s v="A.5"/>
    <n v="11"/>
    <s v="ICULTUR Y SECRETARIA PRIVADA"/>
    <n v="2"/>
    <n v="5"/>
    <n v="5"/>
    <n v="8"/>
    <n v="20"/>
    <b v="1"/>
    <n v="5"/>
    <n v="5"/>
    <n v="5"/>
    <n v="5"/>
    <n v="0.25"/>
    <n v="2"/>
    <n v="5"/>
    <n v="5"/>
    <m/>
    <n v="5"/>
    <n v="1"/>
    <n v="7"/>
    <m/>
    <m/>
    <m/>
    <n v="0.35"/>
    <n v="5"/>
    <n v="2"/>
    <m/>
    <m/>
    <m/>
    <n v="0.4"/>
    <m/>
    <m/>
    <m/>
    <m/>
    <m/>
    <m/>
    <m/>
    <m/>
    <m/>
    <m/>
    <m/>
    <m/>
    <m/>
    <m/>
    <m/>
    <m/>
    <m/>
    <m/>
    <m/>
    <m/>
    <m/>
    <m/>
    <m/>
    <m/>
    <m/>
  </r>
  <r>
    <n v="1"/>
    <s v="BOLIVAR PROGRESA, SUPERACIÓN DE LA POBREZA"/>
    <m/>
    <m/>
    <x v="5"/>
    <x v="5"/>
    <m/>
    <m/>
    <x v="24"/>
    <x v="23"/>
    <m/>
    <m/>
    <m/>
    <s v="Asesorías técnicas a los festivales del departamento de Bolívar"/>
    <m/>
    <m/>
    <m/>
    <m/>
    <s v="Numero de municipio asesorados en Economia Naranja"/>
    <s v="Número de municipios asesorados en_x000a_Economía Naranja"/>
    <n v="1"/>
    <n v="45"/>
    <s v="Incremento"/>
    <m/>
    <m/>
    <m/>
    <m/>
    <s v="ICULTUR"/>
    <m/>
    <n v="11"/>
    <m/>
    <m/>
    <m/>
    <m/>
    <n v="5"/>
    <n v="5"/>
    <n v="5"/>
    <n v="5"/>
    <n v="0.1111111111111111"/>
    <m/>
    <m/>
    <m/>
    <m/>
    <m/>
    <m/>
    <n v="16"/>
    <m/>
    <m/>
    <m/>
    <n v="0.35555555555555557"/>
    <n v="11"/>
    <n v="11"/>
    <m/>
    <m/>
    <m/>
    <n v="1"/>
    <m/>
    <m/>
    <m/>
    <m/>
    <m/>
    <m/>
    <m/>
    <m/>
    <m/>
    <m/>
    <m/>
    <m/>
    <m/>
    <m/>
    <m/>
    <m/>
    <m/>
    <m/>
    <m/>
    <m/>
    <m/>
    <m/>
    <m/>
    <m/>
    <m/>
  </r>
  <r>
    <n v="1"/>
    <s v="BOLIVAR PROGRESA, SUPERACIÓN DE LA POBREZA"/>
    <m/>
    <m/>
    <x v="5"/>
    <x v="5"/>
    <m/>
    <m/>
    <x v="23"/>
    <x v="23"/>
    <m/>
    <m/>
    <m/>
    <s v="Gestores y creadores culturales del departamento de Bolívar formados"/>
    <s v="Número de Gestores y creadores culturales del departamento de Bolívar formados"/>
    <n v="140"/>
    <n v="250"/>
    <m/>
    <s v="Gestores y creadores culturales del departamento de Bolívar formados"/>
    <s v="Número de gestores culturales formados"/>
    <n v="140"/>
    <n v="250"/>
    <s v="Incremento"/>
    <m/>
    <s v="Cultura"/>
    <s v="A.5"/>
    <n v="11"/>
    <s v="ICULTUR"/>
    <n v="50"/>
    <n v="102"/>
    <n v="67"/>
    <n v="66"/>
    <n v="285"/>
    <b v="0"/>
    <n v="5.7142857142857143E-3"/>
    <n v="165"/>
    <n v="250"/>
    <n v="250"/>
    <n v="1"/>
    <n v="50"/>
    <n v="0.8"/>
    <n v="165"/>
    <m/>
    <n v="250"/>
    <n v="1"/>
    <n v="352"/>
    <m/>
    <m/>
    <m/>
    <n v="1.4079999999999999"/>
    <n v="102"/>
    <n v="102"/>
    <m/>
    <m/>
    <m/>
    <n v="1"/>
    <m/>
    <m/>
    <m/>
    <m/>
    <m/>
    <m/>
    <m/>
    <m/>
    <m/>
    <m/>
    <m/>
    <m/>
    <m/>
    <m/>
    <m/>
    <m/>
    <m/>
    <m/>
    <m/>
    <m/>
    <m/>
    <m/>
    <m/>
    <m/>
    <m/>
  </r>
  <r>
    <n v="1"/>
    <s v="BOLIVAR PROGRESA, SUPERACIÓN DE LA POBREZA"/>
    <m/>
    <m/>
    <x v="5"/>
    <x v="5"/>
    <m/>
    <m/>
    <x v="23"/>
    <x v="23"/>
    <m/>
    <m/>
    <m/>
    <s v="Gestores y creadores culturales del departamento de Bolívar apoyados con beneficios económicos periódicos- BEPS "/>
    <s v="Numero de Gestores y creadores culturales del departamento de Bolívar apoyados con beneficios económicos periódicos- BEPS "/>
    <s v="ND"/>
    <n v="200"/>
    <m/>
    <s v="Gestores y creadores culturales apoyados con beneficios economicos periodicos - BEPS"/>
    <s v="Número de gestores y creadores culturales beneficiados con el programa BEPS."/>
    <s v="ND"/>
    <n v="200"/>
    <s v="Incremento"/>
    <m/>
    <s v="Cultura"/>
    <s v="A.5"/>
    <n v="11"/>
    <s v="ICULTUR"/>
    <n v="200"/>
    <n v="15"/>
    <m/>
    <m/>
    <n v="215"/>
    <b v="0"/>
    <n v="0.2"/>
    <n v="200"/>
    <n v="200"/>
    <n v="200"/>
    <n v="1"/>
    <n v="200"/>
    <n v="39"/>
    <n v="200"/>
    <m/>
    <n v="200"/>
    <n v="1"/>
    <n v="200"/>
    <m/>
    <m/>
    <m/>
    <n v="1"/>
    <n v="15"/>
    <n v="0"/>
    <m/>
    <m/>
    <m/>
    <n v="0"/>
    <m/>
    <m/>
    <m/>
    <m/>
    <m/>
    <m/>
    <m/>
    <m/>
    <m/>
    <m/>
    <m/>
    <m/>
    <m/>
    <m/>
    <m/>
    <m/>
    <m/>
    <m/>
    <m/>
    <m/>
    <m/>
    <m/>
    <m/>
    <m/>
    <m/>
  </r>
  <r>
    <n v="1"/>
    <s v="BOLIVAR PROGRESA, SUPERACIÓN DE LA POBREZA"/>
    <m/>
    <m/>
    <x v="5"/>
    <x v="5"/>
    <m/>
    <m/>
    <x v="23"/>
    <x v="23"/>
    <m/>
    <m/>
    <m/>
    <s v="Artistas, gestores y creadores culturales beneficiados con incentivos económicos en el marco de la emergencia sanitaria generada por el COVID-19 "/>
    <s v="Número de Artistas, gestores y creadores culturales beneficiados con incentivos económicos en el marco de la emergencia sanitaria generada por el COVID-19 "/>
    <s v="ND"/>
    <n v="4500"/>
    <m/>
    <s v="Artistas, gestores y creadores culturales beneficiados con incentivos económicos en el marco de la emergencia sanitaria generada por el COVID-19"/>
    <s v="Número de artistas, gestores y creadores culturales beneficiados con los incentivos economicos de los recursos del impuesto nacional al consumo- INC"/>
    <s v="ND"/>
    <n v="4500"/>
    <s v="Incremento"/>
    <m/>
    <s v="Cultura"/>
    <s v="A.5"/>
    <n v="11"/>
    <s v="ICULTUR"/>
    <n v="4500"/>
    <m/>
    <m/>
    <m/>
    <n v="4500"/>
    <b v="1"/>
    <n v="1.040888888888889"/>
    <n v="4500"/>
    <n v="4500"/>
    <n v="4500"/>
    <n v="1"/>
    <n v="4500"/>
    <n v="4684"/>
    <n v="4500"/>
    <m/>
    <n v="4500"/>
    <n v="1"/>
    <n v="4500"/>
    <m/>
    <m/>
    <m/>
    <n v="1"/>
    <s v="NP"/>
    <m/>
    <m/>
    <m/>
    <m/>
    <s v="NP"/>
    <m/>
    <m/>
    <m/>
    <m/>
    <m/>
    <m/>
    <m/>
    <m/>
    <m/>
    <m/>
    <m/>
    <m/>
    <m/>
    <m/>
    <m/>
    <m/>
    <m/>
    <m/>
    <m/>
    <m/>
    <m/>
    <m/>
    <m/>
    <m/>
    <m/>
  </r>
  <r>
    <n v="2"/>
    <s v="BOLÍVAR COMPETITIVO PARA LA INCLUSIÓN SOCIAL"/>
    <n v="0.14946740426909103"/>
    <n v="0.77936182336182347"/>
    <x v="6"/>
    <x v="6"/>
    <n v="0.58333333333333337"/>
    <n v="0.4916666666666667"/>
    <x v="25"/>
    <x v="24"/>
    <n v="0.64444444444444449"/>
    <n v="0.48888888888888893"/>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s de vías secundarias"/>
    <s v="60 Kms de Vías_x000a_secundarias_x000a_intervenidas"/>
    <s v="ND"/>
    <n v="60"/>
    <s v="Incremento"/>
    <s v="Mejorar, rehabilitar y/o mantener las  vías  secundarias d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n v="10"/>
    <n v="15"/>
    <n v="15"/>
    <n v="19"/>
    <n v="59"/>
    <b v="0"/>
    <n v="0"/>
    <n v="9"/>
    <n v="11"/>
    <n v="11"/>
    <n v="0.18333333333333332"/>
    <n v="10"/>
    <n v="0"/>
    <n v="9"/>
    <m/>
    <n v="11"/>
    <n v="1"/>
    <n v="18"/>
    <m/>
    <m/>
    <m/>
    <n v="0.3"/>
    <n v="15"/>
    <n v="7"/>
    <m/>
    <m/>
    <m/>
    <n v="0.46666666666666667"/>
    <m/>
    <m/>
    <m/>
    <m/>
    <m/>
    <m/>
    <m/>
    <m/>
    <m/>
    <m/>
    <m/>
    <m/>
    <m/>
    <m/>
    <m/>
    <m/>
    <m/>
    <m/>
    <m/>
    <m/>
    <m/>
    <m/>
    <m/>
    <m/>
    <m/>
  </r>
  <r>
    <n v="2"/>
    <s v="BOLÍVAR COMPETITIVO PARA LA INCLUSIÓN SOCIAL"/>
    <m/>
    <m/>
    <x v="6"/>
    <x v="6"/>
    <m/>
    <m/>
    <x v="25"/>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 de vias urbanas"/>
    <s v="5 Kms de Vías urbanas_x000a_intervenidas"/>
    <s v="ND"/>
    <n v="5"/>
    <s v="Incremento"/>
    <s v="Construir y/o mejorar la red vial urbana en 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n v="4"/>
    <n v="1"/>
    <m/>
    <m/>
    <n v="5"/>
    <b v="1"/>
    <n v="2"/>
    <n v="3"/>
    <n v="4"/>
    <n v="4"/>
    <n v="0.8"/>
    <n v="2"/>
    <n v="2"/>
    <n v="2"/>
    <m/>
    <n v="4"/>
    <n v="1"/>
    <n v="4"/>
    <m/>
    <m/>
    <m/>
    <n v="0.8"/>
    <n v="1"/>
    <n v="0"/>
    <m/>
    <m/>
    <m/>
    <n v="0"/>
    <m/>
    <m/>
    <m/>
    <m/>
    <m/>
    <m/>
    <m/>
    <m/>
    <m/>
    <m/>
    <m/>
    <m/>
    <m/>
    <m/>
    <m/>
    <m/>
    <m/>
    <m/>
    <m/>
    <m/>
    <m/>
    <m/>
    <m/>
    <m/>
    <m/>
  </r>
  <r>
    <n v="2"/>
    <s v="BOLÍVAR COMPETITIVO PARA LA INCLUSIÓN SOCIAL"/>
    <m/>
    <m/>
    <x v="6"/>
    <x v="6"/>
    <m/>
    <m/>
    <x v="25"/>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Construir , mejorar y/o rehabilitar un número de puentes "/>
    <s v="12 unidades de Puentes_x000a_construidos,_x000a_mejorados y/o_x000a_rehabilitados"/>
    <s v="ND"/>
    <n v="12"/>
    <s v="Incremento"/>
    <s v="Contrucción, mejoramiento y/o rehabilitación  puentes para el desarrollo competitivo e inclusion social. "/>
    <s v="TRANSPORTE"/>
    <n v="24"/>
    <s v="La infraestructura destinada al mejoramiento de la calidad de vida, la prevención de los_x000a_desastres y al transporte, se encuentran estrechamente ligadas al desarrollo competitivo de los_x000a_territorios."/>
    <s v="SECRETARÍA DE INFRAESTRUCTURA"/>
    <n v="5"/>
    <n v="6"/>
    <n v="1"/>
    <n v="1"/>
    <n v="13"/>
    <b v="0"/>
    <n v="0"/>
    <n v="0"/>
    <n v="4"/>
    <n v="4"/>
    <n v="0.33333333333333331"/>
    <n v="5"/>
    <n v="0"/>
    <n v="0"/>
    <m/>
    <n v="4"/>
    <n v="0.8"/>
    <n v="10"/>
    <m/>
    <m/>
    <m/>
    <n v="0.83333333333333337"/>
    <n v="6"/>
    <n v="6"/>
    <m/>
    <m/>
    <m/>
    <n v="1"/>
    <m/>
    <m/>
    <m/>
    <m/>
    <m/>
    <m/>
    <m/>
    <m/>
    <m/>
    <m/>
    <m/>
    <m/>
    <m/>
    <m/>
    <m/>
    <m/>
    <m/>
    <m/>
    <m/>
    <m/>
    <m/>
    <m/>
    <m/>
    <m/>
    <m/>
  </r>
  <r>
    <n v="2"/>
    <s v="BOLÍVAR COMPETITIVO PARA LA INCLUSIÓN SOCIAL"/>
    <m/>
    <m/>
    <x v="6"/>
    <x v="6"/>
    <m/>
    <m/>
    <x v="26"/>
    <x v="25"/>
    <n v="0.4"/>
    <n v="0.5"/>
    <m/>
    <s v="Propiciar el mejoramiento de la productividad y competitividad en el territorio y consecuentemente de la calidad de vida de las personas que lo habitad."/>
    <s v="Hectáreas protegidas con las_x000a_obras de protección que se_x000a_realicen."/>
    <s v="ND"/>
    <s v="100 Ha"/>
    <m/>
    <s v="Ejecutar  proyectos de obras para control inundación, erosión, protección de riberas y canalización de cauces en_x000a_los márgenes de los Ríos_x000a_Magdalena, Cauca y cauces a_x000a_complejos cenagosos."/>
    <s v="10 proyectos de Obras para control_x000a_inundación, erosión, protección de_x000a_riberas y canalización de cauces en_x000a_los márgenes de los Ríos_x000a_"/>
    <s v="ND"/>
    <n v="10"/>
    <s v="Incremento"/>
    <s v="Incremento en Obras para control_x000a_inundación, erosión, protección de_x000a_riberas y canalización de cauces en_x000a_los márgenes de los Ríos"/>
    <s v="TRANSPORTE"/>
    <n v="24"/>
    <s v="Permitir la articulación_x000a_territorial de gran parte de la provincia bolivarense, la conectividad fluvial representa una gran_x000a_ventaja competitiva frente a otros departamentos de la región."/>
    <s v="SECRETARÍA DE INFRAESTRUCTURA"/>
    <n v="2"/>
    <n v="2"/>
    <n v="2"/>
    <n v="3"/>
    <n v="9"/>
    <b v="0"/>
    <m/>
    <n v="1"/>
    <n v="3"/>
    <n v="3"/>
    <n v="0.3"/>
    <n v="2"/>
    <m/>
    <n v="1"/>
    <m/>
    <n v="3"/>
    <n v="1"/>
    <n v="4"/>
    <m/>
    <m/>
    <m/>
    <n v="0.4"/>
    <n v="2"/>
    <n v="1"/>
    <m/>
    <m/>
    <m/>
    <n v="0.5"/>
    <m/>
    <m/>
    <m/>
    <m/>
    <m/>
    <m/>
    <m/>
    <m/>
    <m/>
    <m/>
    <m/>
    <m/>
    <m/>
    <m/>
    <m/>
    <m/>
    <m/>
    <m/>
    <m/>
    <m/>
    <m/>
    <m/>
    <m/>
    <m/>
    <m/>
  </r>
  <r>
    <n v="2"/>
    <s v="BOLÍVAR COMPETITIVO PARA LA INCLUSIÓN SOCIAL"/>
    <m/>
    <m/>
    <x v="7"/>
    <x v="7"/>
    <n v="0.31020408163265312"/>
    <n v="0.2"/>
    <x v="27"/>
    <x v="26"/>
    <n v="0.43428571428571433"/>
    <n v="0.25"/>
    <m/>
    <s v="Disminuir el Índice de personas muertas en accidentes de tránsito en el Departamento de Bolívar.                                                                                                                                                                      _x000a__x000a_                                                            "/>
    <s v="Disminuir el Índice de personas muertas en accidentes de tránsito en el Departamento de Bolívar.                                                                                                                                                                      _x000a__x000a_                                                            "/>
    <s v="2.7"/>
    <s v="2.55"/>
    <m/>
    <s v="Programas de seguridad vial (señales, demarcaciones, equipos sast)"/>
    <s v="Programas de seguridad vial (señales, demarcaciones, equipos sast)"/>
    <n v="7"/>
    <n v="14"/>
    <s v="Incremento"/>
    <m/>
    <m/>
    <m/>
    <m/>
    <s v="SECRETARÍA DE  MOVILIDAD"/>
    <n v="1"/>
    <n v="3"/>
    <n v="5"/>
    <n v="5"/>
    <n v="14"/>
    <b v="1"/>
    <n v="0"/>
    <n v="1"/>
    <n v="1"/>
    <n v="1"/>
    <n v="7.1428571428571425E-2"/>
    <n v="1"/>
    <n v="0"/>
    <n v="1"/>
    <m/>
    <n v="1"/>
    <n v="1"/>
    <n v="1"/>
    <m/>
    <m/>
    <m/>
    <n v="7.1428571428571425E-2"/>
    <n v="3"/>
    <n v="0"/>
    <m/>
    <m/>
    <m/>
    <n v="0"/>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Campañas de seguridad vial "/>
    <s v="Campañas de seguridad vial "/>
    <n v="2"/>
    <n v="10"/>
    <s v="Incremento"/>
    <m/>
    <m/>
    <m/>
    <m/>
    <s v="SECRETARÍA DE  MOVILIDAD"/>
    <n v="1"/>
    <n v="2"/>
    <n v="3"/>
    <n v="4"/>
    <n v="10"/>
    <b v="1"/>
    <m/>
    <m/>
    <n v="1"/>
    <n v="1"/>
    <n v="0.1"/>
    <n v="1"/>
    <m/>
    <m/>
    <m/>
    <n v="1"/>
    <n v="1"/>
    <n v="1"/>
    <m/>
    <m/>
    <m/>
    <n v="0.1"/>
    <n v="2"/>
    <n v="0"/>
    <m/>
    <m/>
    <m/>
    <n v="0"/>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Mapas de riesgos y puntos de accidentalidad"/>
    <s v="Mapas de riesgos y puntos de accidentalidad"/>
    <s v="N/D"/>
    <n v="1"/>
    <s v="Incremento"/>
    <m/>
    <m/>
    <m/>
    <m/>
    <s v="SECRETARÍA DE  MOVILIDAD"/>
    <m/>
    <n v="1"/>
    <m/>
    <m/>
    <n v="1"/>
    <b v="1"/>
    <m/>
    <m/>
    <m/>
    <m/>
    <n v="0"/>
    <m/>
    <m/>
    <m/>
    <m/>
    <m/>
    <s v="NP"/>
    <n v="1"/>
    <m/>
    <m/>
    <m/>
    <n v="1"/>
    <n v="1"/>
    <n v="1"/>
    <m/>
    <m/>
    <m/>
    <n v="1"/>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Planes de control de ilegalidad en el transporte"/>
    <s v="Planes de control de ilegalidad en el transporte"/>
    <s v="N/D"/>
    <n v="1"/>
    <s v="Incremento"/>
    <m/>
    <m/>
    <m/>
    <m/>
    <s v="SECRETARÍA DE  MOVILIDAD"/>
    <n v="1"/>
    <m/>
    <m/>
    <m/>
    <n v="1"/>
    <b v="1"/>
    <n v="0"/>
    <n v="1"/>
    <n v="1"/>
    <n v="1"/>
    <n v="1"/>
    <n v="1"/>
    <n v="0"/>
    <n v="1"/>
    <m/>
    <n v="1"/>
    <n v="1"/>
    <n v="1"/>
    <m/>
    <m/>
    <m/>
    <n v="1"/>
    <s v="NP"/>
    <m/>
    <m/>
    <m/>
    <m/>
    <s v="NP"/>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Campañas Sobre el uso Medios De Transportes Amigables Con El Medio Ambiente"/>
    <s v="Campañas Sobre el uso Medios De Transportes Amigables Con El Medio Ambiente"/>
    <s v="N/D"/>
    <n v="4"/>
    <s v="Incremento"/>
    <m/>
    <m/>
    <m/>
    <m/>
    <s v="SECRETARÍA DE  MOVILIDAD"/>
    <m/>
    <n v="1"/>
    <n v="2"/>
    <n v="1"/>
    <n v="4"/>
    <b v="1"/>
    <m/>
    <m/>
    <m/>
    <m/>
    <n v="0"/>
    <m/>
    <m/>
    <m/>
    <m/>
    <m/>
    <s v="NP"/>
    <n v="0"/>
    <m/>
    <m/>
    <m/>
    <n v="0"/>
    <n v="1"/>
    <n v="0"/>
    <m/>
    <m/>
    <m/>
    <n v="0"/>
    <m/>
    <m/>
    <m/>
    <m/>
    <m/>
    <m/>
    <m/>
    <m/>
    <m/>
    <m/>
    <m/>
    <m/>
    <m/>
    <m/>
    <m/>
    <m/>
    <m/>
    <m/>
    <m/>
    <m/>
    <m/>
    <m/>
    <m/>
    <m/>
    <m/>
  </r>
  <r>
    <n v="2"/>
    <s v="BOLÍVAR COMPETITIVO PARA LA INCLUSIÓN SOCIAL"/>
    <m/>
    <m/>
    <x v="7"/>
    <x v="7"/>
    <m/>
    <m/>
    <x v="28"/>
    <x v="27"/>
    <n v="0"/>
    <n v="0"/>
    <m/>
    <s v="Aumentar la movilidad aerea"/>
    <s v="Aumentar la movilidad aerea"/>
    <n v="0"/>
    <n v="1"/>
    <m/>
    <s v="Frecuencias aéreas"/>
    <s v="Frecuencias aéreas"/>
    <s v="N/D"/>
    <n v="1"/>
    <s v="Incremento"/>
    <m/>
    <m/>
    <m/>
    <m/>
    <s v="SECRETARÍA DE  MOVILIDAD"/>
    <m/>
    <n v="1"/>
    <m/>
    <m/>
    <n v="1"/>
    <b v="1"/>
    <m/>
    <m/>
    <m/>
    <m/>
    <n v="0"/>
    <m/>
    <m/>
    <m/>
    <m/>
    <m/>
    <s v="NP"/>
    <n v="0"/>
    <m/>
    <m/>
    <m/>
    <n v="0"/>
    <n v="1"/>
    <n v="0"/>
    <m/>
    <m/>
    <m/>
    <n v="0"/>
    <m/>
    <m/>
    <m/>
    <m/>
    <m/>
    <m/>
    <m/>
    <m/>
    <m/>
    <m/>
    <m/>
    <m/>
    <m/>
    <m/>
    <m/>
    <m/>
    <m/>
    <m/>
    <m/>
    <m/>
    <m/>
    <m/>
    <m/>
    <m/>
    <m/>
  </r>
  <r>
    <n v="2"/>
    <s v="BOLÍVAR COMPETITIVO PARA LA INCLUSIÓN SOCIAL"/>
    <m/>
    <m/>
    <x v="7"/>
    <x v="7"/>
    <m/>
    <m/>
    <x v="28"/>
    <x v="27"/>
    <m/>
    <m/>
    <m/>
    <s v="Aumentar la movilidad aerea"/>
    <s v="Aumentar la movilidad aerea"/>
    <n v="2"/>
    <n v="1"/>
    <m/>
    <s v="Nueva infraestructura de Transporte aéreo gestionada"/>
    <s v="Nueva infraestructura de Transporte aéreo gestionada"/>
    <n v="2"/>
    <n v="1"/>
    <s v="Incremento"/>
    <m/>
    <m/>
    <m/>
    <m/>
    <s v="SECRETARÍA DE  MOVILIDAD"/>
    <m/>
    <m/>
    <n v="1"/>
    <m/>
    <n v="1"/>
    <b v="1"/>
    <n v="0"/>
    <n v="0"/>
    <m/>
    <m/>
    <n v="0"/>
    <m/>
    <m/>
    <m/>
    <m/>
    <m/>
    <s v="NP"/>
    <n v="0"/>
    <m/>
    <m/>
    <m/>
    <n v="0"/>
    <s v="NP"/>
    <m/>
    <m/>
    <m/>
    <m/>
    <s v="NP"/>
    <m/>
    <m/>
    <m/>
    <m/>
    <m/>
    <m/>
    <m/>
    <m/>
    <m/>
    <m/>
    <m/>
    <m/>
    <m/>
    <m/>
    <m/>
    <m/>
    <m/>
    <m/>
    <m/>
    <m/>
    <m/>
    <m/>
    <m/>
    <m/>
    <m/>
  </r>
  <r>
    <n v="2"/>
    <s v="BOLÍVAR COMPETITIVO PARA LA INCLUSIÓN SOCIAL"/>
    <m/>
    <m/>
    <x v="8"/>
    <x v="8"/>
    <n v="0.33750000000000002"/>
    <n v="0.10625000000000001"/>
    <x v="29"/>
    <x v="28"/>
    <n v="0.33750000000000002"/>
    <n v="0.10625000000000001"/>
    <m/>
    <s v="Mejorar la posicion en el ranking departamental de competitividad en el Pilar “Adopción TIC” llegar al puesto 12"/>
    <s v="Mejorar la posicion en el ranking departamental de competitividad en el Pilar “Adopción TIC” llegar al puesto 12"/>
    <n v="18"/>
    <n v="12"/>
    <m/>
    <s v="Conectar con banda ancha, fija y/o movil a 15 municipios de bolivar"/>
    <s v="Conectar con banda ancha, fija y/o movil a 15 municipios de bolivar"/>
    <n v="15"/>
    <n v="15"/>
    <s v="Mantenimiento"/>
    <m/>
    <m/>
    <n v="15"/>
    <m/>
    <s v="SECRETARÍA DE PLANEACIÓN"/>
    <m/>
    <n v="15"/>
    <n v="15"/>
    <n v="15"/>
    <n v="45"/>
    <b v="0"/>
    <m/>
    <m/>
    <m/>
    <m/>
    <n v="0"/>
    <m/>
    <m/>
    <m/>
    <m/>
    <m/>
    <s v="NP"/>
    <n v="0.75"/>
    <m/>
    <m/>
    <m/>
    <n v="0.05"/>
    <n v="15"/>
    <n v="3"/>
    <m/>
    <m/>
    <m/>
    <n v="0.2"/>
    <m/>
    <m/>
    <m/>
    <m/>
    <m/>
    <m/>
    <m/>
    <m/>
    <m/>
    <m/>
    <m/>
    <m/>
    <m/>
    <m/>
    <m/>
    <m/>
    <m/>
    <m/>
    <m/>
    <m/>
    <m/>
    <m/>
    <m/>
    <m/>
    <m/>
  </r>
  <r>
    <n v="2"/>
    <s v="BOLÍVAR COMPETITIVO PARA LA INCLUSIÓN SOCIAL"/>
    <m/>
    <m/>
    <x v="8"/>
    <x v="8"/>
    <m/>
    <m/>
    <x v="29"/>
    <x v="28"/>
    <m/>
    <m/>
    <m/>
    <s v="Mejorar el Indice de penetracion a internet"/>
    <s v="Mejorar el Indice de penetracion a internet"/>
    <n v="15"/>
    <n v="10"/>
    <m/>
    <s v="Conectar con banda ancha, fija y/o movil a 15 municipios de bolivar"/>
    <s v="Conectar con banda ancha, fija y/o movil a 15 municipios de bolivar"/>
    <n v="15"/>
    <n v="15"/>
    <s v="Mantenimiento"/>
    <m/>
    <m/>
    <n v="15"/>
    <m/>
    <s v="SECRETARÍA DE PLANEACIÓN"/>
    <m/>
    <n v="15"/>
    <n v="15"/>
    <n v="15"/>
    <n v="45"/>
    <b v="0"/>
    <m/>
    <m/>
    <m/>
    <m/>
    <n v="0"/>
    <m/>
    <m/>
    <m/>
    <m/>
    <m/>
    <s v="NP"/>
    <n v="0"/>
    <m/>
    <m/>
    <m/>
    <n v="0"/>
    <n v="15"/>
    <m/>
    <m/>
    <m/>
    <m/>
    <n v="0"/>
    <m/>
    <m/>
    <m/>
    <m/>
    <m/>
    <m/>
    <m/>
    <m/>
    <m/>
    <m/>
    <m/>
    <m/>
    <m/>
    <m/>
    <m/>
    <m/>
    <m/>
    <m/>
    <m/>
    <m/>
    <m/>
    <m/>
    <m/>
    <m/>
    <m/>
  </r>
  <r>
    <n v="2"/>
    <s v="BOLÍVAR COMPETITIVO PARA LA INCLUSIÓN SOCIAL"/>
    <m/>
    <m/>
    <x v="8"/>
    <x v="8"/>
    <m/>
    <m/>
    <x v="29"/>
    <x v="28"/>
    <m/>
    <m/>
    <m/>
    <s v="Aumentar el Acceso a internet departamental al 97%"/>
    <s v="Aumentar el Acceso a internet departamental al 97%"/>
    <n v="0.95599999999999996"/>
    <n v="0.97"/>
    <m/>
    <s v="Capacitadar en el uso de tecnologías de la información y generación de nuevos negocios"/>
    <s v="Capacitadar en el uso de tecnologías de la información y generación de nuevos negocios"/>
    <s v="ND"/>
    <n v="0.2"/>
    <s v="Incremento"/>
    <m/>
    <m/>
    <n v="4"/>
    <m/>
    <s v="SECRETARÍA DE PLANEACIÓN"/>
    <m/>
    <n v="8"/>
    <n v="8"/>
    <n v="4"/>
    <n v="20"/>
    <b v="0"/>
    <m/>
    <m/>
    <m/>
    <m/>
    <n v="0"/>
    <m/>
    <m/>
    <m/>
    <m/>
    <m/>
    <s v="NP"/>
    <n v="0.2"/>
    <m/>
    <m/>
    <m/>
    <n v="1"/>
    <n v="8"/>
    <n v="0.2"/>
    <m/>
    <m/>
    <m/>
    <n v="2.5000000000000001E-2"/>
    <m/>
    <m/>
    <m/>
    <m/>
    <m/>
    <m/>
    <m/>
    <m/>
    <m/>
    <m/>
    <m/>
    <m/>
    <m/>
    <m/>
    <m/>
    <m/>
    <m/>
    <m/>
    <m/>
    <m/>
    <m/>
    <m/>
    <m/>
    <m/>
    <m/>
  </r>
  <r>
    <n v="2"/>
    <s v="BOLÍVAR COMPETITIVO PARA LA INCLUSIÓN SOCIAL"/>
    <m/>
    <m/>
    <x v="8"/>
    <x v="8"/>
    <m/>
    <m/>
    <x v="29"/>
    <x v="28"/>
    <m/>
    <m/>
    <m/>
    <s v="Municipios con índice de cobertura de internet inferior al 1 %"/>
    <s v="Municipios con índice de cobertura de internet inferior al 1 %"/>
    <n v="0.05"/>
    <n v="0.1"/>
    <m/>
    <s v="Número de Centros Digitales y Zonas Digitales "/>
    <s v="Número de Centros Digitales y Zonas Digitales "/>
    <s v="ND"/>
    <n v="50"/>
    <s v="Incremento"/>
    <m/>
    <m/>
    <n v="15"/>
    <m/>
    <s v="SECRETARÍA DE PLANEACIÓN"/>
    <n v="12"/>
    <n v="15"/>
    <n v="20"/>
    <n v="15"/>
    <n v="62"/>
    <b v="0"/>
    <n v="12"/>
    <n v="12"/>
    <n v="12"/>
    <n v="12"/>
    <n v="0.24"/>
    <n v="12"/>
    <n v="12"/>
    <n v="12"/>
    <m/>
    <n v="12"/>
    <n v="1"/>
    <n v="15"/>
    <m/>
    <m/>
    <m/>
    <n v="0.3"/>
    <n v="15"/>
    <n v="3"/>
    <m/>
    <m/>
    <m/>
    <n v="0.2"/>
    <m/>
    <m/>
    <m/>
    <m/>
    <m/>
    <m/>
    <m/>
    <m/>
    <m/>
    <m/>
    <m/>
    <m/>
    <m/>
    <m/>
    <m/>
    <m/>
    <m/>
    <m/>
    <m/>
    <m/>
    <m/>
    <m/>
    <m/>
    <m/>
    <m/>
  </r>
  <r>
    <n v="2"/>
    <s v="BOLÍVAR COMPETITIVO PARA LA INCLUSIÓN SOCIAL"/>
    <m/>
    <m/>
    <x v="9"/>
    <x v="9"/>
    <n v="0.22222222222222218"/>
    <n v="0.2857142857142857"/>
    <x v="30"/>
    <x v="29"/>
    <n v="0.10833333333333334"/>
    <n v="0"/>
    <m/>
    <s v="Instalar a 60 Inversionistas en el departamento resultado de la promoción del departamento"/>
    <s v="Instalar a 60 Inversionistas en el departamento resultado de la promoción del departamento"/>
    <n v="67"/>
    <n v="60"/>
    <m/>
    <s v="Realizar 3 convenios para promoción del Departamento"/>
    <s v="Realizar 3 convenios para promoción del Departamento"/>
    <n v="1"/>
    <n v="3"/>
    <s v="Incremento"/>
    <s v="Convenio con vicepresidencia y mincomercio: Ruta integrada  fecha sep agosto del 2020 "/>
    <s v="Promoción del Desarrollo"/>
    <s v="A. 13"/>
    <s v="Promover el crecimiento económico sostenido, inclusivo y sostenible, el empleo pleno y productivo y el trabajo decente para todos"/>
    <s v="SECRETARÍA DE PLANEACIÓN"/>
    <n v="1"/>
    <n v="1"/>
    <n v="1"/>
    <n v="0"/>
    <n v="3"/>
    <b v="1"/>
    <n v="1"/>
    <n v="1"/>
    <n v="1"/>
    <n v="1"/>
    <n v="0.33333333333333331"/>
    <n v="1"/>
    <n v="1"/>
    <n v="1"/>
    <m/>
    <n v="1"/>
    <n v="1"/>
    <n v="1"/>
    <m/>
    <m/>
    <m/>
    <n v="0.33333333333333331"/>
    <n v="1"/>
    <n v="0"/>
    <m/>
    <m/>
    <m/>
    <n v="0"/>
    <m/>
    <m/>
    <m/>
    <m/>
    <m/>
    <m/>
    <m/>
    <m/>
    <m/>
    <m/>
    <m/>
    <m/>
    <m/>
    <m/>
    <m/>
    <m/>
    <m/>
    <m/>
    <m/>
    <m/>
    <m/>
    <m/>
    <m/>
    <m/>
    <m/>
  </r>
  <r>
    <n v="2"/>
    <s v="BOLÍVAR COMPETITIVO PARA LA INCLUSIÓN SOCIAL"/>
    <m/>
    <m/>
    <x v="9"/>
    <x v="9"/>
    <m/>
    <m/>
    <x v="30"/>
    <x v="29"/>
    <m/>
    <m/>
    <m/>
    <s v="Instalar a 60 Inversionistas en el departamento resultado de la promoción del departamento"/>
    <s v="Instalar a 60 Inversionistas en el departamento resultado de la promoción del departamento"/>
    <n v="67"/>
    <n v="60"/>
    <m/>
    <s v="Instalar 60 empresas en el Departamento"/>
    <s v="Instalar 60 empresas en el Departamento"/>
    <n v="67"/>
    <n v="60"/>
    <s v="Incremento"/>
    <s v="disminución"/>
    <s v="Investing "/>
    <s v="Promoción del Desarrollo"/>
    <s v="A. 13"/>
    <s v="SECRETARÍA DE PLANEACIÓN"/>
    <n v="10"/>
    <n v="10"/>
    <n v="30"/>
    <n v="10"/>
    <n v="60"/>
    <b v="1"/>
    <n v="1"/>
    <n v="4"/>
    <n v="6"/>
    <n v="6"/>
    <n v="0.1"/>
    <n v="10"/>
    <n v="1"/>
    <n v="4"/>
    <m/>
    <n v="6"/>
    <n v="0.6"/>
    <n v="6"/>
    <m/>
    <m/>
    <m/>
    <n v="0.1"/>
    <n v="10"/>
    <m/>
    <m/>
    <m/>
    <m/>
    <n v="0"/>
    <m/>
    <m/>
    <m/>
    <m/>
    <m/>
    <m/>
    <m/>
    <m/>
    <m/>
    <m/>
    <m/>
    <m/>
    <m/>
    <m/>
    <m/>
    <m/>
    <m/>
    <m/>
    <m/>
    <m/>
    <m/>
    <m/>
    <m/>
    <m/>
    <m/>
  </r>
  <r>
    <n v="2"/>
    <s v="BOLÍVAR COMPETITIVO PARA LA INCLUSIÓN SOCIAL"/>
    <m/>
    <m/>
    <x v="9"/>
    <x v="9"/>
    <m/>
    <m/>
    <x v="30"/>
    <x v="29"/>
    <m/>
    <m/>
    <m/>
    <s v="Instalar a 60 Inversionistas en el departamento resultado de la promoción del departamento"/>
    <s v="Instalar a 60 Inversionistas en el departamento resultado de la promoción del departamento"/>
    <n v="67"/>
    <n v="60"/>
    <m/>
    <s v="Creación de 1 sistema de información y caracterización para inversionistas"/>
    <s v="Creación de 1 sistema de información y caracterización para inversionistas"/>
    <n v="0"/>
    <n v="1"/>
    <s v="Incremento"/>
    <n v="1"/>
    <n v="0"/>
    <n v="0"/>
    <m/>
    <s v="SECRETARÍA DE PLANEACIÓN"/>
    <m/>
    <n v="1"/>
    <m/>
    <m/>
    <n v="1"/>
    <b v="1"/>
    <m/>
    <m/>
    <m/>
    <m/>
    <n v="0"/>
    <m/>
    <m/>
    <m/>
    <m/>
    <m/>
    <s v="NP"/>
    <n v="0"/>
    <m/>
    <m/>
    <m/>
    <n v="0"/>
    <n v="1"/>
    <m/>
    <m/>
    <m/>
    <m/>
    <n v="0"/>
    <m/>
    <m/>
    <m/>
    <m/>
    <m/>
    <m/>
    <m/>
    <m/>
    <m/>
    <m/>
    <m/>
    <m/>
    <m/>
    <m/>
    <m/>
    <m/>
    <m/>
    <m/>
    <m/>
    <m/>
    <m/>
    <m/>
    <m/>
    <m/>
    <m/>
  </r>
  <r>
    <n v="2"/>
    <s v="BOLÍVAR COMPETITIVO PARA LA INCLUSIÓN SOCIAL"/>
    <m/>
    <m/>
    <x v="9"/>
    <x v="9"/>
    <m/>
    <m/>
    <x v="30"/>
    <x v="29"/>
    <m/>
    <m/>
    <m/>
    <s v="Instalar a 60 Inversionistas en el departamento resultado de la promoción del departamento"/>
    <s v="Instalar a 60 Inversionistas en el departamento resultado de la promoción del departamento"/>
    <n v="67"/>
    <n v="60"/>
    <m/>
    <s v="Formular 1 política pública de desarrollo económico departamental"/>
    <s v="Formular 1 política pública de desarrollo económico departamental"/>
    <n v="0"/>
    <n v="1"/>
    <s v="Incremento"/>
    <n v="1"/>
    <n v="0"/>
    <n v="0"/>
    <m/>
    <s v="SECRETARÍA DE PLANEACIÓN"/>
    <m/>
    <n v="1"/>
    <m/>
    <m/>
    <n v="1"/>
    <b v="1"/>
    <m/>
    <m/>
    <m/>
    <m/>
    <n v="0"/>
    <m/>
    <m/>
    <m/>
    <m/>
    <m/>
    <s v="NP"/>
    <n v="0"/>
    <m/>
    <m/>
    <m/>
    <n v="0"/>
    <n v="1"/>
    <n v="0"/>
    <m/>
    <m/>
    <m/>
    <n v="0"/>
    <m/>
    <m/>
    <m/>
    <m/>
    <m/>
    <m/>
    <m/>
    <m/>
    <m/>
    <m/>
    <m/>
    <m/>
    <m/>
    <m/>
    <m/>
    <m/>
    <m/>
    <m/>
    <m/>
    <m/>
    <m/>
    <m/>
    <m/>
    <m/>
    <m/>
  </r>
  <r>
    <n v="2"/>
    <s v="BOLÍVAR COMPETITIVO PARA LA INCLUSIÓN SOCIAL"/>
    <m/>
    <m/>
    <x v="9"/>
    <x v="9"/>
    <m/>
    <m/>
    <x v="31"/>
    <x v="30"/>
    <n v="0.37407407407407406"/>
    <n v="0.66666666666666663"/>
    <m/>
    <s v="Desarrollar una plataforma para encadenamientos productivos"/>
    <s v="Desarrollar una plataforma para encadenamientos productivos"/>
    <n v="0"/>
    <n v="1"/>
    <m/>
    <s v="Asistir 1 Proyecto de impacto para el fortalecimiento de cadenas productivas."/>
    <s v="Asistir 1 Proyecto de impacto para el fortalecimiento de cadenas productivas."/>
    <n v="0"/>
    <n v="3"/>
    <s v="Incremento"/>
    <n v="1"/>
    <n v="0"/>
    <n v="0"/>
    <m/>
    <s v="SECRETARÍA DE PLANEACIÓN"/>
    <m/>
    <n v="1"/>
    <m/>
    <m/>
    <n v="1"/>
    <b v="0"/>
    <m/>
    <m/>
    <m/>
    <m/>
    <n v="0"/>
    <m/>
    <m/>
    <m/>
    <m/>
    <m/>
    <s v="NP"/>
    <n v="1"/>
    <m/>
    <m/>
    <m/>
    <n v="0.33333333333333331"/>
    <n v="1"/>
    <n v="1"/>
    <m/>
    <m/>
    <m/>
    <n v="1"/>
    <m/>
    <m/>
    <m/>
    <m/>
    <m/>
    <m/>
    <m/>
    <m/>
    <m/>
    <m/>
    <m/>
    <m/>
    <m/>
    <m/>
    <m/>
    <m/>
    <m/>
    <m/>
    <m/>
    <m/>
    <m/>
    <m/>
    <m/>
    <m/>
    <m/>
  </r>
  <r>
    <n v="2"/>
    <s v="BOLÍVAR COMPETITIVO PARA LA INCLUSIÓN SOCIAL"/>
    <m/>
    <m/>
    <x v="9"/>
    <x v="9"/>
    <m/>
    <m/>
    <x v="31"/>
    <x v="30"/>
    <m/>
    <m/>
    <m/>
    <s v="Desarrollar una plataforma para encadenamientos productivos"/>
    <s v="Desarrollar una plataforma para encadenamientos productivos"/>
    <n v="0"/>
    <n v="1"/>
    <m/>
    <s v="90 empresas y pequeños productores apoyados con alianzas para el desarrollo para el emprendimiento y encadenamientos    "/>
    <s v="90 empresas y pequeños productores apoyados con alianzas para el desarrollo para el emprendimiento y encadenamientos    "/>
    <n v="0"/>
    <n v="90"/>
    <s v="Incremento"/>
    <s v="Asociación acuicultores proyectos CTel"/>
    <s v="Promoción del Desarrollo"/>
    <s v="A. 13"/>
    <s v="Promover el crecimiento económico sostenido, inclusivo y sostenible, el empleo pleno y productivo y el trabajo decente para todos"/>
    <s v="SECRETARÍA DE PLANEACIÓN"/>
    <n v="10"/>
    <n v="30"/>
    <n v="30"/>
    <n v="20"/>
    <n v="90"/>
    <b v="1"/>
    <n v="5"/>
    <n v="6"/>
    <n v="10"/>
    <n v="10"/>
    <n v="0.1111111111111111"/>
    <n v="10"/>
    <n v="5"/>
    <n v="6"/>
    <m/>
    <n v="10"/>
    <n v="1"/>
    <n v="71"/>
    <m/>
    <m/>
    <m/>
    <n v="0.78888888888888886"/>
    <n v="30"/>
    <n v="61"/>
    <m/>
    <m/>
    <m/>
    <n v="1"/>
    <m/>
    <m/>
    <m/>
    <m/>
    <m/>
    <m/>
    <m/>
    <m/>
    <m/>
    <m/>
    <m/>
    <m/>
    <m/>
    <m/>
    <m/>
    <m/>
    <m/>
    <m/>
    <m/>
    <m/>
    <m/>
    <m/>
    <m/>
    <m/>
    <m/>
  </r>
  <r>
    <n v="2"/>
    <s v="BOLÍVAR COMPETITIVO PARA LA INCLUSIÓN SOCIAL"/>
    <m/>
    <m/>
    <x v="9"/>
    <x v="9"/>
    <m/>
    <m/>
    <x v="31"/>
    <x v="30"/>
    <m/>
    <m/>
    <m/>
    <s v="Desarrollar una plataforma para encadenamientos productivos"/>
    <s v="Desarrollar una plataforma para encadenamientos productivos"/>
    <n v="0"/>
    <n v="1"/>
    <m/>
    <s v="Diseñar 1 plataforma virtual para la comercialización de los productos del departamento"/>
    <s v="Diseñar 1 plataforma virtual para la comercialización de los productos del departamento"/>
    <n v="0"/>
    <n v="1"/>
    <s v="Incremento"/>
    <m/>
    <m/>
    <n v="1"/>
    <n v="0"/>
    <s v="SECRETARÍA DE PLANEACIÓN"/>
    <m/>
    <n v="1"/>
    <m/>
    <m/>
    <n v="1"/>
    <b v="1"/>
    <m/>
    <m/>
    <m/>
    <m/>
    <n v="0"/>
    <m/>
    <m/>
    <m/>
    <m/>
    <m/>
    <s v="NP"/>
    <n v="0"/>
    <m/>
    <m/>
    <m/>
    <n v="0"/>
    <n v="1"/>
    <m/>
    <m/>
    <m/>
    <m/>
    <n v="0"/>
    <m/>
    <m/>
    <m/>
    <m/>
    <m/>
    <m/>
    <m/>
    <m/>
    <m/>
    <m/>
    <m/>
    <m/>
    <m/>
    <m/>
    <m/>
    <m/>
    <m/>
    <m/>
    <m/>
    <m/>
    <m/>
    <m/>
    <m/>
    <m/>
    <m/>
  </r>
  <r>
    <n v="2"/>
    <s v="BOLÍVAR COMPETITIVO PARA LA INCLUSIÓN SOCIAL"/>
    <m/>
    <m/>
    <x v="10"/>
    <x v="10"/>
    <n v="8.2395641025641037E-2"/>
    <n v="9.1404958677685944E-2"/>
    <x v="32"/>
    <x v="31"/>
    <n v="0"/>
    <n v="0"/>
    <m/>
    <s v="Incrementar  en 0,6%  el Áreas con tecnología en , infraestructura productiva,  riego y adecuación de tierras"/>
    <s v="% de Áreas con tecnología en , infraestructura productiva,  riego y adecuación de tierras"/>
    <n v="1.4E-2"/>
    <n v="0.02"/>
    <m/>
    <s v=" Incrementara  en 2.940 hectareas  con tecnología en , infraestructura productiva,  riego y adecuación de tierras"/>
    <s v="No de Hectáreas  con tecnología en , infraestructura productiva,  riego y adecuación de tierras"/>
    <n v="6900"/>
    <n v="9840"/>
    <s v="Incremento"/>
    <s v="Tecnificación de hectareas de riego a trvés de la adecuación de 4 distritos de riesgo en los Montes de María y la contrucción de uno nuevo"/>
    <s v="Agropecuario"/>
    <m/>
    <s v="Fin de la pobreza"/>
    <s v="SECRETARÍA DE AGRICULTURA"/>
    <n v="735"/>
    <n v="1470"/>
    <n v="735"/>
    <n v="735"/>
    <n v="3675"/>
    <b v="0"/>
    <n v="0"/>
    <n v="0"/>
    <n v="0"/>
    <n v="0"/>
    <n v="0"/>
    <n v="735"/>
    <n v="0"/>
    <n v="0"/>
    <m/>
    <n v="0"/>
    <n v="0"/>
    <n v="0"/>
    <m/>
    <m/>
    <m/>
    <n v="0"/>
    <n v="1470"/>
    <n v="0"/>
    <m/>
    <m/>
    <m/>
    <n v="0"/>
    <m/>
    <m/>
    <m/>
    <m/>
    <m/>
    <m/>
    <m/>
    <m/>
    <m/>
    <m/>
    <m/>
    <m/>
    <m/>
    <m/>
    <m/>
    <m/>
    <m/>
    <m/>
    <m/>
    <m/>
    <m/>
    <m/>
    <m/>
    <m/>
    <m/>
  </r>
  <r>
    <n v="2"/>
    <s v="BOLÍVAR COMPETITIVO PARA LA INCLUSIÓN SOCIAL"/>
    <m/>
    <m/>
    <x v="10"/>
    <x v="10"/>
    <m/>
    <m/>
    <x v="33"/>
    <x v="32"/>
    <n v="5.8959999999999999E-2"/>
    <n v="0"/>
    <m/>
    <s v="Incrementar  en un 39%  los productores atendidos con servicio de extensión agropecuaria"/>
    <s v="%de productores atendidos con servicio de extensión agropecuaria"/>
    <n v="0.11"/>
    <n v="0.5"/>
    <m/>
    <s v=" Incrementara  en 19.448 productores atendidos con servicio de extensión agropecuaria"/>
    <s v="Número de productores atendidos con servicio de extensión agropecuaria"/>
    <n v="5552"/>
    <n v="25000"/>
    <s v="Incremento"/>
    <m/>
    <s v="Agropecuario"/>
    <m/>
    <s v="Fin de la pobreza"/>
    <s v="SECRETARÍA DE AGRICULTURA"/>
    <n v="1200"/>
    <n v="6712"/>
    <n v="6152"/>
    <n v="6304"/>
    <n v="20368"/>
    <b v="0"/>
    <n v="140"/>
    <n v="640"/>
    <n v="640"/>
    <n v="1474"/>
    <n v="5.8959999999999999E-2"/>
    <n v="1200"/>
    <n v="140"/>
    <n v="640"/>
    <m/>
    <n v="1474"/>
    <n v="1"/>
    <n v="1474"/>
    <m/>
    <m/>
    <m/>
    <n v="5.8959999999999999E-2"/>
    <n v="6712"/>
    <n v="0"/>
    <m/>
    <m/>
    <m/>
    <n v="0"/>
    <m/>
    <m/>
    <m/>
    <m/>
    <m/>
    <m/>
    <m/>
    <m/>
    <m/>
    <m/>
    <m/>
    <m/>
    <m/>
    <m/>
    <m/>
    <m/>
    <m/>
    <m/>
    <m/>
    <m/>
    <m/>
    <m/>
    <m/>
    <m/>
    <m/>
  </r>
  <r>
    <n v="2"/>
    <s v="BOLÍVAR COMPETITIVO PARA LA INCLUSIÓN SOCIAL"/>
    <m/>
    <m/>
    <x v="10"/>
    <x v="10"/>
    <m/>
    <m/>
    <x v="34"/>
    <x v="33"/>
    <n v="0.10006837606837608"/>
    <n v="0.54842975206611566"/>
    <m/>
    <s v="Incrementar en un 24% los productores fortalecidos en sus capacidades productivas para  garantizar la competitividad y la comercialización de los productos agropecuarios  en los diferentes mercados internos como externos"/>
    <s v="% de productores fortalecidos en sus capacidades productivas para  garantizar la competitividad y la comercialización de los productos agropecuarios  en los diferentes mercados internos como externos"/>
    <n v="0.15"/>
    <n v="0.39"/>
    <m/>
    <s v="Incrementar en 12.100 los productores fortalecidos en sus capacidades productivas para  garantizar la competitividad y la comercialización de los productos agropecuarios  en los diferentes mercados internos como externos"/>
    <s v="Número productores fortalecidos en sus capacidades productivas para garantizar la competitividad y la comercialización de los productos agropecuarios en los diferentes mercados internos como externos."/>
    <n v="7400"/>
    <n v="19500"/>
    <s v="Incremento"/>
    <s v="Proyecto cacao"/>
    <s v="Agropecuario"/>
    <m/>
    <s v="Fin de la pobreza"/>
    <s v="SECRETARÍA DE AGRICULTURA"/>
    <n v="3025"/>
    <n v="3025"/>
    <n v="3025"/>
    <n v="3025"/>
    <n v="12100"/>
    <b v="0"/>
    <n v="0"/>
    <n v="2250"/>
    <n v="2250"/>
    <n v="3025"/>
    <n v="0.15512820512820513"/>
    <n v="3025"/>
    <n v="0"/>
    <n v="2250"/>
    <m/>
    <n v="3025"/>
    <n v="1"/>
    <n v="4684"/>
    <m/>
    <m/>
    <m/>
    <n v="0.24020512820512821"/>
    <n v="3025"/>
    <n v="1659"/>
    <m/>
    <m/>
    <m/>
    <n v="0.54842975206611566"/>
    <m/>
    <m/>
    <m/>
    <m/>
    <m/>
    <m/>
    <m/>
    <m/>
    <m/>
    <m/>
    <m/>
    <m/>
    <m/>
    <m/>
    <m/>
    <m/>
    <m/>
    <m/>
    <m/>
    <m/>
    <m/>
    <m/>
    <m/>
    <m/>
    <m/>
  </r>
  <r>
    <n v="2"/>
    <s v="BOLÍVAR COMPETITIVO PARA LA INCLUSIÓN SOCIAL"/>
    <m/>
    <m/>
    <x v="10"/>
    <x v="10"/>
    <m/>
    <m/>
    <x v="34"/>
    <x v="33"/>
    <m/>
    <m/>
    <m/>
    <s v="Incrementar a un 100% el Número de organizaciones de cadenas productivas constituidas y operando formalmente (Ley 811 de 2003) al interior del departamento"/>
    <s v="% organizaciones de cadenas productivas constituidas y operando formalmente (Ley 811 de 2003) al interior del departamento"/>
    <n v="0"/>
    <n v="1"/>
    <m/>
    <s v="Incrementar en 2 las organizaciones de cadenas productivas constituidas y operando formalmente (Ley 811 de 2003) al interior del departamento"/>
    <s v="Numero de organizaciones de cadenas productivas constituidas y operando formalmente (Ley 811 de 2003) al interior del departamento"/>
    <n v="0"/>
    <n v="2"/>
    <s v="Incremento"/>
    <m/>
    <m/>
    <m/>
    <s v="Fin de la pobreza"/>
    <s v="SECRETARÍA DE AGRICULTURA"/>
    <m/>
    <m/>
    <n v="1"/>
    <n v="1"/>
    <n v="2"/>
    <b v="1"/>
    <m/>
    <m/>
    <n v="0"/>
    <n v="0"/>
    <n v="0"/>
    <m/>
    <m/>
    <m/>
    <m/>
    <m/>
    <s v="NP"/>
    <n v="0"/>
    <m/>
    <m/>
    <m/>
    <n v="0"/>
    <s v="NP"/>
    <m/>
    <m/>
    <m/>
    <m/>
    <s v="NP"/>
    <m/>
    <m/>
    <m/>
    <m/>
    <m/>
    <m/>
    <m/>
    <m/>
    <m/>
    <m/>
    <m/>
    <m/>
    <m/>
    <m/>
    <m/>
    <m/>
    <m/>
    <m/>
    <m/>
    <m/>
    <m/>
    <m/>
    <m/>
    <m/>
    <m/>
  </r>
  <r>
    <n v="2"/>
    <s v="BOLÍVAR COMPETITIVO PARA LA INCLUSIÓN SOCIAL"/>
    <m/>
    <m/>
    <x v="10"/>
    <x v="10"/>
    <m/>
    <m/>
    <x v="34"/>
    <x v="33"/>
    <m/>
    <m/>
    <m/>
    <s v="Incrementar  en un 66% las Alianzas Publico – Privadas creadas y/o fortalecidas al interior del departamento"/>
    <s v="% de Alianzas Publico – Privadas creadas y/o fortalecidas al interior del departamento"/>
    <n v="0.34"/>
    <n v="1"/>
    <m/>
    <s v="Incrementar en 3 las  Alianzas Publico – Privadas creadas y/o fortalecidas al interior del departamento"/>
    <s v="Numero de  Alianzas Publico – Privadas creadas y/o fortalecidas al interior del departamento"/>
    <n v="3"/>
    <n v="5"/>
    <s v="Incremento"/>
    <s v="Conformacion de la alizanza publico privada del Ñame "/>
    <s v="Agricola"/>
    <m/>
    <s v="Fin de la pobreza"/>
    <s v="SECRETARÍA DE AGRICULTURA"/>
    <n v="1"/>
    <m/>
    <n v="1"/>
    <n v="1"/>
    <n v="3"/>
    <b v="0"/>
    <n v="0"/>
    <n v="0.3"/>
    <n v="0.3"/>
    <n v="0.3"/>
    <n v="0.06"/>
    <n v="1"/>
    <n v="0"/>
    <n v="0.3"/>
    <m/>
    <n v="0.3"/>
    <n v="0.3"/>
    <n v="0.3"/>
    <m/>
    <m/>
    <m/>
    <n v="0.06"/>
    <s v="NP"/>
    <m/>
    <m/>
    <m/>
    <m/>
    <s v="NP"/>
    <m/>
    <m/>
    <m/>
    <m/>
    <m/>
    <m/>
    <m/>
    <m/>
    <m/>
    <m/>
    <m/>
    <m/>
    <m/>
    <m/>
    <m/>
    <m/>
    <m/>
    <m/>
    <m/>
    <m/>
    <m/>
    <m/>
    <m/>
    <m/>
    <m/>
  </r>
  <r>
    <n v="2"/>
    <s v="BOLÍVAR COMPETITIVO PARA LA INCLUSIÓN SOCIAL"/>
    <m/>
    <m/>
    <x v="10"/>
    <x v="10"/>
    <m/>
    <m/>
    <x v="35"/>
    <x v="34"/>
    <n v="0.25"/>
    <n v="0"/>
    <m/>
    <s v="46 Municipios apoyados en el Ordenamiento Social de la Propiedad."/>
    <s v="% de municipios apoyados en el Ordenamiento Social de la Propiedad."/>
    <n v="0"/>
    <n v="1"/>
    <m/>
    <s v="46 Municipios apoyados en el Ordenamiento Social de la Propiedad."/>
    <s v="Número de municipios apoyados técnicamente en el Ordenamiento Social de la Propiedad"/>
    <n v="0"/>
    <n v="46"/>
    <s v="Mantenimiento"/>
    <s v="AsitenciaTecnica a Municipio por parte de los funcionarios de la Secretaria de Agricultura y Desarrollo rural"/>
    <s v="Agropecuario"/>
    <m/>
    <s v="Fin de la pobreza"/>
    <s v="SECRETARÍA DE AGRICULTURA"/>
    <n v="46"/>
    <n v="46"/>
    <n v="46"/>
    <n v="46"/>
    <n v="184"/>
    <b v="0"/>
    <n v="0"/>
    <n v="30"/>
    <n v="46"/>
    <n v="46"/>
    <n v="1"/>
    <n v="46"/>
    <n v="0"/>
    <n v="30"/>
    <m/>
    <n v="46"/>
    <n v="1"/>
    <n v="11.5"/>
    <m/>
    <m/>
    <m/>
    <n v="0.25"/>
    <n v="46"/>
    <n v="0"/>
    <m/>
    <m/>
    <m/>
    <n v="0"/>
    <m/>
    <m/>
    <m/>
    <m/>
    <m/>
    <m/>
    <m/>
    <m/>
    <m/>
    <m/>
    <m/>
    <m/>
    <m/>
    <m/>
    <m/>
    <m/>
    <m/>
    <m/>
    <m/>
    <m/>
    <m/>
    <m/>
    <m/>
    <m/>
    <m/>
  </r>
  <r>
    <n v="2"/>
    <s v="BOLÍVAR COMPETITIVO PARA LA INCLUSIÓN SOCIAL"/>
    <m/>
    <m/>
    <x v="10"/>
    <x v="10"/>
    <m/>
    <m/>
    <x v="36"/>
    <x v="35"/>
    <n v="0.05"/>
    <n v="0"/>
    <m/>
    <s v="Aumentar en un 5 % los productores Bancarizados"/>
    <s v="% de productores Bancarizados"/>
    <n v="0.15"/>
    <n v="0.2"/>
    <m/>
    <s v="2.499 productores con acceso a crédito"/>
    <s v="Número de productores con acceso a crédito"/>
    <n v="7501"/>
    <n v="10000"/>
    <s v="Incremento"/>
    <s v="Programacion de jornada de socilaizacion para acceso a credito por parte del sector finaciero"/>
    <s v="Agropecuario"/>
    <m/>
    <s v="Fin de la pobreza"/>
    <s v="SECRETARÍA DE AGRICULTURA"/>
    <n v="624"/>
    <n v="625"/>
    <n v="625"/>
    <n v="625"/>
    <n v="2499"/>
    <b v="0"/>
    <n v="0"/>
    <n v="400"/>
    <n v="500"/>
    <n v="500"/>
    <n v="0.05"/>
    <n v="624"/>
    <n v="0"/>
    <n v="400"/>
    <m/>
    <n v="500"/>
    <n v="0.80128205128205132"/>
    <n v="500"/>
    <m/>
    <m/>
    <m/>
    <n v="0.05"/>
    <n v="625"/>
    <n v="0"/>
    <m/>
    <m/>
    <m/>
    <n v="0"/>
    <m/>
    <m/>
    <m/>
    <m/>
    <m/>
    <m/>
    <m/>
    <m/>
    <m/>
    <m/>
    <m/>
    <m/>
    <m/>
    <m/>
    <m/>
    <m/>
    <m/>
    <m/>
    <m/>
    <m/>
    <m/>
    <m/>
    <m/>
    <m/>
    <m/>
  </r>
  <r>
    <n v="2"/>
    <s v="BOLÍVAR COMPETITIVO PARA LA INCLUSIÓN SOCIAL"/>
    <m/>
    <m/>
    <x v="10"/>
    <x v="10"/>
    <m/>
    <m/>
    <x v="37"/>
    <x v="36"/>
    <n v="0"/>
    <n v="0"/>
    <m/>
    <s v="Elaboración del documento del plan de seguridad alimentaria departamentamental"/>
    <s v="% de elaboración del documento del plan de seguridad alimentaria departamentamental"/>
    <n v="0"/>
    <n v="1"/>
    <m/>
    <s v="Un documento elaborado del plan de seguridad alimentaria del departamento"/>
    <s v="Número documento elaborado del plan de seguridad alimentaria del departamento"/>
    <n v="1"/>
    <n v="1"/>
    <s v="Incremento"/>
    <s v="Elaboracion del Programa de politica publica de Seguridad alimentaria"/>
    <s v="Agropecuario"/>
    <m/>
    <s v="Hambre cero"/>
    <s v="SECRETARÍA DE AGRICULTURA"/>
    <m/>
    <n v="1"/>
    <m/>
    <m/>
    <n v="1"/>
    <b v="1"/>
    <m/>
    <m/>
    <m/>
    <m/>
    <n v="0"/>
    <m/>
    <m/>
    <m/>
    <m/>
    <m/>
    <s v="NP"/>
    <n v="0"/>
    <m/>
    <m/>
    <m/>
    <n v="0"/>
    <n v="1"/>
    <n v="0"/>
    <m/>
    <m/>
    <m/>
    <n v="0"/>
    <m/>
    <m/>
    <m/>
    <m/>
    <m/>
    <m/>
    <m/>
    <m/>
    <m/>
    <m/>
    <m/>
    <m/>
    <m/>
    <m/>
    <m/>
    <m/>
    <m/>
    <m/>
    <m/>
    <m/>
    <m/>
    <m/>
    <m/>
    <m/>
    <m/>
  </r>
  <r>
    <n v="2"/>
    <s v="BOLÍVAR COMPETITIVO PARA LA INCLUSIÓN SOCIAL"/>
    <m/>
    <m/>
    <x v="11"/>
    <x v="11"/>
    <n v="5.275132275132275E-2"/>
    <n v="0"/>
    <x v="38"/>
    <x v="37"/>
    <n v="0"/>
    <n v="0"/>
    <m/>
    <s v="Reducir los índices de accidentalidad del sector minero mediante la ejecución de programas de asistencia técnica y dotación a los pequeños mineros del sur de bolívar."/>
    <s v="Reducción del número de accidentes de trabajo en la mina"/>
    <n v="372"/>
    <n v="120"/>
    <m/>
    <s v="Mineros asistidos técnica, _x000a_tecnológica y en su salud"/>
    <s v="Mineros asistidos técnica, _x000a_tecnológica y en su salud"/>
    <n v="0"/>
    <n v="4000"/>
    <s v="Incremento "/>
    <m/>
    <s v="MINAS Y ENERGIA "/>
    <n v="21"/>
    <s v="8. TRABAJO DECENTE Y CRECIMIENTO ECONÓMICO"/>
    <s v="SECRETARÍA DE MINAS Y ENERGÍA   "/>
    <m/>
    <n v="1000"/>
    <n v="1500"/>
    <n v="1500"/>
    <n v="4000"/>
    <b v="1"/>
    <n v="0"/>
    <n v="0"/>
    <m/>
    <m/>
    <n v="0"/>
    <m/>
    <m/>
    <m/>
    <m/>
    <m/>
    <s v="NP"/>
    <n v="0"/>
    <m/>
    <m/>
    <m/>
    <n v="0"/>
    <n v="1000"/>
    <n v="0"/>
    <m/>
    <m/>
    <m/>
    <n v="0"/>
    <m/>
    <m/>
    <m/>
    <m/>
    <m/>
    <m/>
    <m/>
    <m/>
    <m/>
    <m/>
    <m/>
    <m/>
    <m/>
    <m/>
    <m/>
    <m/>
    <m/>
    <m/>
    <m/>
    <m/>
    <m/>
    <m/>
    <m/>
    <m/>
    <m/>
  </r>
  <r>
    <n v="2"/>
    <s v="BOLÍVAR COMPETITIVO PARA LA INCLUSIÓN SOCIAL"/>
    <m/>
    <m/>
    <x v="11"/>
    <x v="11"/>
    <m/>
    <m/>
    <x v="38"/>
    <x v="37"/>
    <m/>
    <m/>
    <m/>
    <s v="Reducir los índices de accidentalidad del sector minero mediante la ejecución de programas de asistencia técnica y dotación a los pequeños mineros del sur de bolívar."/>
    <s v="Reducción del número de accidentes de trabajo en la mina"/>
    <n v="372"/>
    <n v="120"/>
    <m/>
    <s v="Mineros dotados con _x000a_elementos de seguridad"/>
    <s v="Mineros dotados con _x000a_elementos de seguridad"/>
    <n v="200"/>
    <n v="1500"/>
    <s v="Incremento"/>
    <m/>
    <s v="MINAS Y ENERGIA "/>
    <n v="21"/>
    <s v="8. TRABAJO DECENTE Y CRECIMIENTO ECONÓMICO"/>
    <s v="SECRETARÍA DE MINAS Y ENERGÍA   "/>
    <m/>
    <n v="300"/>
    <n v="500"/>
    <n v="500"/>
    <n v="1300"/>
    <b v="0"/>
    <n v="0"/>
    <n v="0"/>
    <m/>
    <m/>
    <n v="0"/>
    <m/>
    <m/>
    <m/>
    <m/>
    <m/>
    <s v="NP"/>
    <n v="0"/>
    <m/>
    <m/>
    <m/>
    <n v="0"/>
    <n v="300"/>
    <n v="0"/>
    <m/>
    <m/>
    <m/>
    <n v="0"/>
    <m/>
    <m/>
    <m/>
    <m/>
    <m/>
    <m/>
    <m/>
    <m/>
    <m/>
    <m/>
    <m/>
    <m/>
    <m/>
    <m/>
    <m/>
    <m/>
    <m/>
    <m/>
    <m/>
    <m/>
    <m/>
    <m/>
    <m/>
    <m/>
    <m/>
  </r>
  <r>
    <n v="2"/>
    <s v="BOLÍVAR COMPETITIVO PARA LA INCLUSIÓN SOCIAL"/>
    <m/>
    <m/>
    <x v="11"/>
    <x v="11"/>
    <m/>
    <m/>
    <x v="38"/>
    <x v="37"/>
    <m/>
    <m/>
    <m/>
    <s v="Reducir los índices de accidentalidad del sector minero mediante la ejecución de programas de asistencia técnica y dotación a los pequeños mineros del sur de bolívar."/>
    <s v="Reducción del número de accidentes de trabajo en la mina"/>
    <n v="372"/>
    <n v="120"/>
    <m/>
    <s v="Programas de internacionalización de mineros bolivarenses"/>
    <s v="Programas de internacionalización de mineros bolivarenses"/>
    <n v="0"/>
    <n v="3"/>
    <s v="Incremento"/>
    <m/>
    <s v="MINAS Y ENERGIA "/>
    <n v="21"/>
    <s v="8. TRABAJO DECENTE Y CRECIMIENTO ECONÓMICO"/>
    <s v="SECRETARÍA DE MINAS Y ENERGÍA   "/>
    <m/>
    <n v="1"/>
    <n v="1"/>
    <n v="1"/>
    <n v="3"/>
    <b v="1"/>
    <n v="0"/>
    <n v="0"/>
    <m/>
    <m/>
    <n v="0"/>
    <m/>
    <m/>
    <m/>
    <m/>
    <m/>
    <s v="NP"/>
    <n v="0"/>
    <m/>
    <m/>
    <m/>
    <n v="0"/>
    <n v="1"/>
    <n v="0"/>
    <m/>
    <m/>
    <m/>
    <n v="0"/>
    <m/>
    <m/>
    <m/>
    <m/>
    <m/>
    <m/>
    <m/>
    <m/>
    <m/>
    <m/>
    <m/>
    <m/>
    <m/>
    <m/>
    <m/>
    <m/>
    <m/>
    <m/>
    <m/>
    <m/>
    <m/>
    <m/>
    <m/>
    <m/>
    <m/>
  </r>
  <r>
    <n v="2"/>
    <s v="BOLÍVAR COMPETITIVO PARA LA INCLUSIÓN SOCIAL"/>
    <m/>
    <m/>
    <x v="11"/>
    <x v="11"/>
    <m/>
    <m/>
    <x v="39"/>
    <x v="38"/>
    <n v="0.14196428571428571"/>
    <n v="0"/>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Centro de Formación e investigación Minera y agroindustrial construidos y dotados"/>
    <s v="Centro de Formación e investigación Minera y agroindustrial construidos y dotados"/>
    <n v="0"/>
    <n v="2"/>
    <s v="Incremento"/>
    <m/>
    <s v="MINAS Y ENERGIA "/>
    <n v="21"/>
    <s v="12. PRODUCCIÓN Y CONSUMO RESPONSABLES"/>
    <s v="SECRETARÍA DE MINAS Y ENERGÍA   "/>
    <n v="1"/>
    <n v="1"/>
    <m/>
    <n v="1"/>
    <n v="3"/>
    <b v="0"/>
    <n v="0"/>
    <n v="0.2"/>
    <n v="0.25"/>
    <n v="0.25"/>
    <n v="0.125"/>
    <n v="1"/>
    <n v="0.5"/>
    <n v="0.2"/>
    <m/>
    <n v="0.25"/>
    <n v="0.25"/>
    <n v="0.25"/>
    <m/>
    <m/>
    <m/>
    <n v="0.125"/>
    <n v="1"/>
    <n v="0"/>
    <m/>
    <m/>
    <m/>
    <n v="0"/>
    <m/>
    <m/>
    <m/>
    <m/>
    <m/>
    <m/>
    <m/>
    <m/>
    <m/>
    <m/>
    <m/>
    <m/>
    <m/>
    <m/>
    <m/>
    <m/>
    <m/>
    <m/>
    <m/>
    <m/>
    <m/>
    <m/>
    <m/>
    <m/>
    <m/>
  </r>
  <r>
    <n v="2"/>
    <s v="BOLÍVAR COMPETITIVO PARA LA INCLUSIÓN SOCIAL"/>
    <m/>
    <m/>
    <x v="11"/>
    <x v="11"/>
    <m/>
    <m/>
    <x v="39"/>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Planta de Beneficio construida y puestas en funcionamiento"/>
    <s v="Planta de Beneficio construida y puestas en funcionamiento"/>
    <n v="0"/>
    <n v="1"/>
    <s v="Incremento"/>
    <m/>
    <s v="MINAS Y ENERGIA "/>
    <n v="21"/>
    <s v="12. PRODUCCIÓN Y CONSUMO RESPONSABLES"/>
    <s v="SECRETARÍA DE MINAS Y ENERGÍA   "/>
    <m/>
    <m/>
    <n v="1"/>
    <m/>
    <n v="1"/>
    <b v="1"/>
    <m/>
    <m/>
    <m/>
    <m/>
    <n v="0"/>
    <m/>
    <m/>
    <m/>
    <m/>
    <m/>
    <s v="NP"/>
    <n v="0"/>
    <m/>
    <m/>
    <m/>
    <n v="0"/>
    <s v="NP"/>
    <n v="0"/>
    <m/>
    <m/>
    <m/>
    <s v="NP"/>
    <m/>
    <m/>
    <m/>
    <m/>
    <m/>
    <m/>
    <m/>
    <m/>
    <m/>
    <m/>
    <m/>
    <m/>
    <m/>
    <m/>
    <m/>
    <m/>
    <m/>
    <m/>
    <m/>
    <m/>
    <m/>
    <m/>
    <m/>
    <m/>
    <m/>
  </r>
  <r>
    <n v="2"/>
    <s v="BOLÍVAR COMPETITIVO PARA LA INCLUSIÓN SOCIAL"/>
    <m/>
    <m/>
    <x v="11"/>
    <x v="11"/>
    <m/>
    <m/>
    <x v="39"/>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Diseño e implementación de estrategias y mecanismos de prevención de lavado de activos y financiación del terrorismo en la actividad minera y bancarización"/>
    <s v="Diseño e implementación de estrategias y mecanismos de prevención de lavado de activos y financiación del terrorismo en la actividad minera y bancarización"/>
    <n v="0"/>
    <n v="1"/>
    <s v="Incremento"/>
    <m/>
    <s v="MINAS Y ENERGIA "/>
    <n v="21"/>
    <s v="12. PRODUCCIÓN Y CONSUMO RESPONSABLES"/>
    <s v="SECRETARÍA DE MINAS Y ENERGÍA   "/>
    <n v="1"/>
    <m/>
    <n v="1"/>
    <m/>
    <n v="2"/>
    <b v="0"/>
    <m/>
    <n v="0.3"/>
    <n v="0.3"/>
    <n v="0.3"/>
    <n v="0.3"/>
    <n v="1"/>
    <m/>
    <n v="0.3"/>
    <m/>
    <n v="0.3"/>
    <n v="0.3"/>
    <n v="0.3"/>
    <m/>
    <m/>
    <m/>
    <n v="0.3"/>
    <s v="NP"/>
    <n v="0"/>
    <m/>
    <m/>
    <m/>
    <s v="NP"/>
    <m/>
    <m/>
    <m/>
    <m/>
    <m/>
    <m/>
    <m/>
    <m/>
    <m/>
    <m/>
    <m/>
    <m/>
    <m/>
    <m/>
    <m/>
    <m/>
    <m/>
    <m/>
    <m/>
    <m/>
    <m/>
    <m/>
    <m/>
    <m/>
    <m/>
  </r>
  <r>
    <n v="2"/>
    <s v="BOLÍVAR COMPETITIVO PARA LA INCLUSIÓN SOCIAL"/>
    <m/>
    <m/>
    <x v="11"/>
    <x v="11"/>
    <m/>
    <m/>
    <x v="39"/>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Unidades de negocio implementadas para la transformación de metales preciosos que fortalezcan productivamente y económicamente a los mineros haciendo énfasis en la mujer minera, comunidades étnicas."/>
    <s v="Unidades de negocio implementadas para la transformación de metales preciosos que fortalezcan productivamente y económicamente a los mineros haciendo énfasis en la mujer minera, comunidades étnicas."/>
    <n v="0"/>
    <n v="7"/>
    <s v="Incremento"/>
    <m/>
    <s v="MINAS Y ENERGIA "/>
    <n v="21"/>
    <s v="5. IGUALDAD DE GÉNERO"/>
    <s v="SECRETARÍA DE MINAS Y ENERGÍA   "/>
    <n v="1"/>
    <n v="2"/>
    <n v="3"/>
    <n v="2"/>
    <n v="8"/>
    <b v="0"/>
    <m/>
    <n v="0.15"/>
    <n v="1"/>
    <n v="1"/>
    <n v="0.14285714285714285"/>
    <n v="1"/>
    <m/>
    <n v="0.15"/>
    <m/>
    <n v="1"/>
    <n v="1"/>
    <n v="1"/>
    <m/>
    <m/>
    <m/>
    <n v="0.14285714285714285"/>
    <n v="2"/>
    <n v="0"/>
    <m/>
    <m/>
    <m/>
    <n v="0"/>
    <m/>
    <m/>
    <m/>
    <m/>
    <m/>
    <m/>
    <m/>
    <m/>
    <m/>
    <m/>
    <m/>
    <m/>
    <m/>
    <m/>
    <m/>
    <m/>
    <m/>
    <m/>
    <m/>
    <m/>
    <m/>
    <m/>
    <m/>
    <m/>
    <m/>
  </r>
  <r>
    <n v="2"/>
    <s v="BOLÍVAR COMPETITIVO PARA LA INCLUSIÓN SOCIAL"/>
    <m/>
    <m/>
    <x v="11"/>
    <x v="11"/>
    <m/>
    <m/>
    <x v="40"/>
    <x v="39"/>
    <n v="5.0000000000000001E-3"/>
    <n v="0.20455874615785719"/>
    <m/>
    <s v="Reducir los índices de ilegalidad mediante la implementación de programas de legalización de minería y de formalización de esta forma aumentar la productividad y competitividad ."/>
    <s v="Reforestación de bosques afectados por actividad minera"/>
    <n v="332"/>
    <n v="1500"/>
    <m/>
    <s v="Áreas de recuperación de ecosistemas intervenidos por la minería"/>
    <s v="Áreas de recuperación de ecosistemas intervenidos por la minería"/>
    <n v="332"/>
    <n v="1500"/>
    <s v="Incremento"/>
    <m/>
    <s v="MINAS Y ENERGIA "/>
    <n v="21"/>
    <s v="15. VIDA DE ECOSISTEMAS TERRESTRES"/>
    <s v="SECRETARÍA DE MINAS Y ENERGÍA   "/>
    <m/>
    <n v="300"/>
    <n v="434"/>
    <n v="434"/>
    <n v="1168"/>
    <b v="0"/>
    <m/>
    <m/>
    <m/>
    <m/>
    <n v="0"/>
    <m/>
    <m/>
    <m/>
    <m/>
    <m/>
    <s v="NP"/>
    <n v="0"/>
    <m/>
    <m/>
    <m/>
    <n v="0"/>
    <n v="300"/>
    <n v="0"/>
    <m/>
    <m/>
    <m/>
    <n v="0"/>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Actualización del censo y caracterización minera"/>
    <s v="Actualización del censo y caracterización minera"/>
    <n v="1"/>
    <n v="1"/>
    <s v="Mantenimiento"/>
    <m/>
    <s v="MINAS Y ENERGIA "/>
    <n v="21"/>
    <s v="12. PRODUCCIÓN Y CONSUMO RESPONSABLES"/>
    <s v="SECRETARÍA DE MINAS Y ENERGÍA   "/>
    <n v="1"/>
    <n v="1"/>
    <m/>
    <m/>
    <n v="2"/>
    <b v="0"/>
    <n v="0"/>
    <n v="0.5"/>
    <n v="0.1"/>
    <n v="0.1"/>
    <n v="0.1"/>
    <n v="1"/>
    <n v="0"/>
    <n v="0.5"/>
    <m/>
    <n v="0.1"/>
    <n v="0.1"/>
    <n v="2.5000000000000001E-2"/>
    <m/>
    <m/>
    <m/>
    <n v="2.5000000000000001E-2"/>
    <n v="1"/>
    <n v="0"/>
    <m/>
    <m/>
    <m/>
    <n v="0"/>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Implementación de Catastro Multipropósito para el sector de influencia minera"/>
    <s v="Implementación de Catastro Multipropósito para el sector de influencia minera"/>
    <n v="0"/>
    <n v="1"/>
    <s v="Incremento"/>
    <m/>
    <s v="MINAS Y ENERGIA "/>
    <n v="21"/>
    <s v="12. PRODUCCIÓN Y CONSUMO RESPONSABLES"/>
    <s v="SECRETARÍA DE MINAS Y ENERGÍA   "/>
    <m/>
    <m/>
    <n v="1"/>
    <m/>
    <n v="1"/>
    <b v="1"/>
    <m/>
    <m/>
    <m/>
    <m/>
    <n v="0"/>
    <m/>
    <m/>
    <m/>
    <m/>
    <m/>
    <s v="NP"/>
    <n v="0"/>
    <m/>
    <m/>
    <m/>
    <n v="0"/>
    <s v="NP"/>
    <n v="0"/>
    <m/>
    <m/>
    <m/>
    <s v="NP"/>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UPM formalizadas "/>
    <s v="UPM formalizadas "/>
    <n v="3"/>
    <n v="10"/>
    <s v="Incremento"/>
    <m/>
    <s v="MINAS Y ENERGIA "/>
    <n v="21"/>
    <s v="12. PRODUCCIÓN Y CONSUMO RESPONSABLES"/>
    <s v="SECRETARÍA DE MINAS Y ENERGÍA   "/>
    <m/>
    <m/>
    <n v="3"/>
    <n v="4"/>
    <n v="7"/>
    <b v="0"/>
    <m/>
    <m/>
    <m/>
    <m/>
    <n v="0"/>
    <m/>
    <m/>
    <m/>
    <m/>
    <m/>
    <s v="NP"/>
    <n v="0"/>
    <m/>
    <m/>
    <m/>
    <n v="0"/>
    <s v="NP"/>
    <n v="0"/>
    <m/>
    <m/>
    <m/>
    <s v="NP"/>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Minas ilegales controladas"/>
    <s v="Minas ilegales controladas"/>
    <s v="No Definido"/>
    <n v="6"/>
    <s v="Incremento"/>
    <m/>
    <s v="MINAS Y ENERGIA "/>
    <n v="21"/>
    <s v="12. PRODUCCIÓN Y CONSUMO RESPONSABLES"/>
    <s v="SECRETARÍA DE MINAS Y ENERGÍA   "/>
    <m/>
    <m/>
    <n v="3"/>
    <n v="3"/>
    <n v="6"/>
    <b v="1"/>
    <m/>
    <m/>
    <m/>
    <m/>
    <n v="0"/>
    <m/>
    <m/>
    <m/>
    <m/>
    <m/>
    <s v="NP"/>
    <n v="0"/>
    <m/>
    <m/>
    <m/>
    <n v="0"/>
    <s v="NP"/>
    <n v="0"/>
    <m/>
    <m/>
    <m/>
    <s v="NP"/>
    <m/>
    <m/>
    <m/>
    <m/>
    <m/>
    <m/>
    <m/>
    <m/>
    <m/>
    <m/>
    <m/>
    <m/>
    <m/>
    <m/>
    <m/>
    <m/>
    <m/>
    <m/>
    <m/>
    <m/>
    <m/>
    <m/>
    <m/>
    <m/>
    <m/>
  </r>
  <r>
    <n v="2"/>
    <s v="BOLÍVAR COMPETITIVO PARA LA INCLUSIÓN SOCIAL"/>
    <m/>
    <m/>
    <x v="11"/>
    <x v="11"/>
    <m/>
    <m/>
    <x v="41"/>
    <x v="40"/>
    <n v="7.4444444444444452E-2"/>
    <n v="0"/>
    <m/>
    <s v="Desarrollo social de las comunidades mineras asentadas en la Serranía de SAN Lucas "/>
    <s v="Espacios de integración para la convivencia. Asentamientos integrados mediante la dotación y organización de eventos deportivos culturales _x000a_y artísticos"/>
    <n v="0"/>
    <n v="2"/>
    <m/>
    <s v="Proyectos productivos y de integración implementados en el marco de la estrategia de desarrollo alternativo que fomenten y fortalezcan la capacidad productiva y comercial _x000a_en los territorios donde se lleva a cabo la explotación minera"/>
    <s v="Proyectos productivos y de integración implementados en el marco de la estrategia de desarrollo alternativo que fomenten y fortalezcan la capacidad productiva y comercial _x000a_en los territorios donde se lleva a cabo la explotación minera"/>
    <n v="0"/>
    <n v="100"/>
    <s v="Incremento"/>
    <m/>
    <s v="MINAS Y ENERGIA "/>
    <n v="21"/>
    <s v="3. SALUD Y BIENESTAR"/>
    <s v="SECRETARÍA DE MINAS Y ENERGÍA   "/>
    <m/>
    <n v="33"/>
    <n v="33"/>
    <n v="33"/>
    <n v="99"/>
    <b v="0"/>
    <m/>
    <m/>
    <m/>
    <m/>
    <n v="0"/>
    <m/>
    <m/>
    <m/>
    <m/>
    <m/>
    <s v="NP"/>
    <n v="0"/>
    <m/>
    <m/>
    <m/>
    <n v="0"/>
    <n v="33"/>
    <n v="0"/>
    <m/>
    <m/>
    <m/>
    <n v="0"/>
    <m/>
    <m/>
    <m/>
    <m/>
    <m/>
    <m/>
    <m/>
    <m/>
    <m/>
    <m/>
    <m/>
    <m/>
    <m/>
    <m/>
    <m/>
    <m/>
    <m/>
    <m/>
    <m/>
    <m/>
    <m/>
    <m/>
    <m/>
    <m/>
    <m/>
  </r>
  <r>
    <n v="2"/>
    <s v="BOLÍVAR COMPETITIVO PARA LA INCLUSIÓN SOCIAL"/>
    <m/>
    <m/>
    <x v="11"/>
    <x v="11"/>
    <m/>
    <m/>
    <x v="41"/>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Foros realizados"/>
    <s v="Proyectos productivos y de integración implementados en el marco de la estrategia de desarrollo alternativo que fomenten y fortalezcan la capacidad productiva y comercial _x000a_en los territorios donde se lleva a cabo la explotación minera"/>
    <n v="0"/>
    <n v="3"/>
    <s v="Incremento"/>
    <m/>
    <s v="MINAS Y ENERGIA "/>
    <n v="21"/>
    <s v="3. SALUD Y BIENESTAR"/>
    <s v="SECRETARÍA DE MINAS Y ENERGÍA   "/>
    <n v="1"/>
    <m/>
    <n v="2"/>
    <m/>
    <n v="3"/>
    <b v="1"/>
    <n v="0"/>
    <n v="0.5"/>
    <n v="0.67"/>
    <n v="0.67"/>
    <n v="0.22333333333333336"/>
    <n v="1"/>
    <n v="0"/>
    <n v="0.5"/>
    <m/>
    <n v="0.67"/>
    <n v="0.67"/>
    <n v="0.67"/>
    <m/>
    <m/>
    <m/>
    <n v="0.22333333333333336"/>
    <s v="NP"/>
    <n v="0"/>
    <m/>
    <m/>
    <m/>
    <s v="NP"/>
    <m/>
    <m/>
    <m/>
    <m/>
    <m/>
    <m/>
    <m/>
    <m/>
    <m/>
    <m/>
    <m/>
    <m/>
    <m/>
    <m/>
    <m/>
    <m/>
    <m/>
    <m/>
    <m/>
    <m/>
    <m/>
    <m/>
    <m/>
    <m/>
    <m/>
  </r>
  <r>
    <n v="2"/>
    <s v="BOLÍVAR COMPETITIVO PARA LA INCLUSIÓN SOCIAL"/>
    <m/>
    <m/>
    <x v="11"/>
    <x v="11"/>
    <m/>
    <m/>
    <x v="41"/>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Programas de Deporte y _x000a_Recreación para la convivencia _x000a_en las zonas mineras"/>
    <s v="Programas de Deporte y _x000a_Recreación para la convivencia _x000a_en las zonas mineras"/>
    <n v="0"/>
    <n v="2"/>
    <s v="Incremento"/>
    <m/>
    <s v="MINAS Y ENERGIA "/>
    <n v="21"/>
    <s v="3. SALUD Y BIENESTAR"/>
    <s v="SECRETARÍA DE MINAS Y ENERGÍA   "/>
    <m/>
    <m/>
    <n v="1"/>
    <n v="1"/>
    <n v="2"/>
    <b v="1"/>
    <m/>
    <m/>
    <m/>
    <m/>
    <n v="0"/>
    <m/>
    <m/>
    <m/>
    <m/>
    <m/>
    <s v="NP"/>
    <n v="0"/>
    <m/>
    <m/>
    <m/>
    <n v="0"/>
    <s v="NP"/>
    <n v="0"/>
    <m/>
    <m/>
    <m/>
    <s v="NP"/>
    <m/>
    <m/>
    <m/>
    <m/>
    <m/>
    <m/>
    <m/>
    <m/>
    <m/>
    <m/>
    <m/>
    <m/>
    <m/>
    <m/>
    <m/>
    <m/>
    <m/>
    <m/>
    <m/>
    <m/>
    <m/>
    <m/>
    <m/>
    <m/>
    <m/>
  </r>
  <r>
    <n v="2"/>
    <s v="BOLÍVAR COMPETITIVO PARA LA INCLUSIÓN SOCIAL"/>
    <m/>
    <m/>
    <x v="11"/>
    <x v="11"/>
    <m/>
    <m/>
    <x v="42"/>
    <x v="41"/>
    <n v="4.4444444444444446E-2"/>
    <n v="0"/>
    <m/>
    <s v="Incrementar la cobertura de gas natural domiciliario en municipios donde este esta ausente"/>
    <s v="Aumentar la cobertura de gas"/>
    <s v="84.6 %"/>
    <n v="0.93"/>
    <m/>
    <s v="Hogares conectados a las redes de gas natural Red de distribución."/>
    <s v="Hogares conectados a las redes de gas natural Red de distribución."/>
    <n v="325000"/>
    <n v="357500"/>
    <s v="Incremento"/>
    <m/>
    <s v="MINAS Y ENERGIA "/>
    <n v="21"/>
    <s v="7. ENERGÍA ASEQUIBLE Y NO CONTAMINANTE"/>
    <s v="SECRETARÍA DE MINAS Y ENERGÍA   "/>
    <m/>
    <m/>
    <n v="16250"/>
    <n v="16250"/>
    <n v="32500"/>
    <b v="0"/>
    <m/>
    <m/>
    <m/>
    <m/>
    <n v="0"/>
    <m/>
    <m/>
    <m/>
    <m/>
    <m/>
    <s v="NP"/>
    <n v="0"/>
    <m/>
    <m/>
    <m/>
    <n v="0"/>
    <s v="NP"/>
    <n v="0"/>
    <m/>
    <m/>
    <m/>
    <s v="NP"/>
    <m/>
    <m/>
    <m/>
    <m/>
    <m/>
    <m/>
    <m/>
    <m/>
    <m/>
    <m/>
    <m/>
    <m/>
    <m/>
    <m/>
    <m/>
    <m/>
    <m/>
    <m/>
    <m/>
    <m/>
    <m/>
    <m/>
    <m/>
    <m/>
    <m/>
  </r>
  <r>
    <n v="2"/>
    <s v="BOLÍVAR COMPETITIVO PARA LA INCLUSIÓN SOCIAL"/>
    <m/>
    <m/>
    <x v="11"/>
    <x v="11"/>
    <m/>
    <m/>
    <x v="42"/>
    <x v="41"/>
    <m/>
    <m/>
    <m/>
    <s v="Aumentar la cobertura de energia en el departamento implementando sistemas solares fotovoltaicos como alternativa de conexión a nuevos usuarios"/>
    <s v="Aumentar la cobertura de energía"/>
    <s v="88.96%"/>
    <n v="0.93"/>
    <m/>
    <s v="Hogares conectados a las redes de energía convencional y no convencional."/>
    <s v="Hogares conectados a las redes de energía convencional y no convencional."/>
    <n v="369"/>
    <n v="3000"/>
    <s v="Incremento"/>
    <m/>
    <s v="MINAS Y ENERGIA "/>
    <n v="21"/>
    <s v="7. ENERGÍA ASEQUIBLE Y NO CONTAMINANTE"/>
    <s v="SECRETARÍA DE MINAS Y ENERGÍA   "/>
    <n v="313"/>
    <n v="1000"/>
    <n v="1000"/>
    <n v="1000"/>
    <n v="3313"/>
    <b v="0"/>
    <n v="0"/>
    <n v="400"/>
    <n v="400"/>
    <n v="400"/>
    <n v="0.13333333333333333"/>
    <n v="313"/>
    <n v="0"/>
    <n v="400"/>
    <m/>
    <n v="400"/>
    <n v="1"/>
    <n v="400"/>
    <m/>
    <m/>
    <m/>
    <n v="0.13333333333333333"/>
    <n v="1000"/>
    <n v="0"/>
    <m/>
    <m/>
    <m/>
    <n v="0"/>
    <m/>
    <m/>
    <m/>
    <m/>
    <m/>
    <m/>
    <m/>
    <m/>
    <m/>
    <m/>
    <m/>
    <m/>
    <m/>
    <m/>
    <m/>
    <m/>
    <m/>
    <m/>
    <m/>
    <m/>
    <m/>
    <m/>
    <m/>
    <m/>
    <m/>
  </r>
  <r>
    <n v="2"/>
    <s v="BOLÍVAR COMPETITIVO PARA LA INCLUSIÓN SOCIAL"/>
    <m/>
    <m/>
    <x v="11"/>
    <x v="11"/>
    <m/>
    <m/>
    <x v="42"/>
    <x v="41"/>
    <m/>
    <m/>
    <m/>
    <s v="Aumentar la cobertura de energia en el departamento implementando sistemas solares fotovoltaicos como alternativa de conexión a nuevos usuarios"/>
    <s v="Aumentar la cobertura de energía"/>
    <s v="88.96%"/>
    <n v="0.93"/>
    <m/>
    <s v="Proyectos de generación de energía alternativas o no convencionales en áreas públicas o privadas"/>
    <s v="Proyectos de generación de energía alternativas o no convencionales en áreas públicas o privadas"/>
    <n v="1"/>
    <n v="3"/>
    <s v="Incremento"/>
    <m/>
    <s v="MINAS Y ENERGIA "/>
    <n v="21"/>
    <s v="7. ENERGÍA ASEQUIBLE Y NO CONTAMINANTE"/>
    <s v="SECRETARÍA DE MINAS Y ENERGÍA   "/>
    <m/>
    <m/>
    <n v="1"/>
    <n v="1"/>
    <n v="2"/>
    <b v="0"/>
    <m/>
    <m/>
    <m/>
    <m/>
    <n v="0"/>
    <m/>
    <m/>
    <m/>
    <m/>
    <m/>
    <s v="NP"/>
    <n v="0"/>
    <m/>
    <m/>
    <m/>
    <n v="0"/>
    <s v="NP"/>
    <n v="0"/>
    <m/>
    <m/>
    <m/>
    <s v="NP"/>
    <m/>
    <m/>
    <m/>
    <m/>
    <m/>
    <m/>
    <m/>
    <m/>
    <m/>
    <m/>
    <m/>
    <m/>
    <m/>
    <m/>
    <m/>
    <m/>
    <m/>
    <m/>
    <m/>
    <m/>
    <m/>
    <m/>
    <m/>
    <m/>
    <m/>
  </r>
  <r>
    <n v="2"/>
    <s v="BOLÍVAR COMPETITIVO PARA LA INCLUSIÓN SOCIAL"/>
    <m/>
    <m/>
    <x v="12"/>
    <x v="12"/>
    <n v="0.48225641025641025"/>
    <n v="0.47361111111111104"/>
    <x v="43"/>
    <x v="42"/>
    <n v="0.48225641025641025"/>
    <n v="0.47361111111111104"/>
    <m/>
    <s v="Documento de lineamientos del Consejo Departamental de Turismo."/>
    <s v="Número de documentos de lineamientos del Consejo Departamental de Turismo."/>
    <n v="0"/>
    <n v="1"/>
    <m/>
    <s v="Documento de lineamientos del Consejo Departamental de Turismo diseñado"/>
    <s v="Número de Documento de lineamientos del Consejo Departamental de Turismo diseñado"/>
    <n v="0"/>
    <n v="1"/>
    <s v="Incremento"/>
    <m/>
    <s v="Turismo"/>
    <s v="A.13"/>
    <s v="8,12,14"/>
    <s v="ICULTUR"/>
    <n v="0.22"/>
    <n v="1"/>
    <m/>
    <m/>
    <n v="1.22"/>
    <b v="0"/>
    <n v="0"/>
    <n v="0"/>
    <m/>
    <m/>
    <n v="0"/>
    <n v="0.22"/>
    <n v="0"/>
    <n v="0"/>
    <m/>
    <n v="0"/>
    <n v="0"/>
    <n v="0"/>
    <m/>
    <m/>
    <m/>
    <n v="0"/>
    <n v="1"/>
    <n v="0"/>
    <m/>
    <m/>
    <m/>
    <n v="0"/>
    <m/>
    <m/>
    <m/>
    <m/>
    <m/>
    <m/>
    <m/>
    <m/>
    <m/>
    <m/>
    <m/>
    <m/>
    <m/>
    <m/>
    <m/>
    <m/>
    <m/>
    <m/>
    <m/>
    <m/>
    <m/>
    <m/>
    <m/>
    <m/>
    <m/>
  </r>
  <r>
    <n v="2"/>
    <s v="BOLÍVAR COMPETITIVO PARA LA INCLUSIÓN SOCIAL"/>
    <m/>
    <m/>
    <x v="12"/>
    <x v="12"/>
    <m/>
    <m/>
    <x v="43"/>
    <x v="42"/>
    <m/>
    <m/>
    <m/>
    <s v="Ordenanza mediante la cual se convoque la conformación del Consejo Departamental de Turismo."/>
    <s v="Número de Ordenanzas mediante la cual se convoque la conformación del Consejo Departamental de Turismo."/>
    <n v="0"/>
    <n v="1"/>
    <m/>
    <s v="Ordenanza mediante la cual se convoque la conformación del Consejo Departamental de Turismo."/>
    <s v="Número de Ordenanzas mediante la cual se convoque la conformación del Consejo Departamental de Turismo."/>
    <n v="0"/>
    <n v="1"/>
    <s v="Incremento"/>
    <m/>
    <s v="Turismo"/>
    <s v="A.13"/>
    <s v="8,12,14"/>
    <s v="ICULTUR Y SECRETARIA PRIVADA"/>
    <m/>
    <n v="1"/>
    <m/>
    <m/>
    <n v="1"/>
    <b v="1"/>
    <m/>
    <m/>
    <m/>
    <m/>
    <n v="0"/>
    <m/>
    <m/>
    <m/>
    <m/>
    <m/>
    <s v="NP"/>
    <n v="0"/>
    <m/>
    <m/>
    <m/>
    <n v="0"/>
    <n v="1"/>
    <n v="0"/>
    <m/>
    <m/>
    <m/>
    <n v="0"/>
    <m/>
    <m/>
    <m/>
    <m/>
    <m/>
    <m/>
    <m/>
    <m/>
    <m/>
    <m/>
    <m/>
    <m/>
    <m/>
    <m/>
    <m/>
    <m/>
    <m/>
    <m/>
    <m/>
    <m/>
    <m/>
    <m/>
    <m/>
    <m/>
    <m/>
  </r>
  <r>
    <n v="2"/>
    <s v="BOLÍVAR COMPETITIVO PARA LA INCLUSIÓN SOCIAL"/>
    <m/>
    <m/>
    <x v="12"/>
    <x v="12"/>
    <m/>
    <m/>
    <x v="43"/>
    <x v="42"/>
    <m/>
    <m/>
    <m/>
    <s v="Documentos de regulación organizacional para el Consejo Departamental de Turismo."/>
    <s v="Número de Documentos de regulación organizacional para el Consejo Departamental de Turismo."/>
    <n v="0"/>
    <n v="1"/>
    <m/>
    <s v="Documentos de regulación organizacional para el Consejo Departamental de Turismo."/>
    <s v="Número de Documentos de regulación organizacional para el Consejo Departamental de Turismo."/>
    <n v="0"/>
    <n v="1"/>
    <s v="Incremento"/>
    <m/>
    <s v="Turismo"/>
    <s v="A.13"/>
    <s v="8,12,14"/>
    <s v="ICULTUR Y SECRETARIA PRIVADA"/>
    <m/>
    <m/>
    <n v="1"/>
    <m/>
    <n v="1"/>
    <b v="1"/>
    <m/>
    <m/>
    <m/>
    <m/>
    <n v="0"/>
    <m/>
    <m/>
    <m/>
    <m/>
    <m/>
    <s v="NP"/>
    <n v="0"/>
    <m/>
    <m/>
    <m/>
    <n v="0"/>
    <s v="NP"/>
    <m/>
    <m/>
    <m/>
    <m/>
    <s v="NP"/>
    <m/>
    <m/>
    <m/>
    <m/>
    <m/>
    <m/>
    <m/>
    <m/>
    <m/>
    <m/>
    <m/>
    <m/>
    <m/>
    <m/>
    <m/>
    <m/>
    <m/>
    <m/>
    <m/>
    <m/>
    <m/>
    <m/>
    <m/>
    <m/>
    <m/>
  </r>
  <r>
    <n v="2"/>
    <s v="BOLÍVAR COMPETITIVO PARA LA INCLUSIÓN SOCIAL"/>
    <m/>
    <m/>
    <x v="12"/>
    <x v="12"/>
    <m/>
    <m/>
    <x v="43"/>
    <x v="42"/>
    <m/>
    <m/>
    <m/>
    <s v="Acompañamiento técnico a municipios con vocación turística para la formulación de Planes de Desarrollo Turísticos"/>
    <s v="Porcentaje de municipios con vocación turistica con acompañamiento técnico para la formulación de Planes de Desarrollo Turistico realizado"/>
    <n v="0.5"/>
    <n v="1"/>
    <m/>
    <s v="Municipios con vocación turistica con acompañamiento técnico para la formulación de Planes de Desarrollo Turistico realizado"/>
    <s v="Porcentaje de municipios con vocación turistica con acompañamiento técnico para la formulación de Planes de Desarrollo Turistico realizado"/>
    <n v="0.5"/>
    <n v="1"/>
    <s v="Incremento"/>
    <m/>
    <s v="Turismo"/>
    <s v="A.13"/>
    <s v="8,12,14"/>
    <s v="ICULTUR Y SECRETARIA PRIVADA"/>
    <n v="0.18"/>
    <n v="0.2"/>
    <n v="0.4"/>
    <n v="0.22"/>
    <n v="1"/>
    <b v="1"/>
    <n v="0"/>
    <n v="0.18"/>
    <n v="0.18"/>
    <n v="0.18"/>
    <n v="0.18"/>
    <n v="0.18"/>
    <n v="0"/>
    <n v="0.18"/>
    <n v="0.18"/>
    <n v="0.18"/>
    <n v="1"/>
    <n v="0.38"/>
    <m/>
    <m/>
    <m/>
    <n v="0.38"/>
    <n v="0.2"/>
    <n v="0.2"/>
    <m/>
    <m/>
    <m/>
    <n v="1"/>
    <m/>
    <m/>
    <m/>
    <m/>
    <m/>
    <m/>
    <m/>
    <m/>
    <m/>
    <m/>
    <m/>
    <m/>
    <m/>
    <m/>
    <m/>
    <m/>
    <m/>
    <m/>
    <m/>
    <m/>
    <m/>
    <m/>
    <m/>
    <m/>
    <m/>
  </r>
  <r>
    <n v="2"/>
    <s v="BOLÍVAR COMPETITIVO PARA LA INCLUSIÓN SOCIAL"/>
    <m/>
    <m/>
    <x v="12"/>
    <x v="12"/>
    <m/>
    <m/>
    <x v="43"/>
    <x v="42"/>
    <m/>
    <m/>
    <m/>
    <s v="Convenios de cooperación suscritos"/>
    <s v="Número de Convenios de cooperación suscritos"/>
    <n v="0"/>
    <n v="5"/>
    <m/>
    <s v="Convenios de cooperación suscritos"/>
    <s v="Número de Convenios de cooperación suscritos"/>
    <n v="0"/>
    <n v="5"/>
    <s v="Incremento"/>
    <m/>
    <s v="Turismo"/>
    <s v="A.13"/>
    <s v="8,12,14"/>
    <s v="ICULTUR"/>
    <n v="2"/>
    <n v="2"/>
    <n v="1"/>
    <m/>
    <n v="5"/>
    <b v="1"/>
    <n v="0.4"/>
    <n v="1"/>
    <n v="4"/>
    <n v="4"/>
    <n v="0.8"/>
    <n v="2"/>
    <n v="1"/>
    <n v="1"/>
    <m/>
    <n v="4"/>
    <n v="1"/>
    <n v="6"/>
    <m/>
    <m/>
    <m/>
    <n v="1.2"/>
    <n v="2"/>
    <n v="2"/>
    <m/>
    <m/>
    <m/>
    <n v="1"/>
    <m/>
    <m/>
    <m/>
    <m/>
    <m/>
    <m/>
    <m/>
    <m/>
    <m/>
    <m/>
    <m/>
    <m/>
    <m/>
    <m/>
    <m/>
    <m/>
    <m/>
    <m/>
    <m/>
    <m/>
    <m/>
    <m/>
    <m/>
    <m/>
    <m/>
  </r>
  <r>
    <n v="2"/>
    <s v="BOLÍVAR COMPETITIVO PARA LA INCLUSIÓN SOCIAL"/>
    <m/>
    <m/>
    <x v="12"/>
    <x v="12"/>
    <m/>
    <m/>
    <x v="43"/>
    <x v="42"/>
    <m/>
    <m/>
    <m/>
    <s v="Acciones de articulación interinstitucional realizadas"/>
    <s v="Número de acciones de articulación interinstitucional realizadas"/>
    <n v="0"/>
    <n v="13"/>
    <m/>
    <s v="Acciones de articulación interinstitucional realizadas"/>
    <s v="Número de acciones de articulación interinstitucional realizadas"/>
    <n v="0"/>
    <n v="13"/>
    <s v="Incremento"/>
    <m/>
    <s v="Turismo"/>
    <s v="A.13"/>
    <s v="8,12,14"/>
    <s v="ICULTUR Y SECRETARIA PRIVADA"/>
    <n v="4"/>
    <n v="4"/>
    <n v="3"/>
    <n v="2"/>
    <n v="13"/>
    <b v="1"/>
    <n v="4"/>
    <n v="4"/>
    <m/>
    <m/>
    <n v="0"/>
    <n v="4"/>
    <n v="1"/>
    <n v="0"/>
    <m/>
    <n v="0"/>
    <n v="0"/>
    <n v="2"/>
    <m/>
    <m/>
    <m/>
    <n v="0.15384615384615385"/>
    <n v="4"/>
    <n v="2"/>
    <m/>
    <m/>
    <m/>
    <n v="0.5"/>
    <m/>
    <m/>
    <m/>
    <m/>
    <m/>
    <m/>
    <m/>
    <m/>
    <m/>
    <m/>
    <m/>
    <m/>
    <m/>
    <m/>
    <m/>
    <m/>
    <m/>
    <m/>
    <m/>
    <m/>
    <m/>
    <m/>
    <m/>
    <m/>
    <m/>
  </r>
  <r>
    <n v="2"/>
    <s v="BOLÍVAR COMPETITIVO PARA LA INCLUSIÓN SOCIAL"/>
    <m/>
    <m/>
    <x v="12"/>
    <x v="12"/>
    <m/>
    <m/>
    <x v="43"/>
    <x v="42"/>
    <m/>
    <m/>
    <m/>
    <s v="Documento con estrategias de reactivación del sector turístico de Bolívar"/>
    <s v="Número de documentos con estrategias de reactivación del sector turístico de Bolívar"/>
    <n v="0"/>
    <n v="1"/>
    <m/>
    <s v="Documento con estrategias de reactivación del sector turístico de Bolívar"/>
    <s v="Número de documentos con estrategias de reractivación del sector turístico de Bolívar"/>
    <n v="0"/>
    <n v="1"/>
    <s v="Incremento"/>
    <m/>
    <s v="Turismo"/>
    <s v="A.13"/>
    <s v="8,12,14"/>
    <s v="ICULTUR"/>
    <n v="1"/>
    <m/>
    <m/>
    <m/>
    <n v="1"/>
    <b v="1"/>
    <n v="0.4"/>
    <n v="0.4"/>
    <n v="0.8"/>
    <n v="1"/>
    <n v="1"/>
    <n v="1"/>
    <n v="0.4"/>
    <n v="0.4"/>
    <m/>
    <n v="1"/>
    <n v="1"/>
    <n v="1"/>
    <m/>
    <m/>
    <m/>
    <n v="1"/>
    <s v="NP"/>
    <m/>
    <m/>
    <m/>
    <m/>
    <s v="NP"/>
    <m/>
    <m/>
    <m/>
    <m/>
    <m/>
    <m/>
    <m/>
    <m/>
    <m/>
    <m/>
    <m/>
    <m/>
    <m/>
    <m/>
    <m/>
    <m/>
    <m/>
    <m/>
    <m/>
    <m/>
    <m/>
    <m/>
    <m/>
    <m/>
    <m/>
  </r>
  <r>
    <n v="2"/>
    <s v="BOLÍVAR COMPETITIVO PARA LA INCLUSIÓN SOCIAL"/>
    <m/>
    <m/>
    <x v="12"/>
    <x v="12"/>
    <m/>
    <m/>
    <x v="43"/>
    <x v="42"/>
    <m/>
    <m/>
    <m/>
    <s v="Realización de la estrategia_x000a_&quot;Bolívar pa' todo el mundo&quot; y_x000a_socialización de las tácticas de_x000a_comunicación. Incluyendo_x000a_manual de apropiación de_x000a_imagen para alcaldías y_x000a_empresarios turísticos."/>
    <s v="Número de Estrategia &quot;Bolívar pa' todo el mundo&quot; y_x000a_socialización de las tácticas de_x000a_comunicación, Incluyendo_x000a_manual de apropiación de_x000a_imagen para alcaldías y_x000a_empresarios turísticos realizada"/>
    <n v="0"/>
    <n v="1"/>
    <m/>
    <s v="Estrategia Bolívar Pa´Todo el mundo Implementada "/>
    <s v="Número de Estrategia &quot;Bolívar pa' todo el mundo&quot; y_x000a_socialización de las tácticas de_x000a_comunicación, Incluyendo_x000a_manual de apropiación de_x000a_imagen para alcaldías y_x000a_empresarios turísticos realizada"/>
    <n v="0"/>
    <n v="1"/>
    <s v="Incremento"/>
    <m/>
    <s v="Turismo"/>
    <s v="A.13"/>
    <s v="8,12,14"/>
    <s v="ICULTUR"/>
    <n v="1"/>
    <n v="0.2"/>
    <m/>
    <m/>
    <n v="1.2"/>
    <b v="0"/>
    <n v="0.5"/>
    <n v="0.5"/>
    <n v="0.5"/>
    <n v="0.8"/>
    <n v="0.8"/>
    <n v="1"/>
    <n v="0.5"/>
    <n v="0.5"/>
    <m/>
    <n v="0.8"/>
    <n v="0.8"/>
    <n v="1"/>
    <m/>
    <m/>
    <m/>
    <n v="1"/>
    <n v="0.2"/>
    <n v="0.2"/>
    <m/>
    <m/>
    <m/>
    <n v="1"/>
    <m/>
    <m/>
    <m/>
    <m/>
    <m/>
    <m/>
    <m/>
    <m/>
    <m/>
    <m/>
    <m/>
    <m/>
    <m/>
    <m/>
    <m/>
    <m/>
    <m/>
    <m/>
    <m/>
    <m/>
    <m/>
    <m/>
    <m/>
    <m/>
    <m/>
  </r>
  <r>
    <n v="2"/>
    <s v="BOLÍVAR COMPETITIVO PARA LA INCLUSIÓN SOCIAL"/>
    <m/>
    <m/>
    <x v="12"/>
    <x v="12"/>
    <m/>
    <m/>
    <x v="43"/>
    <x v="42"/>
    <m/>
    <m/>
    <m/>
    <s v="Plan de promoción digital para temporadas turísticas"/>
    <s v="Número de planes de promoción digital para temporadas turísticas"/>
    <n v="0"/>
    <n v="1"/>
    <m/>
    <s v="Plan de promoción digital para temporadas turísticas diseñado"/>
    <s v="Número de planes de promoción digital para temporadas turísticas diseñado"/>
    <n v="0"/>
    <n v="1"/>
    <s v="Incremento"/>
    <m/>
    <s v="Turismo"/>
    <s v="A.13"/>
    <s v="8,12,14"/>
    <s v="ICULTUR"/>
    <n v="0.5"/>
    <n v="1"/>
    <m/>
    <m/>
    <n v="1.5"/>
    <b v="0"/>
    <n v="0"/>
    <n v="0.5"/>
    <n v="0.8"/>
    <n v="1"/>
    <n v="1"/>
    <n v="0.5"/>
    <n v="0"/>
    <n v="0.5"/>
    <m/>
    <n v="1"/>
    <n v="1"/>
    <n v="2"/>
    <m/>
    <m/>
    <m/>
    <n v="2"/>
    <n v="1"/>
    <n v="1"/>
    <m/>
    <m/>
    <m/>
    <n v="1"/>
    <m/>
    <m/>
    <m/>
    <m/>
    <m/>
    <m/>
    <m/>
    <m/>
    <m/>
    <m/>
    <m/>
    <m/>
    <m/>
    <m/>
    <m/>
    <m/>
    <m/>
    <m/>
    <m/>
    <m/>
    <m/>
    <m/>
    <m/>
    <m/>
    <m/>
  </r>
  <r>
    <n v="2"/>
    <s v="BOLÍVAR COMPETITIVO PARA LA INCLUSIÓN SOCIAL"/>
    <m/>
    <m/>
    <x v="12"/>
    <x v="12"/>
    <m/>
    <m/>
    <x v="43"/>
    <x v="42"/>
    <m/>
    <m/>
    <m/>
    <s v="Realización de ruedas de negocio para el encadenamiento "/>
    <s v="Número de ruedas de negocio para el encadenamiento realizadas"/>
    <n v="7"/>
    <n v="10"/>
    <m/>
    <s v="Ruedas de negocio para el encadenamiento realizadas"/>
    <s v="Número de ruedas de negocio para el encadenamiento realizadas"/>
    <n v="7"/>
    <n v="10"/>
    <s v="Incremento"/>
    <m/>
    <s v="Turismo"/>
    <s v="A.13"/>
    <s v="8,12,14"/>
    <s v="ICULTUR"/>
    <n v="1"/>
    <n v="3"/>
    <n v="3"/>
    <n v="3"/>
    <n v="10"/>
    <b v="1"/>
    <n v="0.1"/>
    <n v="1"/>
    <n v="1"/>
    <n v="1"/>
    <n v="0.1"/>
    <n v="1"/>
    <n v="0.1"/>
    <n v="1"/>
    <m/>
    <n v="1"/>
    <n v="1"/>
    <n v="1"/>
    <m/>
    <m/>
    <m/>
    <n v="0.1"/>
    <n v="3"/>
    <n v="0"/>
    <m/>
    <m/>
    <m/>
    <n v="0"/>
    <m/>
    <m/>
    <m/>
    <m/>
    <m/>
    <m/>
    <m/>
    <m/>
    <m/>
    <m/>
    <m/>
    <m/>
    <m/>
    <m/>
    <m/>
    <m/>
    <m/>
    <m/>
    <m/>
    <m/>
    <m/>
    <m/>
    <m/>
    <m/>
    <m/>
  </r>
  <r>
    <n v="2"/>
    <s v="BOLÍVAR COMPETITIVO PARA LA INCLUSIÓN SOCIAL"/>
    <m/>
    <m/>
    <x v="12"/>
    <x v="12"/>
    <m/>
    <m/>
    <x v="43"/>
    <x v="42"/>
    <m/>
    <m/>
    <m/>
    <s v="Realización de Fam trips y press trips "/>
    <s v="Número de Fam trips y press trips realizados"/>
    <n v="16"/>
    <n v="16"/>
    <m/>
    <s v="Fam trips y press trips realizados "/>
    <s v="Número de Fam trips y press trips realizados"/>
    <n v="16"/>
    <n v="16"/>
    <s v="Mantenimiento"/>
    <m/>
    <s v="Turismo"/>
    <s v="A.13"/>
    <s v="8,12,14"/>
    <s v="ICULTUR"/>
    <m/>
    <m/>
    <n v="8"/>
    <n v="5"/>
    <n v="13"/>
    <b v="0"/>
    <m/>
    <m/>
    <m/>
    <m/>
    <n v="0"/>
    <m/>
    <m/>
    <m/>
    <m/>
    <m/>
    <s v="NP"/>
    <n v="0"/>
    <m/>
    <m/>
    <m/>
    <n v="0"/>
    <s v="NP"/>
    <n v="0"/>
    <m/>
    <m/>
    <m/>
    <s v="NP"/>
    <m/>
    <m/>
    <m/>
    <m/>
    <m/>
    <m/>
    <m/>
    <m/>
    <m/>
    <m/>
    <m/>
    <m/>
    <m/>
    <m/>
    <m/>
    <m/>
    <m/>
    <m/>
    <m/>
    <m/>
    <m/>
    <m/>
    <m/>
    <m/>
    <m/>
  </r>
  <r>
    <n v="2"/>
    <s v="BOLÍVAR COMPETITIVO PARA LA INCLUSIÓN SOCIAL"/>
    <m/>
    <m/>
    <x v="12"/>
    <x v="12"/>
    <m/>
    <m/>
    <x v="43"/>
    <x v="42"/>
    <m/>
    <m/>
    <m/>
    <s v="Gestión de formaciones con entidades aliadas para fortalecimiento del ICT"/>
    <s v="Numero de espacios de formaciones con entidades aliadas para fortalecimiento del ICT gestionados "/>
    <n v="0"/>
    <n v="15"/>
    <m/>
    <s v="Espacios de formaciones con entidades aliadas para fortalecimiento del ICP gestionados "/>
    <s v="Numero de espacios de formaciones con entidades aliadas para fortalecimiento del ICP gestionados "/>
    <n v="0"/>
    <n v="15"/>
    <s v="Incremento"/>
    <m/>
    <s v="Turismo"/>
    <s v="A.13"/>
    <s v="8,12,14"/>
    <s v="ICULTUR"/>
    <n v="3"/>
    <n v="5"/>
    <n v="4"/>
    <n v="3"/>
    <n v="15"/>
    <b v="1"/>
    <n v="0.13"/>
    <n v="10"/>
    <n v="12"/>
    <n v="12"/>
    <n v="0.8"/>
    <n v="3"/>
    <n v="0.66"/>
    <n v="0.1"/>
    <m/>
    <n v="12"/>
    <n v="1"/>
    <n v="15"/>
    <m/>
    <m/>
    <m/>
    <n v="1"/>
    <n v="5"/>
    <n v="3"/>
    <m/>
    <m/>
    <m/>
    <n v="0.6"/>
    <m/>
    <m/>
    <m/>
    <m/>
    <m/>
    <m/>
    <m/>
    <m/>
    <m/>
    <m/>
    <m/>
    <m/>
    <m/>
    <m/>
    <m/>
    <m/>
    <m/>
    <m/>
    <m/>
    <m/>
    <m/>
    <m/>
    <m/>
    <m/>
    <m/>
  </r>
  <r>
    <n v="2"/>
    <s v="BOLÍVAR COMPETITIVO PARA LA INCLUSIÓN SOCIAL"/>
    <m/>
    <m/>
    <x v="12"/>
    <x v="12"/>
    <m/>
    <m/>
    <x v="43"/>
    <x v="42"/>
    <m/>
    <m/>
    <m/>
    <s v="Asistir y asesorar en los sistemas de recolección de datos para medir impactos, número de visitantes y perfil del turista"/>
    <s v="Número de asistencias y asesorias a municipios en sistemas de recolección de datos para medir impactos, numero de visitantes y perfil del turista realizadas"/>
    <n v="0"/>
    <n v="10"/>
    <m/>
    <s v="Asistencias y asesorias a municipios en sistemas de recolección de datos para medir impactos, numero de visitantes y perfil del turista realizadas"/>
    <s v="Número de asistencias y asesorias a municipios en sistemas de recolección de datos para medir impactos, numero de visitantes y perfil del turista realizadas"/>
    <n v="0"/>
    <n v="10"/>
    <s v="Incremento"/>
    <m/>
    <s v="Turismo"/>
    <s v="A.13"/>
    <s v="8,12,14"/>
    <s v="ICULTUR"/>
    <n v="1"/>
    <n v="3"/>
    <n v="3"/>
    <n v="3"/>
    <n v="10"/>
    <b v="1"/>
    <n v="0"/>
    <n v="0"/>
    <n v="0.5"/>
    <n v="1"/>
    <n v="0.1"/>
    <n v="1"/>
    <n v="0"/>
    <n v="0"/>
    <m/>
    <n v="1"/>
    <n v="1"/>
    <n v="2"/>
    <m/>
    <m/>
    <m/>
    <n v="0.2"/>
    <n v="3"/>
    <n v="1"/>
    <m/>
    <m/>
    <m/>
    <n v="0.33333333333333331"/>
    <m/>
    <m/>
    <m/>
    <m/>
    <m/>
    <m/>
    <m/>
    <m/>
    <m/>
    <m/>
    <m/>
    <m/>
    <m/>
    <m/>
    <m/>
    <m/>
    <m/>
    <m/>
    <m/>
    <m/>
    <m/>
    <m/>
    <m/>
    <m/>
    <m/>
  </r>
  <r>
    <n v="2"/>
    <s v="BOLÍVAR COMPETITIVO PARA LA INCLUSIÓN SOCIAL"/>
    <m/>
    <m/>
    <x v="12"/>
    <x v="12"/>
    <m/>
    <m/>
    <x v="43"/>
    <x v="42"/>
    <m/>
    <m/>
    <m/>
    <s v="Construcción de sendero turístico "/>
    <s v="Porcentaje de obra de sendero turistico construido"/>
    <n v="0"/>
    <n v="1"/>
    <m/>
    <s v="obra de sendero turistico construido"/>
    <s v="Porcentaje de obra de sendero turistico construido"/>
    <n v="0"/>
    <n v="1"/>
    <s v="Incremento"/>
    <m/>
    <s v="Turismo"/>
    <s v="A.13"/>
    <s v="8,12,14"/>
    <s v="ICULTUR"/>
    <n v="0.1"/>
    <n v="0.4"/>
    <n v="0.5"/>
    <m/>
    <n v="1"/>
    <b v="1"/>
    <n v="0"/>
    <n v="0"/>
    <n v="0.1"/>
    <n v="0.1"/>
    <n v="0.1"/>
    <n v="0.1"/>
    <n v="0"/>
    <n v="0"/>
    <m/>
    <n v="0.1"/>
    <n v="1"/>
    <n v="0.2"/>
    <m/>
    <m/>
    <m/>
    <n v="0.2"/>
    <n v="0.4"/>
    <n v="0.1"/>
    <m/>
    <m/>
    <m/>
    <n v="0.25"/>
    <m/>
    <m/>
    <m/>
    <m/>
    <m/>
    <m/>
    <m/>
    <m/>
    <m/>
    <m/>
    <m/>
    <m/>
    <m/>
    <m/>
    <m/>
    <m/>
    <m/>
    <m/>
    <m/>
    <m/>
    <m/>
    <m/>
    <m/>
    <m/>
    <m/>
  </r>
  <r>
    <n v="2"/>
    <s v="BOLÍVAR COMPETITIVO PARA LA INCLUSIÓN SOCIAL"/>
    <m/>
    <m/>
    <x v="12"/>
    <x v="12"/>
    <m/>
    <m/>
    <x v="43"/>
    <x v="42"/>
    <m/>
    <m/>
    <m/>
    <s v="Construcción/mantenimiento de infraestructura turística"/>
    <s v="Numero de infraestructura turistica construida/mantenida "/>
    <n v="3"/>
    <n v="3"/>
    <m/>
    <s v="Infraestructura turistica construida/mantenida "/>
    <s v="Numero de infraestructura turistica construida/mantenida "/>
    <n v="3"/>
    <n v="3"/>
    <s v="Mantenimiento"/>
    <m/>
    <s v="Turismo"/>
    <s v="A.13"/>
    <s v="8,12,14"/>
    <s v="ICULTUR"/>
    <m/>
    <n v="1"/>
    <n v="1"/>
    <n v="1"/>
    <n v="3"/>
    <b v="1"/>
    <m/>
    <m/>
    <m/>
    <m/>
    <n v="0"/>
    <m/>
    <m/>
    <m/>
    <m/>
    <m/>
    <s v="NP"/>
    <n v="0"/>
    <m/>
    <m/>
    <m/>
    <n v="0"/>
    <n v="1"/>
    <n v="0"/>
    <m/>
    <m/>
    <m/>
    <n v="0"/>
    <m/>
    <m/>
    <m/>
    <m/>
    <m/>
    <m/>
    <m/>
    <m/>
    <m/>
    <m/>
    <m/>
    <m/>
    <m/>
    <m/>
    <m/>
    <m/>
    <m/>
    <m/>
    <m/>
    <m/>
    <m/>
    <m/>
    <m/>
    <m/>
    <m/>
  </r>
  <r>
    <n v="2"/>
    <s v="BOLÍVAR COMPETITIVO PARA LA INCLUSIÓN SOCIAL"/>
    <m/>
    <m/>
    <x v="13"/>
    <x v="13"/>
    <n v="0.02"/>
    <n v="6.25E-2"/>
    <x v="44"/>
    <x v="43"/>
    <n v="0"/>
    <n v="0"/>
    <m/>
    <s v="Fomentar en 14 municipios  la política de trabajo decente"/>
    <s v="Fomentar en 14 municipios  la política de trabajo decente"/>
    <n v="0"/>
    <n v="14"/>
    <m/>
    <s v="Alcanzar 15 municipios con enfoque poblacional fomentando el teletrabajo. "/>
    <s v="Alcanzar 15 municipios con enfoque poblacional fomentando el teletrabajo. "/>
    <n v="0"/>
    <n v="15"/>
    <s v="Incremento"/>
    <m/>
    <n v="7"/>
    <n v="5"/>
    <n v="3"/>
    <s v="SECRETARÍA DE PLANEACIÓN"/>
    <m/>
    <n v="7"/>
    <n v="5"/>
    <n v="3"/>
    <n v="15"/>
    <b v="1"/>
    <m/>
    <m/>
    <m/>
    <m/>
    <n v="0"/>
    <m/>
    <m/>
    <m/>
    <m/>
    <m/>
    <s v="NP"/>
    <n v="0"/>
    <m/>
    <m/>
    <m/>
    <n v="0"/>
    <n v="7"/>
    <m/>
    <m/>
    <m/>
    <m/>
    <n v="0"/>
    <m/>
    <m/>
    <m/>
    <m/>
    <m/>
    <m/>
    <m/>
    <m/>
    <m/>
    <m/>
    <m/>
    <m/>
    <m/>
    <m/>
    <m/>
    <m/>
    <m/>
    <m/>
    <m/>
    <m/>
    <m/>
    <m/>
    <m/>
    <m/>
    <m/>
  </r>
  <r>
    <n v="2"/>
    <s v="BOLÍVAR COMPETITIVO PARA LA INCLUSIÓN SOCIAL"/>
    <m/>
    <m/>
    <x v="13"/>
    <x v="13"/>
    <m/>
    <m/>
    <x v="44"/>
    <x v="43"/>
    <m/>
    <m/>
    <m/>
    <s v="Fomentar en 14 municipios  la política de trabajo decente"/>
    <s v="Fomentar en 14 municipios  la política de trabajo decente"/>
    <n v="0"/>
    <n v="14"/>
    <m/>
    <s v="Realizar 1 Alianza con MINTIC y MINTRABAJO para la implementación del teletrabajo "/>
    <s v="Realizar 1 Alianza con MINTIC y MINTRABAJO para la implementación del teletrabajo "/>
    <n v="0"/>
    <n v="1"/>
    <s v="Incremento"/>
    <m/>
    <n v="1"/>
    <n v="0"/>
    <n v="0"/>
    <s v="SECRETARÍA DE PLANEACIÓN"/>
    <m/>
    <n v="1"/>
    <m/>
    <m/>
    <n v="1"/>
    <b v="1"/>
    <m/>
    <m/>
    <m/>
    <m/>
    <n v="0"/>
    <m/>
    <m/>
    <m/>
    <m/>
    <m/>
    <s v="NP"/>
    <n v="0"/>
    <m/>
    <m/>
    <m/>
    <n v="0"/>
    <n v="1"/>
    <m/>
    <m/>
    <m/>
    <m/>
    <n v="0"/>
    <m/>
    <m/>
    <m/>
    <m/>
    <m/>
    <m/>
    <m/>
    <m/>
    <m/>
    <m/>
    <m/>
    <m/>
    <m/>
    <m/>
    <m/>
    <m/>
    <m/>
    <m/>
    <m/>
    <m/>
    <m/>
    <m/>
    <m/>
    <m/>
    <m/>
  </r>
  <r>
    <n v="2"/>
    <s v="BOLÍVAR COMPETITIVO PARA LA INCLUSIÓN SOCIAL"/>
    <m/>
    <m/>
    <x v="13"/>
    <x v="13"/>
    <m/>
    <m/>
    <x v="44"/>
    <x v="43"/>
    <m/>
    <m/>
    <m/>
    <s v="Fomentar en 14 municipios  la política de trabajo decente"/>
    <s v="Fomentar en 14 municipios  la política de trabajo decente"/>
    <n v="0"/>
    <n v="14"/>
    <m/>
    <s v="Apoyar 15 empresas que promuevan la política de protección laboral "/>
    <s v="Apoyar 15 empresas apoyadas que promuevan la política de protección laboral "/>
    <n v="0"/>
    <n v="600"/>
    <s v="Incremento"/>
    <m/>
    <n v="200"/>
    <n v="300"/>
    <n v="100"/>
    <s v="SECRETARÍA DE PLANEACIÓN"/>
    <m/>
    <n v="200"/>
    <n v="300"/>
    <n v="100"/>
    <n v="600"/>
    <b v="1"/>
    <m/>
    <m/>
    <m/>
    <m/>
    <n v="0"/>
    <m/>
    <m/>
    <m/>
    <m/>
    <m/>
    <s v="NP"/>
    <n v="0"/>
    <m/>
    <m/>
    <m/>
    <n v="0"/>
    <n v="200"/>
    <m/>
    <m/>
    <m/>
    <m/>
    <n v="0"/>
    <m/>
    <m/>
    <m/>
    <m/>
    <m/>
    <m/>
    <m/>
    <m/>
    <m/>
    <m/>
    <m/>
    <m/>
    <m/>
    <m/>
    <m/>
    <m/>
    <m/>
    <m/>
    <m/>
    <m/>
    <m/>
    <m/>
    <m/>
    <m/>
    <m/>
  </r>
  <r>
    <n v="2"/>
    <s v="BOLÍVAR COMPETITIVO PARA LA INCLUSIÓN SOCIAL"/>
    <m/>
    <m/>
    <x v="13"/>
    <x v="13"/>
    <m/>
    <m/>
    <x v="44"/>
    <x v="43"/>
    <m/>
    <m/>
    <m/>
    <s v="Fomentar en 14 municipios  la política de trabajo decente"/>
    <s v="Fomentar en 14 municipios  la política de trabajo decente"/>
    <m/>
    <m/>
    <m/>
    <s v="Número de municipios con_x000a_enfoque poblacional_x000a_fomentando el teletrabajo"/>
    <s v="Número de municipios con enfoque poblacional fomentando el teletrabajo"/>
    <n v="0"/>
    <n v="15"/>
    <m/>
    <m/>
    <m/>
    <m/>
    <m/>
    <s v="SECRETARÍA DE PLANEACIÓN"/>
    <m/>
    <m/>
    <m/>
    <m/>
    <n v="0"/>
    <b v="0"/>
    <m/>
    <m/>
    <m/>
    <m/>
    <n v="0"/>
    <m/>
    <m/>
    <m/>
    <m/>
    <m/>
    <s v="NP"/>
    <n v="0"/>
    <m/>
    <m/>
    <m/>
    <n v="0"/>
    <s v="NP"/>
    <m/>
    <m/>
    <m/>
    <m/>
    <s v="NP"/>
    <m/>
    <m/>
    <m/>
    <m/>
    <m/>
    <m/>
    <m/>
    <m/>
    <m/>
    <m/>
    <m/>
    <m/>
    <m/>
    <m/>
    <m/>
    <m/>
    <m/>
    <m/>
    <m/>
    <m/>
    <m/>
    <m/>
    <m/>
    <m/>
    <m/>
  </r>
  <r>
    <n v="2"/>
    <s v="BOLÍVAR COMPETITIVO PARA LA INCLUSIÓN SOCIAL"/>
    <m/>
    <m/>
    <x v="13"/>
    <x v="13"/>
    <m/>
    <m/>
    <x v="45"/>
    <x v="44"/>
    <n v="0.1"/>
    <n v="0.25"/>
    <m/>
    <s v="% de Personas que participan en las campañas para acceder al auxilio BEPS en Bolívar."/>
    <s v="% de Personas que participan en las campañas para acceder al auxilio BEPS en Bolívar."/>
    <n v="0"/>
    <n v="0.1"/>
    <m/>
    <s v="Realizar 10 campañas y/o intervenciones, talleres, eventos y foros, realizados"/>
    <s v="Realizar 10 campañas y/o intervenciones, talleres, eventos y foros, realizados"/>
    <n v="0"/>
    <n v="10"/>
    <s v="Incremento"/>
    <m/>
    <n v="4"/>
    <n v="4"/>
    <n v="2"/>
    <s v="SECRETARÍA DE PLANEACIÓN"/>
    <m/>
    <n v="4"/>
    <n v="4"/>
    <n v="2"/>
    <n v="10"/>
    <b v="1"/>
    <m/>
    <m/>
    <m/>
    <m/>
    <n v="0"/>
    <m/>
    <m/>
    <m/>
    <m/>
    <m/>
    <s v="NP"/>
    <n v="1"/>
    <m/>
    <m/>
    <m/>
    <n v="0.1"/>
    <n v="4"/>
    <n v="1"/>
    <m/>
    <m/>
    <m/>
    <n v="0.25"/>
    <m/>
    <m/>
    <m/>
    <m/>
    <m/>
    <m/>
    <m/>
    <m/>
    <m/>
    <m/>
    <m/>
    <m/>
    <m/>
    <m/>
    <m/>
    <m/>
    <m/>
    <m/>
    <m/>
    <m/>
    <m/>
    <m/>
    <m/>
    <m/>
    <m/>
  </r>
  <r>
    <n v="2"/>
    <s v="BOLÍVAR COMPETITIVO PARA LA INCLUSIÓN SOCIAL"/>
    <m/>
    <m/>
    <x v="14"/>
    <x v="14"/>
    <n v="0.17314935064935064"/>
    <n v="0.45158730158730165"/>
    <x v="46"/>
    <x v="45"/>
    <n v="0.37500000000000006"/>
    <n v="1"/>
    <m/>
    <s v="Índice de fortalecimiento territorial en términos de CTeI"/>
    <s v="Índice de fortalecimiento territorial en términos de CTeI"/>
    <s v="ND"/>
    <n v="0.3"/>
    <m/>
    <s v="Actualización del Plan Estratégico de Ciencia e innovación en el Departamento."/>
    <s v="Actualización del Plan Estratégico de Ciencia e innovación en el Departamento."/>
    <n v="1"/>
    <n v="1"/>
    <s v="Mantenimiento"/>
    <m/>
    <s v="Promoción del Desarrollo"/>
    <s v="A. 13"/>
    <s v="Garantizar modalidades de consumo y producción sostenibles -  Promover el crecimiento económico sostenido, inclusivo y sostenible, el empleo pleno y productivo y el trabajo decente para todos"/>
    <s v="SECRETARÍA DE PLANEACIÓN"/>
    <n v="1"/>
    <m/>
    <n v="1"/>
    <n v="1"/>
    <n v="3"/>
    <b v="0"/>
    <n v="1"/>
    <n v="1"/>
    <n v="1"/>
    <n v="1"/>
    <n v="1"/>
    <n v="1"/>
    <n v="1"/>
    <n v="1"/>
    <m/>
    <n v="1"/>
    <n v="1"/>
    <n v="0.25"/>
    <m/>
    <m/>
    <m/>
    <n v="0.25"/>
    <s v="NP"/>
    <m/>
    <m/>
    <m/>
    <m/>
    <s v="NP"/>
    <m/>
    <m/>
    <m/>
    <m/>
    <m/>
    <m/>
    <m/>
    <m/>
    <m/>
    <m/>
    <m/>
    <m/>
    <m/>
    <m/>
    <m/>
    <m/>
    <m/>
    <m/>
    <m/>
    <m/>
    <m/>
    <m/>
    <m/>
    <m/>
    <m/>
  </r>
  <r>
    <n v="2"/>
    <s v="BOLÍVAR COMPETITIVO PARA LA INCLUSIÓN SOCIAL"/>
    <m/>
    <m/>
    <x v="14"/>
    <x v="14"/>
    <m/>
    <m/>
    <x v="46"/>
    <x v="45"/>
    <m/>
    <m/>
    <m/>
    <s v="Índice de fortalecimiento territorial en términos de CTeI"/>
    <s v="Índice de fortalecimiento territorial en términos de CTeI"/>
    <s v="ND"/>
    <n v="0.3"/>
    <m/>
    <s v="Fortalecimiento de las instancias donde se ejerce la gobernanza de la CTeI."/>
    <s v="Fortalecimiento de las instancias donde se ejerce la gobernanza de la CTeI."/>
    <n v="0.7"/>
    <n v="0.3"/>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0.05"/>
    <n v="0.1"/>
    <n v="10"/>
    <n v="5"/>
    <n v="15.15"/>
    <b v="0"/>
    <n v="0.03"/>
    <n v="0.05"/>
    <n v="0.05"/>
    <n v="0.05"/>
    <n v="0.16666666666666669"/>
    <n v="0.05"/>
    <n v="0.03"/>
    <n v="0.05"/>
    <m/>
    <n v="0.05"/>
    <n v="1"/>
    <n v="0.15000000000000002"/>
    <m/>
    <m/>
    <m/>
    <n v="0.50000000000000011"/>
    <n v="0.1"/>
    <n v="0.1"/>
    <m/>
    <m/>
    <m/>
    <n v="1"/>
    <m/>
    <m/>
    <m/>
    <m/>
    <m/>
    <m/>
    <m/>
    <m/>
    <m/>
    <m/>
    <m/>
    <m/>
    <m/>
    <m/>
    <m/>
    <m/>
    <m/>
    <m/>
    <m/>
    <m/>
    <m/>
    <m/>
    <m/>
    <m/>
    <m/>
  </r>
  <r>
    <n v="2"/>
    <s v="BOLÍVAR COMPETITIVO PARA LA INCLUSIÓN SOCIAL"/>
    <m/>
    <m/>
    <x v="14"/>
    <x v="14"/>
    <m/>
    <m/>
    <x v="47"/>
    <x v="46"/>
    <n v="0.13208333333333333"/>
    <n v="0.41285714285714292"/>
    <m/>
    <s v="Intercambio de conocimiento entre lo tradicional y lo científico"/>
    <s v="Intercambio de conocimiento entre lo tradicional y lo científico"/>
    <s v="ND"/>
    <n v="0.05"/>
    <m/>
    <s v="Número de personas beneficiadas por los procesos de fortalecimiento de capacidades."/>
    <s v="Número de personas beneficiadas por los procesos de fortalecimiento de capacidades."/>
    <n v="100"/>
    <n v="800"/>
    <s v="Incremento"/>
    <s v="Proyecto de Turismo Científico"/>
    <s v="Promoción del Desarrollo"/>
    <s v="A. 13"/>
    <s v="Garantizar modalidades de consumo y producción sostenibles -  Promover el crecimiento económico sostenido, inclusivo y sostenible, el empleo pleno y productivo y el trabajo decente para todos"/>
    <s v="SECRETARÍA DE PLANEACIÓN"/>
    <n v="50"/>
    <n v="200"/>
    <n v="400"/>
    <n v="150"/>
    <n v="800"/>
    <b v="1"/>
    <n v="10"/>
    <n v="40"/>
    <n v="50"/>
    <n v="50"/>
    <n v="6.25E-2"/>
    <n v="50"/>
    <n v="10"/>
    <n v="40"/>
    <m/>
    <n v="50"/>
    <n v="1"/>
    <n v="150"/>
    <m/>
    <m/>
    <m/>
    <n v="0.1875"/>
    <n v="200"/>
    <n v="100"/>
    <m/>
    <m/>
    <m/>
    <n v="0.5"/>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1000 personas que contribuyen en el desarrollo de proyectos de I+D+i."/>
    <s v="1000 personas que contribuyen en el desarrollo de proyectos de I+D+i."/>
    <n v="400"/>
    <n v="100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50"/>
    <n v="300"/>
    <n v="500"/>
    <n v="150"/>
    <n v="1000"/>
    <b v="1"/>
    <n v="30"/>
    <n v="50"/>
    <n v="50"/>
    <n v="50"/>
    <n v="0.05"/>
    <n v="50"/>
    <n v="30"/>
    <n v="50"/>
    <m/>
    <n v="50"/>
    <n v="1"/>
    <n v="125"/>
    <m/>
    <m/>
    <m/>
    <n v="0.125"/>
    <n v="300"/>
    <n v="75"/>
    <m/>
    <m/>
    <m/>
    <n v="0.25"/>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20 grupos que lograron fortalecer sus capacidades en CTeI."/>
    <s v="20 grupos que lograron fortalecer sus capacidades en CTeI."/>
    <n v="0"/>
    <n v="2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1"/>
    <n v="5"/>
    <n v="10"/>
    <n v="4"/>
    <n v="20"/>
    <b v="1"/>
    <n v="0"/>
    <n v="1"/>
    <n v="1"/>
    <n v="1"/>
    <n v="0.05"/>
    <n v="1"/>
    <n v="0"/>
    <n v="1"/>
    <m/>
    <n v="1"/>
    <n v="1"/>
    <n v="4"/>
    <m/>
    <m/>
    <m/>
    <n v="0.2"/>
    <n v="5"/>
    <n v="3"/>
    <m/>
    <m/>
    <m/>
    <n v="0.6"/>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300 producción científica realizada por beneficiarios."/>
    <s v="300 producción científica realizada por beneficiarios."/>
    <n v="0"/>
    <n v="30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20"/>
    <n v="70"/>
    <n v="180"/>
    <n v="30"/>
    <n v="300"/>
    <b v="1"/>
    <n v="12"/>
    <n v="16"/>
    <n v="16"/>
    <n v="16"/>
    <n v="5.3333333333333337E-2"/>
    <n v="20"/>
    <n v="12"/>
    <n v="16"/>
    <m/>
    <n v="16"/>
    <n v="0.8"/>
    <n v="66"/>
    <m/>
    <m/>
    <m/>
    <n v="0.22"/>
    <n v="70"/>
    <n v="50"/>
    <m/>
    <m/>
    <m/>
    <n v="0.7142857142857143"/>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Innovación de las capacidades empresariales. "/>
    <s v="Innovación de las capacidades empresariales. "/>
    <n v="0"/>
    <n v="50"/>
    <s v="Incremento"/>
    <s v="Proyecto de Innovación empresarial "/>
    <s v="Promoción del Desarrollo"/>
    <s v="A. 13"/>
    <s v="Garantizar modalidades de consumo y producción sostenibles -  Promover el crecimiento económico sostenido, inclusivo y sostenible, el empleo pleno y productivo y el trabajo decente para todos"/>
    <s v="SECRETARÍA DE PLANEACIÓN"/>
    <n v="5"/>
    <n v="10"/>
    <n v="30"/>
    <n v="5"/>
    <n v="50"/>
    <b v="1"/>
    <n v="2"/>
    <n v="3"/>
    <n v="3"/>
    <n v="3"/>
    <n v="0.06"/>
    <n v="5"/>
    <n v="2"/>
    <n v="3"/>
    <m/>
    <n v="3"/>
    <n v="0.6"/>
    <n v="3"/>
    <m/>
    <m/>
    <m/>
    <n v="0.06"/>
    <n v="10"/>
    <m/>
    <m/>
    <m/>
    <m/>
    <n v="0"/>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200 empresas con prototipo diseñado. "/>
    <s v="200 empresas con prototipo diseñado. "/>
    <n v="0"/>
    <n v="200"/>
    <s v="Incremento"/>
    <s v="Proyecto de innovación empresarial UDC"/>
    <s v="Promoción del Desarrollo"/>
    <s v="A. 13"/>
    <s v="Garantizar modalidades de consumo y producción sostenibles -  Promover el crecimiento económico sostenido, inclusivo y sostenible, el empleo pleno y productivo y el trabajo decente para todos"/>
    <s v="SECRETARÍA DE PLANEACIÓN"/>
    <n v="10"/>
    <m/>
    <n v="100"/>
    <n v="50"/>
    <n v="160"/>
    <b v="0"/>
    <n v="0"/>
    <n v="0"/>
    <n v="0"/>
    <n v="0"/>
    <n v="0"/>
    <n v="10"/>
    <n v="0"/>
    <n v="0"/>
    <m/>
    <n v="0"/>
    <n v="0"/>
    <n v="0"/>
    <m/>
    <m/>
    <m/>
    <n v="0"/>
    <s v="NP"/>
    <m/>
    <m/>
    <m/>
    <m/>
    <s v="NP"/>
    <m/>
    <m/>
    <m/>
    <m/>
    <m/>
    <m/>
    <m/>
    <m/>
    <m/>
    <m/>
    <m/>
    <m/>
    <m/>
    <m/>
    <m/>
    <m/>
    <m/>
    <m/>
    <m/>
    <m/>
    <m/>
    <m/>
    <m/>
    <m/>
    <m/>
  </r>
  <r>
    <n v="2"/>
    <s v="BOLÍVAR COMPETITIVO PARA LA INCLUSIÓN SOCIAL"/>
    <m/>
    <m/>
    <x v="14"/>
    <x v="14"/>
    <m/>
    <m/>
    <x v="48"/>
    <x v="47"/>
    <n v="0.17857142857142858"/>
    <n v="0.5"/>
    <m/>
    <s v="Fortalecimiento de las capacidades científicas de alto nivel"/>
    <s v="Fortalecimiento de las capacidades científicas de alto nivel"/>
    <n v="25"/>
    <n v="350"/>
    <m/>
    <s v="No de beneficiarios graduados en formación de alto Nivel."/>
    <s v="No de beneficiarios graduados en formación de alto Nivel."/>
    <n v="25"/>
    <n v="350"/>
    <s v="Incremento"/>
    <s v="Proyectos Ceiba y becas Docentes"/>
    <s v="Promoción del Desarrollo"/>
    <s v="A. 13"/>
    <s v="Garantizar modalidades de consumo y producción sostenibles -  Promover el crecimiento económico sostenido, inclusivo y sostenible, el empleo pleno y productivo y el trabajo decente para todos"/>
    <s v="SECRETARÍA DE PLANEACIÓN"/>
    <n v="20"/>
    <n v="100"/>
    <n v="200"/>
    <n v="30"/>
    <n v="350"/>
    <b v="1"/>
    <n v="10"/>
    <n v="20"/>
    <n v="20"/>
    <n v="20"/>
    <n v="5.7142857142857141E-2"/>
    <n v="20"/>
    <n v="10"/>
    <n v="20"/>
    <m/>
    <n v="20"/>
    <n v="1"/>
    <n v="20"/>
    <m/>
    <m/>
    <m/>
    <n v="5.7142857142857141E-2"/>
    <n v="100"/>
    <m/>
    <m/>
    <m/>
    <m/>
    <n v="0"/>
    <m/>
    <m/>
    <m/>
    <m/>
    <m/>
    <m/>
    <m/>
    <m/>
    <m/>
    <m/>
    <m/>
    <m/>
    <m/>
    <m/>
    <m/>
    <m/>
    <m/>
    <m/>
    <m/>
    <m/>
    <m/>
    <m/>
    <m/>
    <m/>
    <m/>
  </r>
  <r>
    <n v="2"/>
    <s v="BOLÍVAR COMPETITIVO PARA LA INCLUSIÓN SOCIAL"/>
    <m/>
    <m/>
    <x v="14"/>
    <x v="14"/>
    <m/>
    <m/>
    <x v="48"/>
    <x v="47"/>
    <m/>
    <m/>
    <m/>
    <s v="Fortalecimiento de las capacidades científicas de alto nivel"/>
    <s v="Fortalecimiento de las capacidades científicas de alto nivel"/>
    <n v="25"/>
    <n v="350"/>
    <m/>
    <s v="Número de producción científica realizada por beneficiarios."/>
    <s v="Número de producción científica realizada por beneficiarios."/>
    <n v="10"/>
    <n v="5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5"/>
    <n v="10"/>
    <n v="30"/>
    <n v="5"/>
    <n v="50"/>
    <b v="1"/>
    <n v="3"/>
    <n v="5"/>
    <n v="5"/>
    <n v="5"/>
    <n v="0.1"/>
    <n v="5"/>
    <n v="3"/>
    <n v="5"/>
    <m/>
    <n v="5"/>
    <n v="1"/>
    <n v="15"/>
    <m/>
    <m/>
    <m/>
    <n v="0.3"/>
    <n v="10"/>
    <n v="10"/>
    <m/>
    <m/>
    <m/>
    <n v="1"/>
    <m/>
    <m/>
    <m/>
    <m/>
    <m/>
    <m/>
    <m/>
    <m/>
    <m/>
    <m/>
    <m/>
    <m/>
    <m/>
    <m/>
    <m/>
    <m/>
    <m/>
    <m/>
    <m/>
    <m/>
    <m/>
    <m/>
    <m/>
    <m/>
    <m/>
  </r>
  <r>
    <n v="2"/>
    <s v="BOLÍVAR COMPETITIVO PARA LA INCLUSIÓN SOCIAL"/>
    <m/>
    <m/>
    <x v="14"/>
    <x v="14"/>
    <m/>
    <m/>
    <x v="49"/>
    <x v="48"/>
    <n v="5.0000000000000001E-3"/>
    <n v="0"/>
    <m/>
    <s v="Ampliación de las capacidades de innovación empresarial."/>
    <s v="Ampliación de las capacidades de innovación empresarial."/>
    <n v="0"/>
    <n v="200"/>
    <m/>
    <s v="Número de empresas con prototipos diseñados "/>
    <s v="Número de empresas con prototipos diseñados "/>
    <n v="0"/>
    <n v="200"/>
    <s v="Incremento"/>
    <s v="Fortalecimiento del tejido empresarial "/>
    <s v="Promoción del Desarrollo"/>
    <s v="A. 13"/>
    <s v="Garantizar modalidades de consumo y producción sostenibles -  Promover el crecimiento económico sostenido, inclusivo y sostenible, el empleo pleno y productivo y el trabajo decente para todos"/>
    <s v="SECRETARÍA DE PLANEACIÓN"/>
    <n v="20"/>
    <n v="50"/>
    <n v="100"/>
    <n v="30"/>
    <n v="200"/>
    <b v="1"/>
    <n v="0"/>
    <n v="0"/>
    <n v="1"/>
    <n v="1"/>
    <n v="5.0000000000000001E-3"/>
    <n v="20"/>
    <n v="0"/>
    <n v="0"/>
    <m/>
    <n v="1"/>
    <n v="0.05"/>
    <n v="1"/>
    <m/>
    <m/>
    <m/>
    <n v="5.0000000000000001E-3"/>
    <n v="50"/>
    <m/>
    <m/>
    <s v="ELIMINAR"/>
    <m/>
    <n v="0"/>
    <m/>
    <m/>
    <m/>
    <m/>
    <m/>
    <m/>
    <m/>
    <m/>
    <m/>
    <m/>
    <m/>
    <m/>
    <m/>
    <m/>
    <m/>
    <m/>
    <m/>
    <m/>
    <m/>
    <m/>
    <m/>
    <m/>
    <m/>
    <m/>
    <m/>
  </r>
  <r>
    <n v="2"/>
    <s v="BOLÍVAR COMPETITIVO PARA LA INCLUSIÓN SOCIAL"/>
    <m/>
    <m/>
    <x v="15"/>
    <x v="15"/>
    <n v="0"/>
    <s v="NP"/>
    <x v="50"/>
    <x v="49"/>
    <n v="0"/>
    <s v="NP"/>
    <m/>
    <s v="Ampliación de cobertura en educación superior y para el trabajo"/>
    <s v="Ampliación de cobertura en educación_x000a_superior y para el trabajo"/>
    <n v="74157"/>
    <n v="75757"/>
    <m/>
    <s v="Nuevas instituciones de_x000a_Educación Superior o tecnica creadas"/>
    <s v="Nuevas instituciones de_x000a_Educación Superior creadas"/>
    <n v="0"/>
    <n v="1"/>
    <s v="Incremento "/>
    <m/>
    <m/>
    <m/>
    <m/>
    <s v="SECRETARÍA DE PLANEACIÓN"/>
    <m/>
    <m/>
    <m/>
    <m/>
    <n v="0"/>
    <b v="0"/>
    <m/>
    <m/>
    <m/>
    <m/>
    <n v="0"/>
    <m/>
    <m/>
    <m/>
    <m/>
    <m/>
    <s v="NP"/>
    <n v="0"/>
    <m/>
    <m/>
    <m/>
    <n v="0"/>
    <s v="NP"/>
    <m/>
    <m/>
    <m/>
    <m/>
    <s v="NP"/>
    <m/>
    <m/>
    <m/>
    <m/>
    <m/>
    <m/>
    <m/>
    <m/>
    <m/>
    <m/>
    <m/>
    <m/>
    <m/>
    <m/>
    <m/>
    <m/>
    <m/>
    <m/>
    <m/>
    <m/>
    <m/>
    <m/>
    <m/>
    <m/>
    <m/>
  </r>
  <r>
    <n v="2"/>
    <s v="BOLÍVAR COMPETITIVO PARA LA INCLUSIÓN SOCIAL"/>
    <m/>
    <m/>
    <x v="15"/>
    <x v="15"/>
    <m/>
    <m/>
    <x v="50"/>
    <x v="49"/>
    <m/>
    <m/>
    <m/>
    <s v="Ampliación de cobertura en educación superior y para el trabajo"/>
    <s v="Ampliación de cobertura en educación_x000a_superior y para el trabajo"/>
    <n v="74157"/>
    <n v="75757"/>
    <m/>
    <s v="Cupos nuevos creados en_x000a_Educación Superior para ser_x000a_ofertados en el Dpto. de Bolívar"/>
    <s v="Cupos nuevos creados en_x000a_Educación Superior para ser_x000a_ofertados en el Dpto. de Bolívar"/>
    <n v="0"/>
    <n v="600"/>
    <s v="Incremento "/>
    <m/>
    <m/>
    <m/>
    <m/>
    <s v="SECRETARÍA DE PLANEACIÓN"/>
    <m/>
    <m/>
    <m/>
    <m/>
    <n v="0"/>
    <b v="0"/>
    <m/>
    <m/>
    <m/>
    <m/>
    <n v="0"/>
    <m/>
    <m/>
    <m/>
    <m/>
    <m/>
    <s v="NP"/>
    <n v="0"/>
    <m/>
    <m/>
    <m/>
    <n v="0"/>
    <s v="NP"/>
    <m/>
    <m/>
    <m/>
    <m/>
    <s v="NP"/>
    <m/>
    <m/>
    <m/>
    <m/>
    <m/>
    <m/>
    <m/>
    <m/>
    <m/>
    <m/>
    <m/>
    <m/>
    <m/>
    <m/>
    <m/>
    <m/>
    <m/>
    <m/>
    <m/>
    <m/>
    <m/>
    <m/>
    <m/>
    <m/>
    <m/>
  </r>
  <r>
    <n v="2"/>
    <s v="BOLÍVAR COMPETITIVO PARA LA INCLUSIÓN SOCIAL"/>
    <m/>
    <m/>
    <x v="15"/>
    <x v="15"/>
    <m/>
    <m/>
    <x v="50"/>
    <x v="49"/>
    <m/>
    <m/>
    <m/>
    <s v="Ampliación de cobertura en educación superior y para el trabajo"/>
    <s v="Ampliación de cobertura en educación_x000a_superior y para el trabajo"/>
    <n v="74157"/>
    <n v="75757"/>
    <m/>
    <s v="Cupos nuevos creados en_x000a_Educación para el Trabajo y el_x000a_Desarrollo Humano para ser_x000a_ofertados en el Dpto. de Bolívar"/>
    <s v="Cupos nuevos creados en_x000a_Educación para el Trabajo y el_x000a_Desarrollo Humano para ser_x000a_ofertados en el Dpto. de Bolívar"/>
    <n v="0"/>
    <n v="1000"/>
    <s v="Incremento "/>
    <m/>
    <m/>
    <m/>
    <m/>
    <s v="SECRETARÍA DE PLANEACIÓN"/>
    <m/>
    <m/>
    <m/>
    <m/>
    <n v="0"/>
    <b v="0"/>
    <m/>
    <m/>
    <m/>
    <m/>
    <n v="0"/>
    <m/>
    <m/>
    <m/>
    <m/>
    <m/>
    <s v="NP"/>
    <n v="0"/>
    <m/>
    <m/>
    <m/>
    <n v="0"/>
    <s v="NP"/>
    <m/>
    <m/>
    <m/>
    <m/>
    <s v="NP"/>
    <m/>
    <m/>
    <m/>
    <m/>
    <m/>
    <m/>
    <m/>
    <m/>
    <m/>
    <m/>
    <m/>
    <m/>
    <m/>
    <m/>
    <m/>
    <m/>
    <m/>
    <m/>
    <m/>
    <m/>
    <m/>
    <m/>
    <m/>
    <m/>
    <m/>
  </r>
  <r>
    <n v="2"/>
    <s v="BOLÍVAR COMPETITIVO PARA LA INCLUSIÓN SOCIAL"/>
    <m/>
    <m/>
    <x v="15"/>
    <x v="15"/>
    <m/>
    <m/>
    <x v="50"/>
    <x v="49"/>
    <m/>
    <m/>
    <m/>
    <s v="Ampliación de cobertura en educación superior y para el trabajo"/>
    <s v="Ampliación de cobertura en educación_x000a_superior y para el trabajo"/>
    <n v="74157"/>
    <n v="75757"/>
    <m/>
    <s v="Convenios con instituciones_x000a_de Educación para el Trabajo y_x000a_el Desarrollo humano"/>
    <s v="Convenios con instituciones_x000a_de Educación para el Trabajo y_x000a_el Desarrollo humano"/>
    <n v="0"/>
    <n v="3"/>
    <s v="Incremento "/>
    <m/>
    <m/>
    <m/>
    <m/>
    <s v="SECRETARÍA DE PLANEACIÓN"/>
    <m/>
    <m/>
    <m/>
    <m/>
    <n v="0"/>
    <b v="0"/>
    <m/>
    <m/>
    <m/>
    <m/>
    <n v="0"/>
    <m/>
    <m/>
    <m/>
    <m/>
    <m/>
    <s v="NP"/>
    <n v="0"/>
    <m/>
    <m/>
    <m/>
    <n v="0"/>
    <s v="NP"/>
    <m/>
    <m/>
    <m/>
    <m/>
    <s v="NP"/>
    <m/>
    <m/>
    <m/>
    <m/>
    <m/>
    <m/>
    <m/>
    <m/>
    <m/>
    <m/>
    <m/>
    <m/>
    <m/>
    <m/>
    <m/>
    <m/>
    <m/>
    <m/>
    <m/>
    <m/>
    <m/>
    <m/>
    <m/>
    <m/>
    <m/>
  </r>
  <r>
    <n v="3"/>
    <s v="GESTIÓN AMBIENTAL Y ORDENAMIENTO TERRITORIAL_x000a_"/>
    <n v="0.29150782013685239"/>
    <n v="0.8"/>
    <x v="16"/>
    <x v="16"/>
    <n v="0.2"/>
    <n v="0.5"/>
    <x v="51"/>
    <x v="50"/>
    <n v="0.2"/>
    <n v="0.5"/>
    <m/>
    <s v="Cobertura en Cartografías de las zonas limítrofes y demás zonas del departamento actualizadas"/>
    <s v="Número de Cartografías de las zonas limítrofes y demás zonas del departamento actualizadas"/>
    <n v="0"/>
    <n v="1"/>
    <m/>
    <s v="4 cartografias de las zonas limitrofes"/>
    <s v="4 cartografias de las zonas limitrofes"/>
    <n v="0"/>
    <n v="4"/>
    <s v="Incremento "/>
    <m/>
    <s v="FORTALECIMIENTO INSTITUCIONAL"/>
    <s v="A.17"/>
    <s v="11.   CIUDADES Y COMUNIDADES SOSTENIBLES"/>
    <s v="SECRETARÍA DE DESARROLLO REGIONAL Y ORDENAMIENTO TERRITORIAL"/>
    <m/>
    <m/>
    <m/>
    <m/>
    <n v="0"/>
    <b v="0"/>
    <m/>
    <m/>
    <m/>
    <m/>
    <n v="0"/>
    <m/>
    <m/>
    <m/>
    <m/>
    <m/>
    <s v="NP"/>
    <n v="0"/>
    <m/>
    <m/>
    <m/>
    <n v="0"/>
    <s v="NP"/>
    <m/>
    <m/>
    <m/>
    <m/>
    <s v="NP"/>
    <m/>
    <m/>
    <m/>
    <m/>
    <m/>
    <m/>
    <m/>
    <m/>
    <m/>
    <m/>
    <m/>
    <m/>
    <m/>
    <m/>
    <m/>
    <m/>
    <m/>
    <m/>
    <m/>
    <m/>
    <m/>
    <m/>
    <m/>
    <m/>
    <m/>
  </r>
  <r>
    <n v="3"/>
    <s v="GESTIÓN AMBIENTAL Y ORDENAMIENTO TERRITORIAL_x000a_"/>
    <m/>
    <m/>
    <x v="16"/>
    <x v="16"/>
    <m/>
    <m/>
    <x v="51"/>
    <x v="50"/>
    <m/>
    <m/>
    <m/>
    <s v="Cobertura en Sistemas de Información Geográfica de la Gobernación con la información cartográfica Actualizadas"/>
    <s v="Número de Sistemas de_x000a_Información Geográfica de_x000a_la Gobernación con la_x000a_información cartográfica_x000a_Actualizadas"/>
    <n v="0"/>
    <n v="1"/>
    <m/>
    <s v="1 Sistemas de_x000a_Información Geográfica de_x000a_la Gobernación con la_x000a_información cartográfica_x000a_Actualizadas"/>
    <s v="1 Sistemas de_x000a_Información Geográfica de_x000a_la Gobernación con la_x000a_información cartográfica_x000a_Actualizadas"/>
    <n v="0"/>
    <n v="1"/>
    <s v="Incremento "/>
    <m/>
    <s v="FORTALECIMIENTO IN+R326:U332STITUCIONAL"/>
    <s v="A.17"/>
    <s v="16. PAZ JUSTICIA E INSTITUCIONES SOLIDAS"/>
    <s v="SECRETARÍA DE DESARROLLO REGIONAL Y ORDENAMIENTO TERRITORIAL"/>
    <m/>
    <m/>
    <m/>
    <m/>
    <n v="0"/>
    <b v="0"/>
    <m/>
    <m/>
    <m/>
    <m/>
    <n v="0"/>
    <m/>
    <m/>
    <m/>
    <m/>
    <m/>
    <s v="NP"/>
    <n v="0"/>
    <m/>
    <m/>
    <m/>
    <n v="0"/>
    <s v="NP"/>
    <m/>
    <m/>
    <m/>
    <m/>
    <s v="NP"/>
    <m/>
    <m/>
    <m/>
    <m/>
    <m/>
    <m/>
    <m/>
    <m/>
    <m/>
    <m/>
    <m/>
    <m/>
    <m/>
    <m/>
    <m/>
    <m/>
    <m/>
    <m/>
    <m/>
    <m/>
    <m/>
    <m/>
    <m/>
    <m/>
    <m/>
  </r>
  <r>
    <n v="3"/>
    <s v="GESTIÓN AMBIENTAL Y ORDENAMIENTO TERRITORIAL_x000a_"/>
    <m/>
    <m/>
    <x v="16"/>
    <x v="16"/>
    <m/>
    <m/>
    <x v="51"/>
    <x v="50"/>
    <m/>
    <m/>
    <m/>
    <s v="Cobertura en Talleres de asistencias técnicas en las ZODES del departamento en_x000a_ordenamiento territorial realizados"/>
    <s v="Asistencias técnicas_x000a_municipal en ordenamiento_x000a_territorial."/>
    <n v="0"/>
    <n v="1"/>
    <m/>
    <s v="6 Talleres de asistencias técnicas en las ZODES del departamento en_x000a_ordenamiento territorial realizados"/>
    <s v="6 Talleres de asistencias técnicas en las ZODES del departamento en_x000a_ordenamiento territorial realizados"/>
    <n v="0"/>
    <n v="6"/>
    <s v="Incremento "/>
    <m/>
    <s v="FORTALECIMIENTO INSTITUCIONAL"/>
    <s v="A.17"/>
    <s v="11.   CIUDADES Y COMUNIDADES SOSTENIBLES"/>
    <s v="SECRETARÍA DE DESARROLLO REGIONAL Y ORDENAMIENTO TERRITORIAL"/>
    <n v="2"/>
    <n v="2"/>
    <m/>
    <m/>
    <n v="4"/>
    <b v="0"/>
    <n v="1"/>
    <n v="1"/>
    <n v="4"/>
    <n v="4"/>
    <n v="0.66666666666666663"/>
    <n v="2"/>
    <n v="1"/>
    <n v="1"/>
    <m/>
    <n v="4"/>
    <n v="1"/>
    <n v="6"/>
    <m/>
    <m/>
    <m/>
    <n v="1"/>
    <n v="2"/>
    <n v="2"/>
    <m/>
    <m/>
    <m/>
    <n v="1"/>
    <m/>
    <m/>
    <m/>
    <m/>
    <m/>
    <m/>
    <m/>
    <m/>
    <m/>
    <m/>
    <m/>
    <m/>
    <m/>
    <m/>
    <m/>
    <m/>
    <m/>
    <m/>
    <m/>
    <m/>
    <m/>
    <m/>
    <m/>
    <m/>
    <m/>
  </r>
  <r>
    <n v="3"/>
    <s v="GESTIÓN AMBIENTAL Y ORDENAMIENTO TERRITORIAL_x000a_"/>
    <m/>
    <m/>
    <x v="16"/>
    <x v="16"/>
    <m/>
    <m/>
    <x v="51"/>
    <x v="50"/>
    <m/>
    <m/>
    <m/>
    <s v="Cobertura en Estudios de riesgos para el_x000a_ordenamiento territorial realizados."/>
    <s v="Número de Estudios de_x000a_riesgos para el ordenamiento territorial realizados."/>
    <n v="0"/>
    <n v="1"/>
    <m/>
    <s v="1 Estudios de riesgos para el_x000a_ordenamiento territorial realizados."/>
    <s v="1 Estudios de riesgos para el_x000a_ordenamiento territorial realizados."/>
    <n v="0"/>
    <n v="1"/>
    <s v="Incremento "/>
    <m/>
    <s v="FORTALECIMIENTO INSTITUCIONAL"/>
    <s v="A.17"/>
    <s v="11.   CIUDADES Y COMUNIDADES SOSTENIBLES"/>
    <s v="SECRETARÍA DE DESARROLLO REGIONAL Y ORDENAMIENTO TERRITORIAL"/>
    <m/>
    <m/>
    <m/>
    <m/>
    <n v="0"/>
    <b v="0"/>
    <m/>
    <m/>
    <m/>
    <m/>
    <n v="0"/>
    <m/>
    <m/>
    <m/>
    <m/>
    <m/>
    <s v="NP"/>
    <n v="0"/>
    <m/>
    <m/>
    <m/>
    <n v="0"/>
    <s v="NP"/>
    <n v="0"/>
    <m/>
    <m/>
    <m/>
    <s v="NP"/>
    <m/>
    <m/>
    <m/>
    <m/>
    <m/>
    <m/>
    <m/>
    <m/>
    <m/>
    <m/>
    <m/>
    <m/>
    <m/>
    <m/>
    <m/>
    <m/>
    <m/>
    <m/>
    <m/>
    <m/>
    <m/>
    <m/>
    <m/>
    <m/>
    <m/>
  </r>
  <r>
    <n v="3"/>
    <s v="GESTIÓN AMBIENTAL Y ORDENAMIENTO TERRITORIAL_x000a_"/>
    <m/>
    <m/>
    <x v="16"/>
    <x v="16"/>
    <m/>
    <m/>
    <x v="51"/>
    <x v="50"/>
    <m/>
    <m/>
    <m/>
    <s v="Cobertura en Planes de ordenamiento territorial departamental aprobado."/>
    <s v="Plan de ordenamiento_x000a_territorial departamental_x000a_formulado y adoptado."/>
    <n v="0"/>
    <n v="1"/>
    <m/>
    <s v="1 Plan de ordenamiento territorial departamental_x000a_formulado y adoptado."/>
    <s v="1 Plan de ordenamiento territorial departamental_x000a_formulado y adoptado."/>
    <n v="0"/>
    <n v="1"/>
    <s v="Incremento "/>
    <m/>
    <s v="FORTALECIMIENTO INSTITUCIONAL"/>
    <s v="A.17"/>
    <s v="11.   CIUDADES Y COMUNIDADES SOSTENIBLES"/>
    <s v="SECRETARÍA DE DESARROLLO REGIONAL Y ORDENAMIENTO TERRITORIAL"/>
    <n v="1"/>
    <n v="1"/>
    <m/>
    <m/>
    <n v="2"/>
    <b v="0"/>
    <m/>
    <m/>
    <m/>
    <m/>
    <n v="0"/>
    <n v="1"/>
    <m/>
    <m/>
    <m/>
    <m/>
    <s v="NP"/>
    <n v="0"/>
    <m/>
    <m/>
    <m/>
    <n v="0"/>
    <n v="1"/>
    <n v="0"/>
    <m/>
    <m/>
    <m/>
    <n v="0"/>
    <m/>
    <m/>
    <m/>
    <m/>
    <m/>
    <m/>
    <m/>
    <m/>
    <m/>
    <m/>
    <m/>
    <m/>
    <m/>
    <m/>
    <m/>
    <m/>
    <m/>
    <m/>
    <m/>
    <m/>
    <m/>
    <m/>
    <m/>
    <m/>
    <m/>
  </r>
  <r>
    <n v="3"/>
    <s v="GESTIÓN AMBIENTAL Y ORDENAMIENTO TERRITORIAL_x000a_"/>
    <m/>
    <m/>
    <x v="17"/>
    <x v="17"/>
    <n v="0.2"/>
    <n v="0.25"/>
    <x v="52"/>
    <x v="51"/>
    <n v="0.43333333333333329"/>
    <n v="0.25"/>
    <m/>
    <s v="Cobertura en Áreas de_x000a_importancia estratégicas del_x000a_departamento de Bolívar_x000a_intervenidas"/>
    <s v="Número de Áreas de importancia estratégicas del departamento de Bolívar intervenidas"/>
    <n v="0.2727"/>
    <n v="0.81820000000000004"/>
    <m/>
    <s v="4  Áreas de importancia estratégicas del departamento de Bolívar intervenidas"/>
    <s v="4  Áreas de importancia estratégicas del departamento de Bolívar intervenidas"/>
    <n v="3"/>
    <n v="4"/>
    <s v="Incremento "/>
    <m/>
    <s v="AMBIENTAL"/>
    <s v="A.10"/>
    <s v="6.           AGUA LIMPIA Y SANEAMIENTO"/>
    <s v="SECRETARÍA DE DESARROLLO REGIONAL Y ORDENAMIENTO TERRITORIAL"/>
    <n v="1"/>
    <n v="1"/>
    <m/>
    <m/>
    <n v="2"/>
    <b v="0"/>
    <n v="0"/>
    <n v="0"/>
    <n v="0"/>
    <n v="0"/>
    <n v="0"/>
    <n v="1"/>
    <n v="0"/>
    <n v="0"/>
    <m/>
    <n v="0"/>
    <n v="0"/>
    <n v="0"/>
    <m/>
    <m/>
    <m/>
    <n v="0"/>
    <n v="1"/>
    <n v="0"/>
    <m/>
    <m/>
    <m/>
    <n v="0"/>
    <m/>
    <m/>
    <m/>
    <m/>
    <m/>
    <m/>
    <m/>
    <m/>
    <m/>
    <m/>
    <m/>
    <m/>
    <m/>
    <m/>
    <m/>
    <m/>
    <m/>
    <m/>
    <m/>
    <m/>
    <m/>
    <m/>
    <m/>
    <m/>
    <m/>
  </r>
  <r>
    <n v="3"/>
    <s v="GESTIÓN AMBIENTAL Y ORDENAMIENTO TERRITORIAL_x000a_"/>
    <m/>
    <m/>
    <x v="17"/>
    <x v="17"/>
    <m/>
    <m/>
    <x v="52"/>
    <x v="51"/>
    <m/>
    <m/>
    <m/>
    <s v="Cobertura en Programas de_x000a_educación Ambiental_x000a_implementados en ZODES"/>
    <s v="Número de capacitaciones en educación ambiental desarrolladas en las Zodes del departamento de Bolívar"/>
    <n v="0.28570000000000001"/>
    <n v="0.57140000000000002"/>
    <m/>
    <s v="2 Programas de_x000a_educación Ambiental_x000a_implementados en ZODES"/>
    <s v="2 Programas de_x000a_educación Ambiental_x000a_implementados en ZODES"/>
    <n v="2"/>
    <n v="2"/>
    <s v="Incremento "/>
    <m/>
    <s v="AMBIENTAL"/>
    <s v="A.10"/>
    <s v="16.          VIDA DE ECOSISTEMAS TERRESTRES"/>
    <s v="SECRETARÍA DE DESARROLLO REGIONAL Y ORDENAMIENTO TERRITORIAL"/>
    <n v="2"/>
    <n v="2"/>
    <m/>
    <m/>
    <n v="4"/>
    <b v="0"/>
    <n v="2"/>
    <n v="2"/>
    <n v="2"/>
    <n v="2"/>
    <n v="1"/>
    <n v="2"/>
    <n v="1"/>
    <n v="2"/>
    <m/>
    <n v="2"/>
    <n v="1"/>
    <n v="4"/>
    <m/>
    <m/>
    <m/>
    <n v="2"/>
    <n v="2"/>
    <n v="2"/>
    <m/>
    <m/>
    <m/>
    <n v="1"/>
    <m/>
    <m/>
    <m/>
    <m/>
    <m/>
    <m/>
    <m/>
    <m/>
    <m/>
    <m/>
    <m/>
    <m/>
    <m/>
    <m/>
    <m/>
    <m/>
    <m/>
    <m/>
    <m/>
    <m/>
    <m/>
    <m/>
    <m/>
    <m/>
    <m/>
  </r>
  <r>
    <n v="3"/>
    <s v="GESTIÓN AMBIENTAL Y ORDENAMIENTO TERRITORIAL_x000a_"/>
    <m/>
    <m/>
    <x v="17"/>
    <x v="17"/>
    <m/>
    <m/>
    <x v="52"/>
    <x v="51"/>
    <m/>
    <m/>
    <m/>
    <s v="Cobertura en talleres SIDAP_x000a_implementados"/>
    <s v="Número de talleres SIDAP realizados"/>
    <n v="0.5"/>
    <n v="1"/>
    <m/>
    <s v="6 talleres SIDAP_x000a_implementados"/>
    <s v="6 talleres SIDAP_x000a_implementados"/>
    <n v="6"/>
    <n v="6"/>
    <s v="Incremento "/>
    <m/>
    <s v="AMBIENTAL"/>
    <s v="A.10"/>
    <s v="16.          VIDA DE ECOSISTEMAS TERRESTRES"/>
    <s v="SECRETARÍA DE DESARROLLO REGIONAL Y ORDENAMIENTO TERRITORIAL"/>
    <n v="1"/>
    <n v="1"/>
    <m/>
    <m/>
    <n v="2"/>
    <b v="0"/>
    <n v="1"/>
    <n v="1"/>
    <n v="1"/>
    <n v="1"/>
    <n v="0.16666666666666666"/>
    <n v="1"/>
    <n v="0"/>
    <n v="1"/>
    <m/>
    <n v="1"/>
    <n v="1"/>
    <n v="1"/>
    <m/>
    <m/>
    <m/>
    <n v="0.16666666666666666"/>
    <n v="1"/>
    <n v="0"/>
    <m/>
    <m/>
    <m/>
    <n v="0"/>
    <m/>
    <m/>
    <m/>
    <m/>
    <m/>
    <m/>
    <m/>
    <m/>
    <m/>
    <m/>
    <m/>
    <m/>
    <m/>
    <m/>
    <m/>
    <m/>
    <m/>
    <m/>
    <m/>
    <m/>
    <m/>
    <m/>
    <m/>
    <m/>
    <m/>
  </r>
  <r>
    <n v="3"/>
    <s v="GESTIÓN AMBIENTAL Y ORDENAMIENTO TERRITORIAL_x000a_"/>
    <m/>
    <m/>
    <x v="17"/>
    <x v="17"/>
    <m/>
    <m/>
    <x v="52"/>
    <x v="51"/>
    <m/>
    <m/>
    <m/>
    <s v="% Cobertura en planes_x000a_institucionales de gestión_x000a_ambiental formulados"/>
    <s v="Planes institucionales de gestión ambiental formulados y aprobados"/>
    <n v="0.33329999999999999"/>
    <n v="0.66659999999999997"/>
    <m/>
    <s v="1 Plan institucionales de gestión ambiental formulados y aprobados"/>
    <s v="1 Plan institucionales de gestión ambiental formulados y aprobados"/>
    <n v="1"/>
    <n v="1"/>
    <s v="Incremento "/>
    <m/>
    <s v="AMBIENTAL"/>
    <s v="A.10"/>
    <s v="16. PAZ JUSTICIA E INSTITUCIONES SOLIDAS"/>
    <s v="SECRETARÍA DE DESARROLLO REGIONAL Y ORDENAMIENTO TERRITORIAL"/>
    <n v="1"/>
    <n v="1"/>
    <m/>
    <m/>
    <n v="2"/>
    <b v="0"/>
    <m/>
    <m/>
    <m/>
    <m/>
    <n v="0"/>
    <m/>
    <m/>
    <m/>
    <m/>
    <m/>
    <s v="NP"/>
    <n v="0"/>
    <m/>
    <m/>
    <m/>
    <n v="0"/>
    <n v="1"/>
    <n v="0"/>
    <m/>
    <m/>
    <m/>
    <n v="0"/>
    <m/>
    <m/>
    <m/>
    <m/>
    <m/>
    <m/>
    <m/>
    <m/>
    <m/>
    <m/>
    <m/>
    <m/>
    <m/>
    <m/>
    <m/>
    <m/>
    <m/>
    <m/>
    <m/>
    <m/>
    <m/>
    <m/>
    <m/>
    <m/>
    <m/>
  </r>
  <r>
    <n v="3"/>
    <s v="GESTIÓN AMBIENTAL Y ORDENAMIENTO TERRITORIAL_x000a_"/>
    <m/>
    <m/>
    <x v="17"/>
    <x v="17"/>
    <m/>
    <m/>
    <x v="52"/>
    <x v="51"/>
    <m/>
    <m/>
    <m/>
    <s v="Cobertura de sistemas de_x000a_monitoreo ambiental_x000a_diseñados e implementados"/>
    <s v="Número de sistemas de monitoreo ambiental diseñados e implementados"/>
    <n v="0"/>
    <n v="1"/>
    <m/>
    <s v="1 sistemas de monitoreo ambiental diseñados e implementados"/>
    <s v="1 sistemas de monitoreo ambiental diseñados e implementados"/>
    <n v="0"/>
    <n v="1"/>
    <s v="Incremento "/>
    <m/>
    <s v="AMBIENTAL"/>
    <s v="A.10"/>
    <s v="16.          VIDA DE ECOSISTEMAS TERRESTRES"/>
    <s v="SECRETARÍA DE DESARROLLO REGIONAL Y ORDENAMIENTO TERRITORIAL"/>
    <m/>
    <m/>
    <m/>
    <m/>
    <n v="0"/>
    <b v="0"/>
    <m/>
    <m/>
    <m/>
    <m/>
    <n v="0"/>
    <m/>
    <m/>
    <m/>
    <m/>
    <m/>
    <s v="NP"/>
    <n v="0"/>
    <m/>
    <m/>
    <m/>
    <n v="0"/>
    <s v="NP"/>
    <m/>
    <m/>
    <m/>
    <m/>
    <s v="NP"/>
    <m/>
    <m/>
    <m/>
    <m/>
    <m/>
    <m/>
    <m/>
    <m/>
    <m/>
    <m/>
    <m/>
    <m/>
    <m/>
    <m/>
    <m/>
    <m/>
    <m/>
    <m/>
    <m/>
    <m/>
    <m/>
    <m/>
    <m/>
    <m/>
    <m/>
  </r>
  <r>
    <n v="3"/>
    <s v="GESTIÓN AMBIENTAL Y ORDENAMIENTO TERRITORIAL_x000a_"/>
    <m/>
    <m/>
    <x v="18"/>
    <x v="18"/>
    <n v="0"/>
    <n v="0"/>
    <x v="53"/>
    <x v="52"/>
    <n v="0"/>
    <n v="0"/>
    <m/>
    <s v="Cobertura en formulación de_x000a_planes de adaptación y/o_x000a_mitigación al cambio climático_x000a_municipales"/>
    <s v="Plan Integral de Gestión al Cambio Climático del departamento de Bolívar formulado."/>
    <n v="0"/>
    <n v="1"/>
    <m/>
    <s v="1 Plan Integral de Gestión al Cambio Climático del departamento de Bolívar formulado."/>
    <s v="1 Plan Integral de Gestión al Cambio Climático del departamento de Bolívar formulado."/>
    <n v="0"/>
    <n v="1"/>
    <s v="Incremento "/>
    <m/>
    <s v="AMBIENTAL"/>
    <s v="A.10"/>
    <s v="13.     ACCION POR EL CLIMA"/>
    <s v="SECRETARÍA DE DESARROLLO REGIONAL Y ORDENAMIENTO TERRITORIAL - SECRETARÍA DE PLANEACIÓN"/>
    <n v="1"/>
    <n v="1"/>
    <m/>
    <m/>
    <n v="2"/>
    <b v="0"/>
    <m/>
    <m/>
    <m/>
    <m/>
    <n v="0"/>
    <m/>
    <m/>
    <m/>
    <m/>
    <m/>
    <s v="NP"/>
    <n v="0"/>
    <m/>
    <m/>
    <m/>
    <n v="0"/>
    <n v="1"/>
    <n v="0"/>
    <m/>
    <m/>
    <m/>
    <n v="0"/>
    <m/>
    <m/>
    <m/>
    <m/>
    <m/>
    <m/>
    <m/>
    <m/>
    <m/>
    <m/>
    <m/>
    <m/>
    <m/>
    <m/>
    <m/>
    <m/>
    <m/>
    <m/>
    <m/>
    <m/>
    <m/>
    <m/>
    <m/>
    <m/>
    <m/>
  </r>
  <r>
    <n v="3"/>
    <s v="GESTIÓN AMBIENTAL Y ORDENAMIENTO TERRITORIAL_x000a_"/>
    <m/>
    <m/>
    <x v="18"/>
    <x v="18"/>
    <m/>
    <m/>
    <x v="53"/>
    <x v="52"/>
    <m/>
    <m/>
    <m/>
    <s v="Número de planes de_x000a_adaptación y/o la mitigación del_x000a_cambio climático municipales_x000a_asistidos"/>
    <s v="Número de planes de adaptación y/o la mitigación del cambio climático municipales asistidos"/>
    <n v="0"/>
    <n v="1"/>
    <m/>
    <s v="45 municipios asistidos en  planes de adaptación y/o la mitigación del cambio climático "/>
    <s v="45 municipios asistidos en  planes de adaptación y/o la mitigación del cambio climático "/>
    <n v="0"/>
    <n v="45"/>
    <s v="Incremento "/>
    <m/>
    <s v="AMBIENTAL"/>
    <s v="A.10"/>
    <s v="13.     ACCION POR EL CLIMA"/>
    <s v="SECRETARÍA DE DESARROLLO REGIONAL Y ORDENAMIENTO TERRITORIAL - SECRETARÍA DE PLANEACIÓN"/>
    <m/>
    <m/>
    <n v="20"/>
    <n v="5"/>
    <n v="25"/>
    <b v="0"/>
    <m/>
    <m/>
    <m/>
    <m/>
    <n v="0"/>
    <m/>
    <m/>
    <m/>
    <m/>
    <m/>
    <s v="NP"/>
    <n v="0"/>
    <m/>
    <m/>
    <m/>
    <n v="0"/>
    <s v="NP"/>
    <m/>
    <m/>
    <m/>
    <m/>
    <s v="NP"/>
    <m/>
    <m/>
    <m/>
    <m/>
    <m/>
    <m/>
    <m/>
    <m/>
    <m/>
    <m/>
    <m/>
    <m/>
    <m/>
    <m/>
    <m/>
    <m/>
    <m/>
    <m/>
    <m/>
    <m/>
    <m/>
    <m/>
    <m/>
    <m/>
    <m/>
  </r>
  <r>
    <n v="3"/>
    <s v="GESTIÓN AMBIENTAL Y ORDENAMIENTO TERRITORIAL_x000a_"/>
    <m/>
    <m/>
    <x v="19"/>
    <x v="19"/>
    <n v="0.70729897360703808"/>
    <n v="0.26500000000000001"/>
    <x v="54"/>
    <x v="53"/>
    <n v="0.15"/>
    <n v="0.13333333333333333"/>
    <m/>
    <s v="Incrementar en un 100% el número de beneficiados con educación y/o capacitación en temas de GRD y ACC:"/>
    <s v="Incrementar en un 100% el número de beneficiados con educación y/o capacitación en temas de GRD y ACC:"/>
    <n v="56"/>
    <n v="1"/>
    <m/>
    <s v="Incrementar el número de beneficiados con educación y/o capacitación en temas de GRD y ACC:"/>
    <s v="Incrementar el número de beneficiados con educación y/o capacitación en temas de GRD y ACC"/>
    <n v="56"/>
    <n v="112"/>
    <s v="Incremento"/>
    <m/>
    <m/>
    <m/>
    <m/>
    <s v="GESTIÓN DE RIESGO"/>
    <m/>
    <n v="30"/>
    <n v="50"/>
    <n v="32"/>
    <n v="112"/>
    <b v="1"/>
    <m/>
    <m/>
    <m/>
    <m/>
    <n v="0"/>
    <m/>
    <m/>
    <m/>
    <m/>
    <m/>
    <s v="NP"/>
    <n v="0"/>
    <m/>
    <m/>
    <m/>
    <n v="0"/>
    <n v="30"/>
    <m/>
    <m/>
    <m/>
    <m/>
    <n v="0"/>
    <m/>
    <m/>
    <m/>
    <m/>
    <m/>
    <m/>
    <m/>
    <m/>
    <m/>
    <m/>
    <m/>
    <m/>
    <m/>
    <m/>
    <m/>
    <m/>
    <m/>
    <m/>
    <m/>
    <m/>
    <m/>
    <m/>
    <m/>
    <m/>
    <m/>
  </r>
  <r>
    <n v="3"/>
    <s v="GESTIÓN AMBIENTAL Y ORDENAMIENTO TERRITORIAL_x000a_"/>
    <m/>
    <m/>
    <x v="19"/>
    <x v="19"/>
    <m/>
    <m/>
    <x v="54"/>
    <x v="53"/>
    <m/>
    <m/>
    <m/>
    <s v="Consolidar y formalizaren un 100% el proyecto normativo de ajuste al Plan Departamental de Gestión del Riesgos de Desastres ante la Asamblea Departamental de Bolívar"/>
    <s v="Consolidar y formalizaren un 100% el proyecto normativo de ajuste al Plan Departamental de Gestión del Riesgos de Desastres ante la Asamblea Departamental de Bolívar"/>
    <n v="0"/>
    <n v="1"/>
    <m/>
    <s v="Consolidar y formalizar proyectos normativos de ajuste al Plan Departamental de Gestión del Riesgos de Desastres ante la Asamblea Departamental de Bolívar"/>
    <s v="Consolidar y formalizar proyectos normativos de ajuste al Plan Departamental de Gestión del Riesgos de Desastres ante la Asamblea Departamental de Bolívar"/>
    <n v="0"/>
    <n v="1"/>
    <s v="Incremento"/>
    <m/>
    <m/>
    <m/>
    <m/>
    <s v="GESTIÓN DE RIESGO"/>
    <m/>
    <n v="0.5"/>
    <n v="0.5"/>
    <m/>
    <n v="1"/>
    <b v="1"/>
    <m/>
    <m/>
    <m/>
    <m/>
    <n v="0"/>
    <m/>
    <m/>
    <m/>
    <m/>
    <m/>
    <s v="NP"/>
    <n v="0.2"/>
    <m/>
    <m/>
    <m/>
    <n v="0.2"/>
    <n v="0.5"/>
    <n v="0.2"/>
    <m/>
    <m/>
    <m/>
    <n v="0.4"/>
    <m/>
    <m/>
    <m/>
    <m/>
    <m/>
    <m/>
    <m/>
    <m/>
    <m/>
    <m/>
    <m/>
    <m/>
    <m/>
    <m/>
    <m/>
    <m/>
    <m/>
    <m/>
    <m/>
    <m/>
    <m/>
    <m/>
    <m/>
    <m/>
    <m/>
  </r>
  <r>
    <n v="3"/>
    <s v="GESTIÓN AMBIENTAL Y ORDENAMIENTO TERRITORIAL_x000a_"/>
    <m/>
    <m/>
    <x v="19"/>
    <x v="19"/>
    <m/>
    <m/>
    <x v="54"/>
    <x v="53"/>
    <m/>
    <m/>
    <m/>
    <s v="Asistir técnicamente al funcionamiento de los Comités municipales de Gestión del Riesgo en un 100%"/>
    <s v="Asistir técnicamente al funcionamiento de los Comités municipales de Gestión del Riesgo en un 100%"/>
    <n v="56"/>
    <n v="100"/>
    <m/>
    <s v="Asistir técnicamente al funcionamiento y reactivación de los Comités Municipales de Gestión del Riesgo"/>
    <s v="Asistir técnicamente al funcionamiento y reactivación de los Comités Municipales de Gestión del Riesgo"/>
    <n v="46"/>
    <n v="46"/>
    <s v="Mantenimiento"/>
    <m/>
    <m/>
    <m/>
    <m/>
    <s v="GESTIÓN DE RIESGO"/>
    <n v="46"/>
    <n v="46"/>
    <n v="46"/>
    <n v="46"/>
    <n v="184"/>
    <b v="0"/>
    <n v="46"/>
    <n v="46"/>
    <n v="46"/>
    <n v="46"/>
    <n v="1"/>
    <n v="46"/>
    <n v="46"/>
    <n v="46"/>
    <m/>
    <n v="46"/>
    <n v="1"/>
    <n v="11.5"/>
    <m/>
    <m/>
    <m/>
    <n v="0.25"/>
    <n v="46"/>
    <m/>
    <m/>
    <m/>
    <m/>
    <n v="0"/>
    <m/>
    <m/>
    <m/>
    <m/>
    <m/>
    <m/>
    <m/>
    <m/>
    <m/>
    <m/>
    <m/>
    <m/>
    <m/>
    <m/>
    <m/>
    <m/>
    <m/>
    <m/>
    <m/>
    <m/>
    <m/>
    <m/>
    <m/>
    <m/>
    <m/>
  </r>
  <r>
    <n v="3"/>
    <s v="GESTIÓN AMBIENTAL Y ORDENAMIENTO TERRITORIAL_x000a_"/>
    <m/>
    <m/>
    <x v="19"/>
    <x v="19"/>
    <m/>
    <m/>
    <x v="55"/>
    <x v="54"/>
    <n v="0.55161290322580647"/>
    <n v="7.4999999999999997E-2"/>
    <m/>
    <s v="Dos sistemas de alertas tempranas instalados estratégicamente."/>
    <s v="Dos sistemas de alertas tempranas instalados estratégicamente."/>
    <n v="0"/>
    <n v="0.02"/>
    <m/>
    <s v="Instalación de un sistema de alertas tempranas instaladas"/>
    <s v="Instalación de un sistema de alertas tempranas instaladas"/>
    <n v="0"/>
    <n v="2"/>
    <s v="Incremento"/>
    <m/>
    <m/>
    <m/>
    <m/>
    <s v="GESTIÓN DE RIESGO"/>
    <n v="2"/>
    <n v="1"/>
    <n v="1"/>
    <m/>
    <n v="4"/>
    <b v="0"/>
    <n v="0"/>
    <n v="0"/>
    <n v="0"/>
    <n v="0"/>
    <n v="0"/>
    <n v="2"/>
    <n v="0"/>
    <n v="0"/>
    <m/>
    <n v="0"/>
    <n v="0"/>
    <n v="0.15"/>
    <m/>
    <m/>
    <m/>
    <n v="7.4999999999999997E-2"/>
    <n v="1"/>
    <n v="0.15"/>
    <m/>
    <m/>
    <m/>
    <n v="0.15"/>
    <m/>
    <m/>
    <m/>
    <m/>
    <m/>
    <m/>
    <m/>
    <m/>
    <m/>
    <m/>
    <m/>
    <m/>
    <m/>
    <m/>
    <m/>
    <m/>
    <m/>
    <m/>
    <m/>
    <m/>
    <m/>
    <m/>
    <m/>
    <m/>
    <m/>
  </r>
  <r>
    <n v="3"/>
    <s v="GESTIÓN AMBIENTAL Y ORDENAMIENTO TERRITORIAL_x000a_"/>
    <m/>
    <m/>
    <x v="19"/>
    <x v="19"/>
    <m/>
    <m/>
    <x v="55"/>
    <x v="54"/>
    <m/>
    <m/>
    <m/>
    <s v="Incrementar el porcentaje anual de recursos ICLD destinados al FDGRD en un 6% con respecto al 2019."/>
    <s v="Incrementar el porcentaje anual de recursos ICLD destinados al FDGRD en un 6% con respecto al 2019."/>
    <n v="1.8E-3"/>
    <n v="2.3999999999999998E-3"/>
    <m/>
    <s v="Incrementar el porcentaje anual de recursos ICLD destinados_x000a_al FDGRD"/>
    <s v="Incrementar el porcentaje anual de recursos ICLD destinados_x000a_al FDGRD"/>
    <n v="1.8E-3"/>
    <n v="2.3999999999999998E-3"/>
    <s v="Incremento"/>
    <m/>
    <m/>
    <m/>
    <m/>
    <s v="GESTIÓN DE RIESGO"/>
    <n v="0.18"/>
    <n v="0.2"/>
    <n v="0.28000000000000003"/>
    <n v="0.24"/>
    <n v="0.9"/>
    <b v="0"/>
    <n v="1.8E-3"/>
    <n v="1.8E-3"/>
    <n v="1.8E-3"/>
    <n v="1.8E-3"/>
    <n v="0.75"/>
    <n v="1.8E-3"/>
    <n v="1.8E-3"/>
    <n v="1.8E-3"/>
    <n v="1.8E-3"/>
    <n v="1.8E-3"/>
    <n v="1"/>
    <n v="1.8E-3"/>
    <m/>
    <m/>
    <m/>
    <n v="0.75"/>
    <n v="0.2"/>
    <m/>
    <m/>
    <m/>
    <m/>
    <n v="0"/>
    <m/>
    <m/>
    <m/>
    <m/>
    <m/>
    <m/>
    <m/>
    <m/>
    <m/>
    <m/>
    <m/>
    <m/>
    <m/>
    <m/>
    <m/>
    <m/>
    <m/>
    <m/>
    <m/>
    <m/>
    <m/>
    <m/>
    <m/>
    <m/>
    <m/>
  </r>
  <r>
    <n v="3"/>
    <s v="GESTIÓN AMBIENTAL Y ORDENAMIENTO TERRITORIAL_x000a_"/>
    <m/>
    <m/>
    <x v="19"/>
    <x v="19"/>
    <m/>
    <m/>
    <x v="55"/>
    <x v="54"/>
    <m/>
    <m/>
    <m/>
    <s v="Incrementar la inversión en programas de GRD por número de habitantes por año en un 6% con_x000a_respecto al año 2019."/>
    <s v="Incrementar la inversión en programas de GRD por número de habitantes por año en un 6% con respecto al año 2019."/>
    <n v="102900"/>
    <n v="0.06"/>
    <m/>
    <s v="Incrementar la inversión en programas de GRD por número de habitantes por año "/>
    <s v="Incrementar la inversión en programas de GRD por número de habitantes por año "/>
    <n v="102900"/>
    <n v="124000"/>
    <s v="Incremento"/>
    <m/>
    <m/>
    <m/>
    <m/>
    <s v="GESTIÓN DE RIESGO"/>
    <n v="102900"/>
    <m/>
    <n v="50000"/>
    <n v="50000"/>
    <n v="202900"/>
    <b v="0"/>
    <n v="102900"/>
    <n v="102900"/>
    <n v="102900"/>
    <n v="102900"/>
    <n v="0.82983870967741935"/>
    <n v="102900"/>
    <n v="102900"/>
    <n v="102900"/>
    <m/>
    <n v="102900"/>
    <n v="1"/>
    <n v="102900"/>
    <m/>
    <m/>
    <m/>
    <n v="0.82983870967741935"/>
    <s v="NP"/>
    <m/>
    <m/>
    <m/>
    <m/>
    <s v="NP"/>
    <m/>
    <m/>
    <m/>
    <m/>
    <m/>
    <m/>
    <m/>
    <m/>
    <m/>
    <m/>
    <m/>
    <m/>
    <m/>
    <m/>
    <m/>
    <m/>
    <m/>
    <m/>
    <m/>
    <m/>
    <m/>
    <m/>
    <m/>
    <m/>
    <m/>
  </r>
  <r>
    <n v="3"/>
    <s v="GESTIÓN AMBIENTAL Y ORDENAMIENTO TERRITORIAL_x000a_"/>
    <m/>
    <m/>
    <x v="19"/>
    <x v="19"/>
    <m/>
    <m/>
    <x v="56"/>
    <x v="55"/>
    <n v="1.1350899999999999"/>
    <n v="0.42000000000000004"/>
    <m/>
    <s v="Disminución del % en el número de habitantes afectados por situaciones de riesgo y desastres "/>
    <s v="Disminución del % en el número de habitantes afectados por situaciones de riesgo y desastres "/>
    <n v="1"/>
    <n v="0.8155"/>
    <m/>
    <s v="Disminución del número de habitantes afectados por situaciones de riesgo y desastres"/>
    <s v="Disminución del número de habitantes afectados por situaciones de riesgo y desastres"/>
    <n v="147150"/>
    <n v="120000"/>
    <s v="Incremento"/>
    <m/>
    <m/>
    <m/>
    <m/>
    <s v="GESTIÓN DE RIESGO"/>
    <n v="147150"/>
    <n v="30000"/>
    <n v="30000"/>
    <n v="30000"/>
    <n v="237150"/>
    <b v="0"/>
    <n v="127150"/>
    <n v="147150"/>
    <n v="147150"/>
    <n v="147150"/>
    <n v="1"/>
    <n v="147150"/>
    <n v="127150"/>
    <n v="147150"/>
    <m/>
    <n v="147150"/>
    <n v="1"/>
    <n v="242654"/>
    <m/>
    <m/>
    <m/>
    <n v="2.0221166666666668"/>
    <n v="30000"/>
    <n v="95504"/>
    <m/>
    <m/>
    <m/>
    <n v="1"/>
    <m/>
    <m/>
    <m/>
    <m/>
    <m/>
    <m/>
    <m/>
    <m/>
    <m/>
    <m/>
    <m/>
    <m/>
    <m/>
    <m/>
    <m/>
    <m/>
    <m/>
    <m/>
    <m/>
    <m/>
    <m/>
    <m/>
    <m/>
    <m/>
    <m/>
  </r>
  <r>
    <n v="3"/>
    <s v="GESTIÓN AMBIENTAL Y ORDENAMIENTO TERRITORIAL_x000a_"/>
    <m/>
    <m/>
    <x v="19"/>
    <x v="19"/>
    <m/>
    <m/>
    <x v="56"/>
    <x v="55"/>
    <m/>
    <m/>
    <m/>
    <s v="Aumento en el % de eventos ocurridos y atendidos por situaciones de riesgos y desastres"/>
    <s v="Aumento en el % de eventos ocurridos y atendidos por situaciones de riesgos y desastres"/>
    <n v="0.85"/>
    <n v="1"/>
    <m/>
    <s v="Disminución del número_x000a_de eventos presentados y no atendidos por_x000a_situaciones de riesgos y_x000a_desastres"/>
    <s v="Disminución del número_x000a_de eventos atendidos por_x000a_situaciones de riesgos y_x000a_desastres"/>
    <n v="50"/>
    <n v="30"/>
    <s v="Incremento"/>
    <m/>
    <m/>
    <m/>
    <m/>
    <s v="GESTIÓN DE RIESGO"/>
    <n v="50"/>
    <n v="20"/>
    <n v="20"/>
    <n v="20"/>
    <n v="110"/>
    <b v="0"/>
    <n v="90"/>
    <n v="97"/>
    <n v="97"/>
    <n v="97"/>
    <n v="1"/>
    <n v="50"/>
    <n v="90"/>
    <n v="97"/>
    <m/>
    <n v="97"/>
    <n v="1"/>
    <n v="99"/>
    <m/>
    <m/>
    <m/>
    <n v="3.3"/>
    <n v="20"/>
    <n v="2"/>
    <m/>
    <m/>
    <m/>
    <n v="0.1"/>
    <m/>
    <m/>
    <m/>
    <m/>
    <m/>
    <m/>
    <m/>
    <m/>
    <m/>
    <m/>
    <m/>
    <m/>
    <m/>
    <m/>
    <m/>
    <m/>
    <m/>
    <m/>
    <m/>
    <m/>
    <m/>
    <m/>
    <m/>
    <m/>
    <m/>
  </r>
  <r>
    <n v="3"/>
    <s v="GESTIÓN AMBIENTAL Y ORDENAMIENTO TERRITORIAL_x000a_"/>
    <m/>
    <m/>
    <x v="19"/>
    <x v="19"/>
    <m/>
    <m/>
    <x v="56"/>
    <x v="55"/>
    <m/>
    <m/>
    <m/>
    <m/>
    <s v="Mantenimiento en el % del número de personas fallecidas y/o desaparecidas en situaciones de riesgo "/>
    <n v="50"/>
    <n v="25"/>
    <m/>
    <s v="Disminución del número de fallecidos anualmente por situaciones de riesgos _x000a_de eventos atendidos por_x000a_situaciones de riesgos y_x000a_desastres"/>
    <s v="Disminución del número de fallecidos anualmente por situaciones de riesgos _x000a_de eventos atendidos por_x000a_situaciones de riesgos y_x000a_desastres"/>
    <n v="50"/>
    <n v="25"/>
    <s v="Incremento"/>
    <m/>
    <m/>
    <m/>
    <m/>
    <s v="GESTIÓN DE RIESGO"/>
    <n v="7"/>
    <n v="6"/>
    <n v="6"/>
    <n v="6"/>
    <n v="25"/>
    <b v="1"/>
    <m/>
    <m/>
    <m/>
    <m/>
    <m/>
    <m/>
    <m/>
    <m/>
    <m/>
    <m/>
    <m/>
    <n v="0"/>
    <m/>
    <m/>
    <m/>
    <n v="0"/>
    <n v="6"/>
    <m/>
    <m/>
    <m/>
    <m/>
    <n v="0"/>
    <m/>
    <m/>
    <m/>
    <m/>
    <m/>
    <m/>
    <m/>
    <m/>
    <m/>
    <m/>
    <m/>
    <m/>
    <m/>
    <m/>
    <m/>
    <m/>
    <m/>
    <m/>
    <m/>
    <m/>
    <m/>
    <m/>
    <m/>
    <m/>
    <m/>
  </r>
  <r>
    <n v="3"/>
    <s v="GESTIÓN AMBIENTAL Y ORDENAMIENTO TERRITORIAL_x000a_"/>
    <m/>
    <m/>
    <x v="19"/>
    <x v="19"/>
    <m/>
    <m/>
    <x v="56"/>
    <x v="55"/>
    <m/>
    <m/>
    <m/>
    <s v="Disminución en el % del número de viviendas destruidas por situaciones de riesgo y desastres "/>
    <s v="Disminución en el % del número de viviendas destruidas por situaciones de riesgo y desastres "/>
    <n v="1"/>
    <n v="0.65900000000000003"/>
    <m/>
    <s v="Disminución del número_x000a_de viviendas destruidas_x000a_por situaciones de riesgo y_x000a_desastres."/>
    <s v="Disminución del número_x000a_de viviendas destruidas_x000a_por situaciones de riesgo y_x000a_desastres."/>
    <n v="800"/>
    <n v="300"/>
    <s v="Incremento"/>
    <m/>
    <m/>
    <m/>
    <m/>
    <s v="GESTIÓN DE RIESGO"/>
    <m/>
    <n v="100"/>
    <n v="100"/>
    <n v="100"/>
    <n v="300"/>
    <b v="1"/>
    <m/>
    <m/>
    <m/>
    <m/>
    <n v="0"/>
    <m/>
    <m/>
    <m/>
    <m/>
    <m/>
    <s v="NP"/>
    <n v="106"/>
    <m/>
    <m/>
    <m/>
    <n v="0.35333333333333333"/>
    <n v="100"/>
    <n v="106"/>
    <m/>
    <m/>
    <m/>
    <n v="1"/>
    <m/>
    <m/>
    <m/>
    <m/>
    <m/>
    <m/>
    <m/>
    <m/>
    <m/>
    <m/>
    <m/>
    <m/>
    <m/>
    <m/>
    <m/>
    <m/>
    <m/>
    <m/>
    <m/>
    <m/>
    <m/>
    <m/>
    <m/>
    <m/>
    <m/>
  </r>
  <r>
    <n v="3"/>
    <s v="GESTIÓN AMBIENTAL Y ORDENAMIENTO TERRITORIAL_x000a_"/>
    <m/>
    <m/>
    <x v="19"/>
    <x v="19"/>
    <m/>
    <m/>
    <x v="56"/>
    <x v="55"/>
    <m/>
    <m/>
    <m/>
    <s v="Aumento del % en el número de familias reasentadas por situaciones de riesgo y_x000a_presentación de desastres:"/>
    <s v="Aumento del % en el número de familias reasentadas por situaciones de riesgo y_x000a_presentación de desastres:"/>
    <n v="0.1"/>
    <n v="0.5"/>
    <m/>
    <s v="Disminución del número_x000a_de familias reasentadas_x000a_por situaciones de riesgo y_x000a_presentación de desastres:"/>
    <s v="Disminución del número_x000a_de familias reasentadas_x000a_por situaciones de riesgo y_x000a_presentación de desastres:"/>
    <n v="0"/>
    <n v="1000"/>
    <s v="Incremento"/>
    <m/>
    <m/>
    <m/>
    <m/>
    <s v="GESTIÓN DE RIESGO"/>
    <m/>
    <n v="200"/>
    <n v="400"/>
    <n v="400"/>
    <n v="1000"/>
    <b v="1"/>
    <m/>
    <m/>
    <m/>
    <m/>
    <n v="0"/>
    <m/>
    <m/>
    <m/>
    <m/>
    <m/>
    <s v="NP"/>
    <n v="0"/>
    <m/>
    <m/>
    <m/>
    <n v="0"/>
    <n v="200"/>
    <m/>
    <m/>
    <m/>
    <m/>
    <n v="0"/>
    <m/>
    <m/>
    <m/>
    <m/>
    <m/>
    <m/>
    <m/>
    <m/>
    <m/>
    <m/>
    <m/>
    <m/>
    <m/>
    <m/>
    <m/>
    <m/>
    <m/>
    <m/>
    <m/>
    <m/>
    <m/>
    <m/>
    <m/>
    <m/>
    <m/>
  </r>
  <r>
    <n v="4"/>
    <s v="BOLÍVAR PRIMERO EN FORTALECIMIENTO INSTITUCIONAL Y SEGURIDAD EFECTIVA PARA TODOS"/>
    <n v="0.35962502005446145"/>
    <n v="0.16124820788530467"/>
    <x v="20"/>
    <x v="20"/>
    <n v="3.9583333333333331E-2"/>
    <n v="0.05"/>
    <x v="57"/>
    <x v="56"/>
    <n v="3.9583333333333331E-2"/>
    <n v="0.05"/>
    <m/>
    <s v="Percepción positiva de la seguridad y la convivencia en el departamento de Bolívar"/>
    <s v="Percepción positiva de la seguridad y la convivencia en el departamento de Bolívar"/>
    <n v="0"/>
    <n v="50"/>
    <m/>
    <s v="Plan Integral de Seguridad y Convivencia Departamental formulado e implementado (con seguimiento)"/>
    <s v="porcentaje"/>
    <n v="100"/>
    <n v="100"/>
    <s v="Mantenimiento"/>
    <s v="Gobierno territorial"/>
    <n v="45"/>
    <n v="16"/>
    <m/>
    <s v="SECRETARÍA DEL INTERIOR"/>
    <n v="5"/>
    <n v="25"/>
    <n v="45"/>
    <n v="25"/>
    <n v="100"/>
    <b v="1"/>
    <n v="0"/>
    <n v="5"/>
    <n v="25"/>
    <n v="25"/>
    <n v="0.25"/>
    <n v="5"/>
    <n v="0"/>
    <n v="5"/>
    <m/>
    <n v="5"/>
    <n v="1"/>
    <n v="7.5"/>
    <m/>
    <m/>
    <m/>
    <n v="7.4999999999999997E-2"/>
    <n v="25"/>
    <n v="5"/>
    <m/>
    <m/>
    <m/>
    <n v="0.2"/>
    <m/>
    <m/>
    <m/>
    <m/>
    <m/>
    <m/>
    <m/>
    <m/>
    <m/>
    <m/>
    <m/>
    <m/>
    <m/>
    <m/>
    <m/>
    <m/>
    <m/>
    <m/>
    <m/>
    <m/>
    <m/>
    <m/>
    <m/>
    <m/>
    <m/>
  </r>
  <r>
    <n v="4"/>
    <s v="BOLÍVAR PRIMERO EN FORTALECIMIENTO INSTITUCIONAL Y SEGURIDAD EFECTIVA PARA TODOS"/>
    <m/>
    <m/>
    <x v="20"/>
    <x v="20"/>
    <m/>
    <m/>
    <x v="57"/>
    <x v="56"/>
    <m/>
    <m/>
    <m/>
    <s v="Percepción positiva de la seguridad y la convivencia en el departamento de Bolívar"/>
    <s v="Percepción positiva de la seguridad y la convivencia en el departamento de Bolívar"/>
    <n v="0"/>
    <n v="50"/>
    <m/>
    <s v="Sistemas de tecnologías de apoyo a la seguridad y convivencia funcionando en Bolívar"/>
    <s v="porcentaje"/>
    <n v="2"/>
    <n v="6"/>
    <s v="Mantenimiento"/>
    <s v="Gobierno territorial"/>
    <n v="45"/>
    <n v="16"/>
    <m/>
    <s v="SECRETARÍA DEL INTERIOR"/>
    <m/>
    <n v="1"/>
    <n v="2"/>
    <n v="3"/>
    <n v="6"/>
    <b v="1"/>
    <m/>
    <m/>
    <m/>
    <m/>
    <n v="0"/>
    <m/>
    <m/>
    <m/>
    <m/>
    <m/>
    <s v="NP"/>
    <n v="0"/>
    <m/>
    <m/>
    <m/>
    <n v="0"/>
    <n v="1"/>
    <n v="0"/>
    <m/>
    <m/>
    <m/>
    <n v="0"/>
    <m/>
    <m/>
    <m/>
    <m/>
    <m/>
    <m/>
    <m/>
    <m/>
    <m/>
    <m/>
    <m/>
    <m/>
    <m/>
    <m/>
    <m/>
    <m/>
    <m/>
    <m/>
    <m/>
    <m/>
    <m/>
    <m/>
    <m/>
    <m/>
    <m/>
  </r>
  <r>
    <n v="4"/>
    <s v="BOLÍVAR PRIMERO EN FORTALECIMIENTO INSTITUCIONAL Y SEGURIDAD EFECTIVA PARA TODOS"/>
    <m/>
    <m/>
    <x v="20"/>
    <x v="20"/>
    <m/>
    <m/>
    <x v="57"/>
    <x v="56"/>
    <m/>
    <m/>
    <m/>
    <s v="Percepción positiva de la seguridad y la convivencia en el departamento de Bolívar"/>
    <s v="Percepción positiva de la seguridad y la convivencia en el departamento de Bolívar"/>
    <n v="0"/>
    <n v="50"/>
    <m/>
    <s v="Municipios Impactados por fortalecimiento de la movilidad de la fuerza pública o instituciones de seguridad"/>
    <s v="porcentaje"/>
    <n v="100"/>
    <n v="100"/>
    <s v="Mantenimiento"/>
    <s v="Gobierno territorial"/>
    <n v="45"/>
    <n v="16"/>
    <m/>
    <s v="SECRETARÍA DEL INTERIOR"/>
    <m/>
    <n v="20"/>
    <n v="15"/>
    <n v="10"/>
    <n v="45"/>
    <b v="0"/>
    <m/>
    <m/>
    <m/>
    <m/>
    <n v="0"/>
    <m/>
    <m/>
    <m/>
    <m/>
    <m/>
    <s v="NP"/>
    <n v="0"/>
    <m/>
    <m/>
    <m/>
    <n v="0"/>
    <n v="20"/>
    <n v="0"/>
    <m/>
    <m/>
    <m/>
    <n v="0"/>
    <m/>
    <m/>
    <m/>
    <m/>
    <m/>
    <m/>
    <m/>
    <m/>
    <m/>
    <m/>
    <m/>
    <m/>
    <m/>
    <m/>
    <m/>
    <m/>
    <m/>
    <m/>
    <m/>
    <m/>
    <m/>
    <m/>
    <m/>
    <m/>
    <m/>
  </r>
  <r>
    <n v="4"/>
    <s v="BOLÍVAR PRIMERO EN FORTALECIMIENTO INSTITUCIONAL Y SEGURIDAD EFECTIVA PARA TODOS"/>
    <m/>
    <m/>
    <x v="20"/>
    <x v="20"/>
    <m/>
    <m/>
    <x v="57"/>
    <x v="56"/>
    <m/>
    <m/>
    <m/>
    <s v="Percepción positiva de la seguridad y la convivencia en el departamento de Bolívar"/>
    <s v="Percepción positiva de la seguridad y la convivencia en el departamento de Bolívar"/>
    <n v="0"/>
    <n v="50"/>
    <m/>
    <s v="Unidades operativas de la fuerza pública o instituciones de seguridad fortalecidas en su capacidad operativa técnica para mejorar la seguridad, orden público y convivencia"/>
    <s v="Unidades operativas de la fuerza pública o instituciones de seguridad fortalecidas en su capacidad operativa técnica para mejorar la seguridad, orden público y convivencia"/>
    <n v="8"/>
    <n v="12"/>
    <s v="Mantenimiento"/>
    <s v="Gobierno territorial"/>
    <n v="45"/>
    <n v="16"/>
    <m/>
    <s v="SECRETARÍA DEL INTERIOR"/>
    <n v="4"/>
    <n v="6"/>
    <n v="3"/>
    <n v="6"/>
    <n v="19"/>
    <b v="0"/>
    <n v="0.16"/>
    <n v="4"/>
    <n v="4"/>
    <n v="4"/>
    <n v="0.33333333333333331"/>
    <n v="4"/>
    <n v="4"/>
    <n v="4"/>
    <m/>
    <n v="4"/>
    <n v="1"/>
    <n v="1"/>
    <m/>
    <m/>
    <m/>
    <n v="8.3333333333333329E-2"/>
    <n v="6"/>
    <n v="0"/>
    <m/>
    <m/>
    <m/>
    <n v="0"/>
    <m/>
    <m/>
    <m/>
    <m/>
    <m/>
    <m/>
    <m/>
    <m/>
    <m/>
    <m/>
    <m/>
    <m/>
    <m/>
    <m/>
    <m/>
    <m/>
    <m/>
    <m/>
    <m/>
    <m/>
    <m/>
    <m/>
    <m/>
    <m/>
    <m/>
  </r>
  <r>
    <n v="4"/>
    <s v="BOLÍVAR PRIMERO EN FORTALECIMIENTO INSTITUCIONAL Y SEGURIDAD EFECTIVA PARA TODOS"/>
    <m/>
    <m/>
    <x v="21"/>
    <x v="21"/>
    <n v="0.3392857142857143"/>
    <n v="0.51904761904761909"/>
    <x v="58"/>
    <x v="57"/>
    <n v="0.3392857142857143"/>
    <n v="0.51904761904761909"/>
    <m/>
    <s v="Líderes y lideresas con criterio positivo sobre la existencia de garantías para el ejercicio de su labor"/>
    <s v="Líderes y lideresas con criterio positivo sobre la existencia de garantías para el ejercicio de su labor"/>
    <n v="0"/>
    <n v="50"/>
    <m/>
    <s v="Plan Integral de Protección y seguridad de líderes y lideresas formulado e implementado (con seguimiento) "/>
    <s v="Porcentaje"/>
    <n v="0"/>
    <n v="80"/>
    <s v="Incremento"/>
    <s v="Gobierno territorial"/>
    <n v="45"/>
    <n v="16"/>
    <m/>
    <s v="SECRETARÍA DEL INTERIOR"/>
    <n v="5"/>
    <n v="15"/>
    <n v="45"/>
    <n v="25"/>
    <n v="90"/>
    <b v="0"/>
    <n v="0"/>
    <n v="5"/>
    <n v="5"/>
    <n v="5"/>
    <n v="6.25E-2"/>
    <n v="5"/>
    <n v="0"/>
    <n v="5"/>
    <m/>
    <n v="5"/>
    <n v="1"/>
    <n v="10"/>
    <m/>
    <m/>
    <m/>
    <n v="0.125"/>
    <n v="15"/>
    <n v="5"/>
    <m/>
    <m/>
    <m/>
    <n v="0.33333333333333331"/>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Política Publica de Derechos Humanos Departamental de Bolívar formulada e implementada (con seguimiento)"/>
    <s v="porcentaje"/>
    <n v="0"/>
    <n v="50"/>
    <s v="Incremento"/>
    <s v="Gobierno territorial"/>
    <n v="45"/>
    <n v="16"/>
    <m/>
    <s v="SECRETARÍA DEL INTERIOR"/>
    <n v="10"/>
    <n v="15"/>
    <n v="15"/>
    <n v="10"/>
    <n v="50"/>
    <b v="1"/>
    <n v="0"/>
    <n v="5"/>
    <n v="5"/>
    <n v="5"/>
    <n v="0.1"/>
    <n v="10"/>
    <n v="0"/>
    <n v="5"/>
    <m/>
    <n v="5"/>
    <n v="0.5"/>
    <n v="5"/>
    <m/>
    <m/>
    <m/>
    <n v="0.1"/>
    <n v="15"/>
    <n v="0"/>
    <m/>
    <m/>
    <m/>
    <n v="0"/>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Organizaciones sociales participantes en la implementación de un programa departamental integral de fomento y socialización de Cultura de Derechos Humanos."/>
    <s v="Organizaciones sociales participantes en la implementación de un programa departamental integral de fomento y socialización de Cultura de Derechos Humanos."/>
    <n v="0"/>
    <n v="200"/>
    <s v="Incremento"/>
    <s v="Gobierno territorial"/>
    <n v="45"/>
    <n v="16"/>
    <m/>
    <s v="SECRETARÍA DEL INTERIOR"/>
    <n v="5"/>
    <n v="80"/>
    <n v="65"/>
    <n v="50"/>
    <n v="200"/>
    <b v="1"/>
    <n v="2.5000000000000001E-2"/>
    <n v="4"/>
    <n v="20"/>
    <n v="20"/>
    <n v="0.1"/>
    <n v="5"/>
    <n v="0"/>
    <n v="4"/>
    <m/>
    <n v="20"/>
    <n v="1"/>
    <n v="20"/>
    <m/>
    <m/>
    <m/>
    <n v="0.1"/>
    <n v="80"/>
    <n v="0"/>
    <m/>
    <m/>
    <m/>
    <n v="0"/>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Municipios implementando acciones para el cumplimiento de los planes de acción de respuesta a las alertas tempranas e informes de riesgos en Bolívar"/>
    <s v="porcentaje"/>
    <n v="0"/>
    <n v="100"/>
    <s v="Incremento"/>
    <s v="Gobierno territorial"/>
    <n v="45"/>
    <n v="16"/>
    <m/>
    <s v="SECRETARÍA DEL INTERIOR"/>
    <n v="25"/>
    <n v="100"/>
    <n v="25"/>
    <n v="25"/>
    <n v="175"/>
    <b v="0"/>
    <n v="0.1"/>
    <n v="15"/>
    <n v="25"/>
    <n v="25"/>
    <n v="0.25"/>
    <n v="25"/>
    <n v="10"/>
    <n v="15"/>
    <m/>
    <n v="25"/>
    <n v="1"/>
    <n v="55"/>
    <m/>
    <m/>
    <m/>
    <n v="0.55000000000000004"/>
    <n v="100"/>
    <n v="30"/>
    <m/>
    <m/>
    <m/>
    <n v="0.3"/>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n v="1"/>
    <n v="4"/>
    <s v="Incremento"/>
    <s v="Gobierno territorial"/>
    <n v="45"/>
    <n v="16"/>
    <m/>
    <s v="SECRETARÍA DEL INTERIOR"/>
    <n v="1"/>
    <n v="1"/>
    <n v="1"/>
    <n v="1"/>
    <n v="4"/>
    <b v="1"/>
    <n v="0.25"/>
    <n v="1"/>
    <n v="1"/>
    <n v="1"/>
    <n v="0.25"/>
    <n v="1"/>
    <n v="1"/>
    <n v="1"/>
    <m/>
    <n v="1"/>
    <n v="1"/>
    <n v="2"/>
    <m/>
    <m/>
    <m/>
    <n v="0.5"/>
    <n v="1"/>
    <n v="1"/>
    <m/>
    <m/>
    <m/>
    <n v="1"/>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ublica de Acción Integral contra Minas Antipersonas (AICMA) en el Departamento de Bolivar"/>
    <s v="Número de acciones institucionales de acompañamiento a la implementación de la Política Publica de Acción Integral contra Minas Antipersonas (AICMA) en el Departamento de Bolivar"/>
    <n v="1"/>
    <n v="4"/>
    <s v="Incremento"/>
    <s v="Gobierno territorial"/>
    <n v="45"/>
    <n v="16"/>
    <m/>
    <s v="SECRETARÍA DEL INTERIOR"/>
    <n v="1"/>
    <n v="1"/>
    <n v="1"/>
    <n v="1"/>
    <n v="4"/>
    <b v="1"/>
    <n v="0.25"/>
    <n v="1"/>
    <n v="1"/>
    <n v="1"/>
    <n v="0.25"/>
    <n v="1"/>
    <n v="1"/>
    <n v="1"/>
    <m/>
    <n v="1"/>
    <n v="1"/>
    <n v="2"/>
    <m/>
    <m/>
    <m/>
    <n v="0.5"/>
    <n v="1"/>
    <n v="1"/>
    <m/>
    <m/>
    <m/>
    <n v="1"/>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Estrategia Nacional para lucha contra la trata de personas en el Departamento de Bolívar"/>
    <s v="Número de acciones institucionales de acompañamiento a la implementación de la Estrategia Nacional para lucha contra la trata de personas en el Departamento de Bolívar"/>
    <n v="1"/>
    <n v="4"/>
    <s v="Incremento"/>
    <s v="Gobierno territorial"/>
    <n v="45"/>
    <n v="16"/>
    <m/>
    <s v="SECRETARÍA DEL INTERIOR"/>
    <n v="1"/>
    <n v="1"/>
    <n v="1"/>
    <n v="1"/>
    <n v="4"/>
    <b v="1"/>
    <n v="0.25"/>
    <n v="1"/>
    <n v="1"/>
    <n v="1"/>
    <n v="0.25"/>
    <n v="1"/>
    <n v="1"/>
    <n v="1"/>
    <m/>
    <n v="1"/>
    <n v="1"/>
    <n v="2"/>
    <m/>
    <m/>
    <m/>
    <n v="0.5"/>
    <n v="1"/>
    <n v="1"/>
    <m/>
    <m/>
    <m/>
    <n v="1"/>
    <m/>
    <m/>
    <m/>
    <m/>
    <m/>
    <m/>
    <m/>
    <m/>
    <m/>
    <m/>
    <m/>
    <m/>
    <m/>
    <m/>
    <m/>
    <m/>
    <m/>
    <m/>
    <m/>
    <m/>
    <m/>
    <m/>
    <m/>
    <m/>
    <m/>
  </r>
  <r>
    <n v="4"/>
    <s v="BOLÍVAR PRIMERO EN FORTALECIMIENTO INSTITUCIONAL Y SEGURIDAD EFECTIVA PARA TODOS"/>
    <m/>
    <m/>
    <x v="22"/>
    <x v="22"/>
    <n v="0.32881562881562876"/>
    <n v="0.31296296296296294"/>
    <x v="59"/>
    <x v="58"/>
    <n v="0.39196428571428565"/>
    <n v="0.33333333333333331"/>
    <m/>
    <s v="Sistema de Información geográfica de Bolívar SIGBOL Actualizado"/>
    <s v="Sistema de Información geográfica de Bolívar SIGBOL Actualizado"/>
    <n v="0.3"/>
    <n v="1"/>
    <m/>
    <s v="No. De municipios Implementando SIGBOL "/>
    <s v="No. De municipios Implementando SIGBOL "/>
    <n v="0"/>
    <n v="7"/>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n v="2"/>
    <n v="3"/>
    <n v="1"/>
    <n v="7"/>
    <b v="1"/>
    <n v="0.5"/>
    <n v="0.5"/>
    <n v="1"/>
    <n v="1"/>
    <n v="0.14285714285714285"/>
    <n v="1"/>
    <n v="0.5"/>
    <n v="0.5"/>
    <m/>
    <n v="1"/>
    <n v="1"/>
    <n v="1"/>
    <m/>
    <m/>
    <m/>
    <n v="0.14285714285714285"/>
    <n v="2"/>
    <n v="0"/>
    <m/>
    <m/>
    <m/>
    <n v="0"/>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Implementación de software para seguimiento y evaluación de plan de desarrollo y políticas publicas"/>
    <s v="Implementación de software para seguimiento y evaluación de plan de desarrollo y políticas publicas"/>
    <n v="0"/>
    <n v="1"/>
    <s v="Incremento"/>
    <m/>
    <n v="1"/>
    <n v="0"/>
    <n v="0"/>
    <s v="SECRETARÍA DE PLANEACIÓN"/>
    <n v="1"/>
    <n v="1"/>
    <m/>
    <m/>
    <n v="2"/>
    <b v="0"/>
    <n v="0"/>
    <n v="0"/>
    <n v="0"/>
    <n v="0"/>
    <n v="0"/>
    <n v="1"/>
    <n v="0"/>
    <n v="0"/>
    <m/>
    <n v="0"/>
    <n v="0"/>
    <n v="0"/>
    <m/>
    <m/>
    <m/>
    <n v="0"/>
    <n v="1"/>
    <m/>
    <m/>
    <m/>
    <m/>
    <n v="0"/>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No de municipios apoyados técnicamente para la evaluación de plan de desarrollo y construcción de sistema de seguimiento"/>
    <s v="No de municipios apoyados técnicamente para la evaluación de plan de desarrollo y construcción de sistema de seguimiento"/>
    <n v="0"/>
    <n v="1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2"/>
    <n v="3"/>
    <n v="5"/>
    <n v="0"/>
    <n v="10"/>
    <b v="1"/>
    <n v="1"/>
    <n v="2"/>
    <n v="2"/>
    <n v="2"/>
    <n v="0.2"/>
    <n v="2"/>
    <n v="1"/>
    <n v="2"/>
    <m/>
    <n v="2"/>
    <n v="1"/>
    <n v="3"/>
    <m/>
    <m/>
    <m/>
    <n v="0.3"/>
    <n v="3"/>
    <n v="1"/>
    <m/>
    <m/>
    <m/>
    <n v="0.33333333333333331"/>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Construcción de 1 Batería de indicadores Departamental"/>
    <s v="Construcción de 1 Batería de indicadores Departamental"/>
    <n v="0"/>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m/>
    <m/>
    <m/>
    <n v="1"/>
    <b v="1"/>
    <n v="0.4"/>
    <n v="0.8"/>
    <n v="1"/>
    <n v="1"/>
    <n v="1"/>
    <n v="1"/>
    <n v="0.4"/>
    <n v="0.8"/>
    <m/>
    <n v="1"/>
    <n v="1"/>
    <n v="1"/>
    <m/>
    <m/>
    <m/>
    <n v="1"/>
    <s v="NP"/>
    <m/>
    <m/>
    <m/>
    <m/>
    <s v="NP"/>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Apoyo a la creación de 7 subsistemas de planeación"/>
    <s v="Apoyo a la creación de 7 subsistemas de planeación"/>
    <n v="0"/>
    <n v="7"/>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n v="2"/>
    <n v="3"/>
    <n v="1"/>
    <n v="7"/>
    <b v="1"/>
    <n v="0.5"/>
    <n v="0.8"/>
    <n v="1"/>
    <n v="1"/>
    <n v="0.14285714285714285"/>
    <n v="1"/>
    <n v="0.5"/>
    <n v="0.8"/>
    <m/>
    <n v="1"/>
    <n v="1"/>
    <n v="1"/>
    <m/>
    <m/>
    <m/>
    <n v="0.14285714285714285"/>
    <n v="2"/>
    <m/>
    <m/>
    <m/>
    <m/>
    <n v="0"/>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Realizar 1convenio para fortalecer las capacidades y apoyo logísticos atinentes a sus actividades del Consejo Territorial de Planeación"/>
    <s v="Realizar 1convenio para fortalecer las capacidades y apoyo logísticos atinentes a sus actividades del Consejo Territorial de Planeación"/>
    <s v="ND"/>
    <n v="1"/>
    <s v="Incremento"/>
    <m/>
    <n v="0"/>
    <m/>
    <m/>
    <s v="SECRETARÍA DE PLANEACIÓN"/>
    <m/>
    <n v="1"/>
    <m/>
    <m/>
    <n v="1"/>
    <b v="1"/>
    <n v="0"/>
    <n v="0"/>
    <m/>
    <m/>
    <n v="0"/>
    <m/>
    <n v="0"/>
    <n v="0"/>
    <m/>
    <m/>
    <s v="NP"/>
    <n v="1"/>
    <m/>
    <m/>
    <m/>
    <n v="1"/>
    <n v="1"/>
    <n v="1"/>
    <m/>
    <m/>
    <m/>
    <n v="1"/>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Asistir 45 municipio para la implementación del SISBEN IV"/>
    <s v="Asistir 45 municipio para la implementación del SISBEN IV"/>
    <n v="45"/>
    <n v="45"/>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45"/>
    <n v="45"/>
    <n v="45"/>
    <n v="45"/>
    <n v="180"/>
    <b v="0"/>
    <n v="20"/>
    <n v="40"/>
    <n v="45"/>
    <n v="45"/>
    <n v="1"/>
    <n v="45"/>
    <n v="20"/>
    <n v="40"/>
    <m/>
    <n v="45"/>
    <n v="1"/>
    <n v="22.5"/>
    <m/>
    <m/>
    <m/>
    <n v="0.5"/>
    <n v="45"/>
    <n v="45"/>
    <m/>
    <m/>
    <m/>
    <n v="1"/>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Apoyar 20  municipios en estratificación"/>
    <s v="Apoyar 20  municipios en estratificación"/>
    <n v="15"/>
    <n v="2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2"/>
    <n v="5"/>
    <n v="8"/>
    <n v="5"/>
    <n v="20"/>
    <b v="1"/>
    <n v="1"/>
    <n v="1"/>
    <n v="1"/>
    <n v="1"/>
    <n v="0.05"/>
    <n v="2"/>
    <n v="1"/>
    <n v="1"/>
    <m/>
    <n v="1"/>
    <n v="0.5"/>
    <n v="1"/>
    <m/>
    <m/>
    <m/>
    <n v="0.05"/>
    <n v="5"/>
    <m/>
    <m/>
    <m/>
    <m/>
    <n v="0"/>
    <m/>
    <m/>
    <m/>
    <m/>
    <m/>
    <m/>
    <m/>
    <m/>
    <m/>
    <m/>
    <m/>
    <m/>
    <m/>
    <m/>
    <m/>
    <m/>
    <m/>
    <m/>
    <m/>
    <m/>
    <m/>
    <m/>
    <m/>
    <m/>
    <m/>
  </r>
  <r>
    <n v="4"/>
    <s v="BOLÍVAR PRIMERO EN FORTALECIMIENTO INSTITUCIONAL Y SEGURIDAD EFECTIVA PARA TODOS"/>
    <m/>
    <m/>
    <x v="22"/>
    <x v="22"/>
    <m/>
    <m/>
    <x v="60"/>
    <x v="59"/>
    <n v="0.22777777777777777"/>
    <n v="0.28444444444444444"/>
    <m/>
    <s v="% de Zodes con procesos de descentralización en planeación territorial"/>
    <s v="% de Zodes con procesos de descentralización en planeación territorial"/>
    <s v="ND"/>
    <n v="0.43"/>
    <m/>
    <s v="Asistir a 2 bancos de proyectos creados en ZODES"/>
    <s v="Asistir a 2 bancos de proyectos creados en ZODES"/>
    <n v="0"/>
    <n v="2"/>
    <s v="Incremento"/>
    <m/>
    <n v="0"/>
    <m/>
    <m/>
    <s v="SECRETARÍA DE PLANEACIÓN"/>
    <m/>
    <n v="1"/>
    <n v="1"/>
    <m/>
    <n v="2"/>
    <b v="1"/>
    <m/>
    <m/>
    <m/>
    <m/>
    <n v="0"/>
    <m/>
    <m/>
    <m/>
    <m/>
    <m/>
    <s v="NP"/>
    <n v="1"/>
    <m/>
    <m/>
    <m/>
    <n v="0.5"/>
    <n v="1"/>
    <n v="1"/>
    <m/>
    <m/>
    <m/>
    <n v="1"/>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Asistir a 45 municipios  técnicamente en la formulación de proyectos "/>
    <s v="Asistir a 45 municipios  técnicamente en la formulación de proyectos "/>
    <n v="45"/>
    <n v="45"/>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45"/>
    <n v="45"/>
    <n v="45"/>
    <n v="45"/>
    <n v="180"/>
    <b v="0"/>
    <n v="12"/>
    <n v="30"/>
    <n v="45"/>
    <n v="45"/>
    <n v="1"/>
    <n v="45"/>
    <n v="12"/>
    <n v="30"/>
    <m/>
    <n v="45"/>
    <n v="1"/>
    <n v="13.75"/>
    <m/>
    <m/>
    <m/>
    <n v="0.30555555555555558"/>
    <n v="45"/>
    <n v="10"/>
    <m/>
    <m/>
    <m/>
    <n v="0.22222222222222221"/>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Asesorar 10  bancos de proyectos municipales"/>
    <s v="Asesorar 10  bancos de proyectos municipales"/>
    <n v="0"/>
    <n v="1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n v="4"/>
    <n v="5"/>
    <m/>
    <n v="10"/>
    <b v="1"/>
    <n v="0"/>
    <n v="1"/>
    <n v="1"/>
    <n v="1"/>
    <n v="0.1"/>
    <n v="1"/>
    <n v="0"/>
    <n v="1"/>
    <m/>
    <n v="1"/>
    <n v="1"/>
    <n v="1"/>
    <m/>
    <m/>
    <m/>
    <n v="0.1"/>
    <n v="4"/>
    <m/>
    <m/>
    <m/>
    <m/>
    <n v="0"/>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Creación de la Escuela de Gobierno para los municipios"/>
    <s v="Creación de la Escuela de Gobierno para los municipios"/>
    <n v="0"/>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n v="1"/>
    <m/>
    <m/>
    <n v="1"/>
    <b v="1"/>
    <m/>
    <m/>
    <n v="5"/>
    <m/>
    <n v="0"/>
    <m/>
    <m/>
    <m/>
    <m/>
    <m/>
    <s v="NP"/>
    <n v="0"/>
    <m/>
    <m/>
    <m/>
    <n v="0"/>
    <n v="1"/>
    <m/>
    <m/>
    <m/>
    <m/>
    <n v="0"/>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mejorar en 30 municipios con índices de desempeños "/>
    <s v="mejorar en 30 municipios con índices de desempeños "/>
    <n v="0"/>
    <n v="3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5"/>
    <n v="10"/>
    <n v="10"/>
    <n v="5"/>
    <n v="30"/>
    <b v="1"/>
    <n v="2"/>
    <n v="2"/>
    <m/>
    <n v="5"/>
    <n v="0.16666666666666666"/>
    <n v="5"/>
    <n v="2"/>
    <n v="2"/>
    <m/>
    <n v="5"/>
    <n v="1"/>
    <n v="7"/>
    <m/>
    <m/>
    <m/>
    <n v="0.23333333333333334"/>
    <n v="10"/>
    <n v="2"/>
    <m/>
    <m/>
    <m/>
    <n v="0.2"/>
    <m/>
    <m/>
    <m/>
    <m/>
    <m/>
    <m/>
    <m/>
    <m/>
    <m/>
    <m/>
    <m/>
    <m/>
    <m/>
    <m/>
    <m/>
    <m/>
    <m/>
    <m/>
    <m/>
    <m/>
    <m/>
    <m/>
    <m/>
    <m/>
    <m/>
  </r>
  <r>
    <n v="4"/>
    <s v="BOLÍVAR PRIMERO EN FORTALECIMIENTO INSTITUCIONAL Y SEGURIDAD EFECTIVA PARA TODOS"/>
    <m/>
    <m/>
    <x v="23"/>
    <x v="23"/>
    <n v="0.10410714285714286"/>
    <n v="8.9203703703703702E-2"/>
    <x v="61"/>
    <x v="60"/>
    <n v="0.16583333333333333"/>
    <n v="0"/>
    <m/>
    <s v="Espacios físicos y servicios de atención al ciudadano mejorados y fortalecidos"/>
    <s v="Espacios físicos y servicios de atención al ciudadano mejorados y fortalecidos"/>
    <s v="50 puntos"/>
    <s v="80 puntos"/>
    <m/>
    <s v="Infraestructura física de la_x000a_oficina de atención al_x000a_ciudadano, accesible a_x000a_población en condición de_x000a_discapacidad"/>
    <s v="Infraestructura física de la_x000a_oficina de atención al_x000a_ciudadano, accesible a_x000a_población en condición de_x000a_discapacidad"/>
    <s v="50 puntos"/>
    <n v="80"/>
    <s v="Incremento"/>
    <m/>
    <s v="Gobierno Territorial"/>
    <n v="45"/>
    <s v="16. Paz, Justicia e Instituciones Sólidas"/>
    <s v="SECRETARÍA GENERAL "/>
    <m/>
    <n v="5"/>
    <n v="10"/>
    <n v="10"/>
    <n v="25"/>
    <b v="0"/>
    <m/>
    <m/>
    <m/>
    <m/>
    <n v="0"/>
    <m/>
    <m/>
    <m/>
    <m/>
    <m/>
    <s v="NP"/>
    <n v="0"/>
    <m/>
    <m/>
    <m/>
    <n v="0"/>
    <n v="5"/>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Servicios de atención al_x000a_ciudadano de la Gobernación_x000a_de Bolívar Accesibles a la_x000a_población en condición de_x000a_discapacidad"/>
    <s v="Servicios de atención al_x000a_ciudadano de la Gobernación_x000a_de Bolívar Accesibles a la_x000a_población en condición de_x000a_discapacidad"/>
    <s v="50 puntos"/>
    <n v="80"/>
    <s v="Incremento"/>
    <m/>
    <s v="Gobierno Territorial"/>
    <n v="45"/>
    <s v="16. Paz, Justicia e Instituciones Sólidas"/>
    <s v="SECRETARÍA GENERAL "/>
    <n v="5"/>
    <n v="5"/>
    <n v="10"/>
    <n v="10"/>
    <n v="30"/>
    <b v="0"/>
    <n v="0"/>
    <n v="0"/>
    <n v="53"/>
    <n v="53"/>
    <n v="0.66249999999999998"/>
    <n v="5"/>
    <n v="0"/>
    <n v="0"/>
    <m/>
    <n v="53"/>
    <n v="1"/>
    <n v="53"/>
    <m/>
    <m/>
    <m/>
    <n v="0.66249999999999998"/>
    <n v="5"/>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3 nuevos canales de atención_x000a_al ciudadano del_x000a_Departamento de Bolívar_x000a_creados y en funcionamiento"/>
    <s v="3 nuevos canales de atención_x000a_al ciudadano del_x000a_Departamento de Bolívar_x000a_creados y en funcionamiento"/>
    <n v="3"/>
    <n v="6"/>
    <s v="Incremento"/>
    <m/>
    <s v="Gobierno Territorial"/>
    <n v="45"/>
    <s v="16. Paz, Justicia e Instituciones Sólidas"/>
    <s v="SECRETARÍA GENERAL "/>
    <n v="1"/>
    <n v="1"/>
    <n v="1"/>
    <n v="1"/>
    <n v="4"/>
    <b v="0"/>
    <n v="0"/>
    <n v="0"/>
    <n v="1"/>
    <n v="1"/>
    <n v="0.16666666666666666"/>
    <n v="1"/>
    <n v="0"/>
    <n v="0"/>
    <m/>
    <n v="1"/>
    <n v="1"/>
    <n v="1"/>
    <m/>
    <m/>
    <m/>
    <n v="0.16666666666666666"/>
    <n v="1"/>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Jornadas Itinerantes de_x000a_atención y Servicio al_x000a_Ciudadano"/>
    <s v="Jornadas Itinerantes de_x000a_atención y Servicio al_x000a_Ciudadano"/>
    <n v="2"/>
    <n v="8"/>
    <s v="Incremento"/>
    <m/>
    <s v="Gobierno Territorial"/>
    <n v="45"/>
    <s v="16. Paz, Justicia e Instituciones Sólidas"/>
    <s v="SECRETARÍA GENERAL "/>
    <m/>
    <n v="2"/>
    <n v="2"/>
    <n v="2"/>
    <n v="6"/>
    <b v="0"/>
    <m/>
    <m/>
    <m/>
    <m/>
    <n v="0"/>
    <m/>
    <m/>
    <m/>
    <m/>
    <m/>
    <s v="NP"/>
    <n v="0"/>
    <m/>
    <m/>
    <m/>
    <n v="0"/>
    <n v="2"/>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Mecanismo implementado_x000a_para recibir y tramitar_x000a_peticiones interpuestas en_x000a_lenguas nativas o dialectos_x000a_oficiales de Bolívar diferentes_x000a_al español"/>
    <s v="Mecanismo implementado_x000a_para recibir y tramitar_x000a_peticiones interpuestas en_x000a_lenguas nativas o dialectos_x000a_oficiales de Bolívar diferentes_x000a_al español"/>
    <n v="0"/>
    <n v="1"/>
    <s v="Incremento"/>
    <m/>
    <s v="Gobierno Territorial"/>
    <n v="45"/>
    <s v="16. Paz, Justicia e Instituciones Sólidas"/>
    <s v="SECRETARÍA GENERAL "/>
    <m/>
    <m/>
    <n v="1"/>
    <m/>
    <n v="1"/>
    <b v="1"/>
    <m/>
    <m/>
    <m/>
    <m/>
    <n v="0"/>
    <m/>
    <m/>
    <m/>
    <m/>
    <m/>
    <s v="NP"/>
    <n v="0"/>
    <m/>
    <m/>
    <m/>
    <n v="0"/>
    <s v="NP"/>
    <n v="0"/>
    <m/>
    <m/>
    <m/>
    <s v="NP"/>
    <m/>
    <m/>
    <m/>
    <m/>
    <m/>
    <m/>
    <m/>
    <m/>
    <m/>
    <m/>
    <m/>
    <m/>
    <m/>
    <m/>
    <m/>
    <m/>
    <m/>
    <m/>
    <m/>
    <m/>
    <m/>
    <m/>
    <m/>
    <m/>
    <m/>
  </r>
  <r>
    <n v="4"/>
    <s v="BOLÍVAR PRIMERO EN FORTALECIMIENTO INSTITUCIONAL Y SEGURIDAD EFECTIVA PARA TODOS"/>
    <m/>
    <m/>
    <x v="23"/>
    <x v="23"/>
    <m/>
    <m/>
    <x v="62"/>
    <x v="61"/>
    <n v="0.21513888888888891"/>
    <n v="0.16999999999999998"/>
    <m/>
    <s v="Fortalecimiento y mejoramiento de la_x000a_Gestión Documental de la gobernación de_x000a_Bolívar"/>
    <s v="Fortalecimiento y mejoramiento de la_x000a_Gestión Documental de la gobernación de_x000a_Bolívar"/>
    <n v="65.599999999999994"/>
    <n v="80"/>
    <m/>
    <s v="Software de Gestión Documental Electrónica implementado para la gobernación de Bolívar"/>
    <s v="Software de Gestión Documental Electrónica implementado para la gobernación de Bolívar"/>
    <n v="0"/>
    <n v="1"/>
    <s v="Incremento"/>
    <m/>
    <s v="Gobierno Territorial"/>
    <n v="45"/>
    <s v="16. Paz, Justicia e Instituciones Sólidas"/>
    <s v="SECRETARÍA GENERAL "/>
    <m/>
    <m/>
    <n v="1"/>
    <m/>
    <n v="1"/>
    <b v="1"/>
    <m/>
    <m/>
    <m/>
    <m/>
    <n v="0"/>
    <m/>
    <m/>
    <m/>
    <m/>
    <m/>
    <s v="NP"/>
    <n v="0"/>
    <m/>
    <m/>
    <m/>
    <n v="0"/>
    <s v="NP"/>
    <n v="0"/>
    <m/>
    <m/>
    <m/>
    <s v="NP"/>
    <m/>
    <m/>
    <m/>
    <m/>
    <m/>
    <m/>
    <m/>
    <m/>
    <m/>
    <m/>
    <m/>
    <m/>
    <m/>
    <m/>
    <m/>
    <m/>
    <m/>
    <m/>
    <m/>
    <m/>
    <m/>
    <m/>
    <m/>
    <m/>
    <m/>
  </r>
  <r>
    <n v="4"/>
    <s v="BOLÍVAR PRIMERO EN FORTALECIMIENTO INSTITUCIONAL Y SEGURIDAD EFECTIVA PARA TODOS"/>
    <m/>
    <m/>
    <x v="23"/>
    <x v="23"/>
    <m/>
    <m/>
    <x v="62"/>
    <x v="61"/>
    <m/>
    <m/>
    <m/>
    <s v="Fortalecimiento y mejoramiento de la_x000a_Gestión Documental de la gobernación de_x000a_Bolívar"/>
    <s v="Fortalecimiento y mejoramiento de la_x000a_Gestión Documental de la gobernación de_x000a_Bolívar"/>
    <n v="65.599999999999994"/>
    <n v="80"/>
    <m/>
    <s v="Centro de Digitalización Documental de la Gobernación de Bolívar creado y en funcionamiento"/>
    <s v="Centro de Digitalización Documental de la Gobernación de Bolívar creado y en funcionamiento"/>
    <n v="0"/>
    <n v="1"/>
    <s v="Incremento"/>
    <m/>
    <s v="Gobierno Territorial"/>
    <n v="45"/>
    <s v="16. Paz, Justicia e Instituciones Sólidas"/>
    <s v="SECRETARÍA GENERAL "/>
    <m/>
    <m/>
    <n v="1"/>
    <m/>
    <n v="1"/>
    <b v="1"/>
    <m/>
    <m/>
    <m/>
    <m/>
    <n v="0"/>
    <m/>
    <m/>
    <m/>
    <m/>
    <m/>
    <s v="NP"/>
    <n v="0"/>
    <m/>
    <m/>
    <m/>
    <n v="0"/>
    <s v="NP"/>
    <n v="0"/>
    <m/>
    <m/>
    <m/>
    <s v="NP"/>
    <m/>
    <m/>
    <m/>
    <m/>
    <m/>
    <m/>
    <m/>
    <m/>
    <m/>
    <m/>
    <m/>
    <m/>
    <m/>
    <m/>
    <m/>
    <m/>
    <m/>
    <m/>
    <m/>
    <m/>
    <m/>
    <m/>
    <m/>
    <m/>
    <m/>
  </r>
  <r>
    <n v="4"/>
    <s v="BOLÍVAR PRIMERO EN FORTALECIMIENTO INSTITUCIONAL Y SEGURIDAD EFECTIVA PARA TODOS"/>
    <m/>
    <m/>
    <x v="23"/>
    <x v="23"/>
    <m/>
    <m/>
    <x v="62"/>
    <x v="61"/>
    <m/>
    <m/>
    <m/>
    <s v="Fortalecimiento y mejoramiento de la_x000a_Gestión Documental de la gobernación de_x000a_Bolívar"/>
    <s v="Fortalecimiento y mejoramiento de la_x000a_Gestión Documental de la gobernación de_x000a_Bolívar"/>
    <n v="65.599999999999994"/>
    <n v="80"/>
    <m/>
    <s v="Infraestructura para la_x000a_Gestión Documental_x000a_mejorada"/>
    <s v="Infraestructura para la_x000a_Gestión Documental_x000a_mejorada"/>
    <n v="60"/>
    <n v="90"/>
    <s v="Incremento"/>
    <m/>
    <s v="Gobierno Territorial"/>
    <n v="45"/>
    <s v="16. Paz, Justicia e Instituciones Sólidas"/>
    <s v="SECRETARÍA GENERAL "/>
    <n v="5"/>
    <n v="5"/>
    <n v="10"/>
    <n v="10"/>
    <n v="30"/>
    <b v="0"/>
    <n v="0"/>
    <n v="0"/>
    <n v="63"/>
    <n v="63"/>
    <n v="0.7"/>
    <n v="5"/>
    <n v="0"/>
    <n v="0"/>
    <m/>
    <n v="63"/>
    <n v="1"/>
    <n v="63.5"/>
    <m/>
    <m/>
    <m/>
    <n v="0.7055555555555556"/>
    <n v="5"/>
    <n v="0.5"/>
    <m/>
    <m/>
    <m/>
    <n v="0.1"/>
    <m/>
    <m/>
    <m/>
    <m/>
    <m/>
    <m/>
    <m/>
    <m/>
    <m/>
    <m/>
    <m/>
    <m/>
    <m/>
    <m/>
    <m/>
    <m/>
    <m/>
    <m/>
    <m/>
    <m/>
    <m/>
    <m/>
    <m/>
    <m/>
    <m/>
  </r>
  <r>
    <n v="4"/>
    <s v="BOLÍVAR PRIMERO EN FORTALECIMIENTO INSTITUCIONAL Y SEGURIDAD EFECTIVA PARA TODOS"/>
    <m/>
    <m/>
    <x v="23"/>
    <x v="23"/>
    <m/>
    <m/>
    <x v="62"/>
    <x v="61"/>
    <m/>
    <m/>
    <m/>
    <s v="Fortalecimiento y mejoramiento de la_x000a_Gestión Documental de la gobernación de_x000a_Bolívar"/>
    <s v="Fortalecimiento y mejoramiento de la_x000a_Gestión Documental de la gobernación de_x000a_Bolívar"/>
    <n v="65.599999999999994"/>
    <n v="80"/>
    <m/>
    <s v="Consejo Departamental de Archivo fortalecido"/>
    <s v="Consejo Departamental de Archivo fortalecido"/>
    <n v="50"/>
    <n v="100"/>
    <s v="Incremento"/>
    <m/>
    <s v="Gobierno Territorial"/>
    <n v="45"/>
    <s v="16. Paz, Justicia e Instituciones Sólidas"/>
    <s v="SECRETARÍA GENERAL "/>
    <n v="12.5"/>
    <n v="12.5"/>
    <n v="12.5"/>
    <n v="12.5"/>
    <n v="50"/>
    <b v="0"/>
    <n v="0"/>
    <n v="0.13"/>
    <n v="12.5"/>
    <n v="12.5"/>
    <n v="0.125"/>
    <n v="12.5"/>
    <n v="0"/>
    <n v="0.125"/>
    <m/>
    <n v="12.5"/>
    <n v="1"/>
    <n v="15.5"/>
    <m/>
    <m/>
    <m/>
    <n v="0.155"/>
    <n v="12.5"/>
    <n v="3"/>
    <m/>
    <m/>
    <m/>
    <n v="0.24"/>
    <m/>
    <m/>
    <m/>
    <m/>
    <m/>
    <m/>
    <m/>
    <m/>
    <m/>
    <m/>
    <m/>
    <m/>
    <m/>
    <m/>
    <m/>
    <m/>
    <m/>
    <m/>
    <m/>
    <m/>
    <m/>
    <m/>
    <m/>
    <m/>
    <m/>
  </r>
  <r>
    <n v="4"/>
    <s v="BOLÍVAR PRIMERO EN FORTALECIMIENTO INSTITUCIONAL Y SEGURIDAD EFECTIVA PARA TODOS"/>
    <m/>
    <m/>
    <x v="23"/>
    <x v="23"/>
    <m/>
    <m/>
    <x v="63"/>
    <x v="62"/>
    <n v="1.1445052474937343"/>
    <n v="0.13200000000000001"/>
    <m/>
    <s v="TIC para Gobierno Abierto"/>
    <s v="TIC para Gobierno Abierto"/>
    <s v="41,4/100"/>
    <s v="80/100"/>
    <m/>
    <s v="Accesibilidad, usabilidad y datos abiertos para garantizar la transparencia en la administración pública"/>
    <s v="Accesibilidad, usabilidad y datos abiertos para garantizar la transparencia en la administración pública"/>
    <s v="73,6/100"/>
    <n v="0.95"/>
    <s v="Incremento"/>
    <m/>
    <s v="Tecnologias de la información y las comunicaciones"/>
    <n v="23"/>
    <s v="16. Paz, Justicia e Instituciones Sólidas"/>
    <s v="SECRETARÍA GENERAL "/>
    <n v="5.3499999999999999E-2"/>
    <n v="5.35"/>
    <n v="5.35"/>
    <n v="5.35"/>
    <n v="16.103499999999997"/>
    <b v="0"/>
    <s v="41.4/100"/>
    <n v="0.41399999999999998"/>
    <n v="5.3499999999999999E-2"/>
    <n v="0.75"/>
    <n v="0.78947368421052633"/>
    <n v="5.3499999999999999E-2"/>
    <s v="41.4/100"/>
    <n v="5.3499999999999999E-2"/>
    <m/>
    <n v="5.3499999999999999E-2"/>
    <n v="1"/>
    <n v="0.82489999999999997"/>
    <m/>
    <m/>
    <m/>
    <n v="0.86831578947368426"/>
    <n v="5.35"/>
    <n v="7.4899999999999994E-2"/>
    <m/>
    <m/>
    <m/>
    <n v="1.4E-2"/>
    <m/>
    <m/>
    <m/>
    <m/>
    <m/>
    <m/>
    <m/>
    <m/>
    <m/>
    <m/>
    <m/>
    <m/>
    <m/>
    <m/>
    <m/>
    <m/>
    <m/>
    <m/>
    <m/>
    <m/>
    <m/>
    <m/>
    <m/>
    <m/>
    <m/>
  </r>
  <r>
    <n v="4"/>
    <s v="BOLÍVAR PRIMERO EN FORTALECIMIENTO INSTITUCIONAL Y SEGURIDAD EFECTIVA PARA TODOS"/>
    <m/>
    <m/>
    <x v="23"/>
    <x v="23"/>
    <m/>
    <m/>
    <x v="63"/>
    <x v="62"/>
    <m/>
    <m/>
    <m/>
    <s v="TIC para Gobierno Abierto"/>
    <s v="TIC para Gobierno Abierto"/>
    <s v="41,4/100"/>
    <s v="80/100"/>
    <m/>
    <s v="Acciones de colaboración con terceros usando medios electrónicos"/>
    <s v="Acciones de colaboración con terceros usando medios electrónicos"/>
    <s v="0/100"/>
    <n v="0.6"/>
    <s v="Incremento"/>
    <m/>
    <s v="Tecnologias de la información y las comunicaciones"/>
    <n v="23"/>
    <s v="16. Paz, Justicia e Instituciones Sólidas"/>
    <s v="SECRETARÍA GENERAL "/>
    <n v="0.05"/>
    <n v="10"/>
    <n v="0.2"/>
    <n v="0.25"/>
    <n v="10.5"/>
    <b v="0"/>
    <s v="41.4/100"/>
    <n v="0.41399999999999998"/>
    <n v="0.03"/>
    <n v="0.03"/>
    <n v="0.05"/>
    <n v="0.05"/>
    <s v="41.4/100"/>
    <n v="0.05"/>
    <m/>
    <n v="0.03"/>
    <n v="0.6"/>
    <n v="0.17"/>
    <m/>
    <m/>
    <m/>
    <n v="0.28333333333333338"/>
    <n v="10"/>
    <n v="0.14000000000000001"/>
    <m/>
    <m/>
    <m/>
    <n v="1.4000000000000002E-2"/>
    <m/>
    <m/>
    <m/>
    <m/>
    <m/>
    <m/>
    <m/>
    <m/>
    <m/>
    <m/>
    <m/>
    <m/>
    <m/>
    <m/>
    <m/>
    <m/>
    <m/>
    <m/>
    <m/>
    <m/>
    <m/>
    <m/>
    <m/>
    <m/>
    <m/>
  </r>
  <r>
    <n v="4"/>
    <s v="BOLÍVAR PRIMERO EN FORTALECIMIENTO INSTITUCIONAL Y SEGURIDAD EFECTIVA PARA TODOS"/>
    <m/>
    <m/>
    <x v="23"/>
    <x v="23"/>
    <m/>
    <m/>
    <x v="63"/>
    <x v="62"/>
    <m/>
    <m/>
    <m/>
    <s v="TIC para Gobierno Abierto"/>
    <s v="TIC para Gobierno Abierto"/>
    <s v="41,4/100"/>
    <s v="80/100"/>
    <m/>
    <s v="Actualización de canales de participación ciudadana a través de medios electrónicos"/>
    <s v="Actualización de canales de participación ciudadana a través de medios electrónicos"/>
    <s v="100/100"/>
    <n v="100"/>
    <s v="Mantenimiento"/>
    <m/>
    <s v="Tecnologias de la información y las comunicaciones"/>
    <n v="23"/>
    <s v="16. Paz, Justicia e Instituciones Sólidas"/>
    <s v="SECRETARÍA GENERAL "/>
    <n v="100"/>
    <n v="100"/>
    <n v="100"/>
    <n v="100"/>
    <n v="400"/>
    <b v="0"/>
    <n v="41"/>
    <n v="41"/>
    <n v="100"/>
    <n v="100"/>
    <n v="1"/>
    <n v="100"/>
    <n v="41"/>
    <n v="41"/>
    <m/>
    <n v="100"/>
    <n v="1"/>
    <n v="25.35"/>
    <m/>
    <m/>
    <m/>
    <n v="0.2535"/>
    <n v="100"/>
    <n v="1.4"/>
    <m/>
    <m/>
    <m/>
    <n v="1.3999999999999999E-2"/>
    <m/>
    <m/>
    <m/>
    <m/>
    <m/>
    <m/>
    <m/>
    <m/>
    <m/>
    <m/>
    <m/>
    <m/>
    <m/>
    <m/>
    <m/>
    <m/>
    <m/>
    <m/>
    <m/>
    <m/>
    <m/>
    <m/>
    <m/>
    <m/>
    <m/>
  </r>
  <r>
    <n v="4"/>
    <s v="BOLÍVAR PRIMERO EN FORTALECIMIENTO INSTITUCIONAL Y SEGURIDAD EFECTIVA PARA TODOS"/>
    <m/>
    <m/>
    <x v="23"/>
    <x v="23"/>
    <m/>
    <m/>
    <x v="63"/>
    <x v="62"/>
    <m/>
    <m/>
    <m/>
    <s v="TIC para la Gestión"/>
    <s v="TIC para la Gestión"/>
    <s v="12,3/100"/>
    <s v="75/100"/>
    <m/>
    <s v="Implementación Estrategia de TI"/>
    <s v="Implementación Estrategia de TI"/>
    <s v="76/100"/>
    <n v="0.8"/>
    <s v="Incremento"/>
    <m/>
    <s v="Tecnologias de la información y las comunicaciones"/>
    <n v="23"/>
    <s v="16. Paz, Justicia e Instituciones Sólidas"/>
    <s v="SECRETARÍA GENERAL "/>
    <n v="0.5"/>
    <n v="0.5"/>
    <n v="1.5"/>
    <n v="2"/>
    <n v="4.5"/>
    <b v="0"/>
    <s v="15/100"/>
    <n v="0.15"/>
    <n v="0.16"/>
    <n v="0.16"/>
    <n v="0.19999999999999998"/>
    <n v="0.5"/>
    <s v="15/100"/>
    <n v="0.15"/>
    <m/>
    <n v="0.16"/>
    <n v="0.32"/>
    <n v="0.28500000000000003"/>
    <m/>
    <m/>
    <m/>
    <n v="0.35625000000000001"/>
    <n v="0.5"/>
    <n v="0.125"/>
    <m/>
    <m/>
    <m/>
    <n v="0.25"/>
    <m/>
    <m/>
    <m/>
    <m/>
    <m/>
    <m/>
    <m/>
    <m/>
    <m/>
    <m/>
    <m/>
    <m/>
    <m/>
    <m/>
    <m/>
    <m/>
    <m/>
    <m/>
    <m/>
    <m/>
    <m/>
    <m/>
    <m/>
    <m/>
    <m/>
  </r>
  <r>
    <n v="4"/>
    <s v="BOLÍVAR PRIMERO EN FORTALECIMIENTO INSTITUCIONAL Y SEGURIDAD EFECTIVA PARA TODOS"/>
    <m/>
    <m/>
    <x v="23"/>
    <x v="23"/>
    <m/>
    <m/>
    <x v="63"/>
    <x v="62"/>
    <m/>
    <m/>
    <m/>
    <s v="TIC para la Gestión"/>
    <s v="TIC para la Gestión"/>
    <s v="12,3/100"/>
    <s v="75/100"/>
    <m/>
    <s v="Fortalecimiento de Gobierno de TI"/>
    <s v="Fortalecimiento de Gobierno de TI"/>
    <s v="47,5/100"/>
    <n v="0.7"/>
    <s v="Incremento"/>
    <m/>
    <s v="Tecnologias de la información y las comunicaciones"/>
    <n v="23"/>
    <s v="16. Paz, Justicia e Instituciones Sólidas"/>
    <s v="SECRETARÍA GENERAL "/>
    <n v="0.35"/>
    <n v="4.5"/>
    <n v="0.65"/>
    <n v="8"/>
    <n v="13.5"/>
    <b v="0"/>
    <s v="15/100"/>
    <n v="0.15"/>
    <n v="0.16"/>
    <n v="0.35"/>
    <n v="0.5"/>
    <n v="0.35"/>
    <n v="0.15"/>
    <n v="1.5E-3"/>
    <m/>
    <n v="0.35"/>
    <n v="1"/>
    <n v="1.4750000000000001"/>
    <m/>
    <m/>
    <m/>
    <n v="2.1071428571428572"/>
    <n v="4.5"/>
    <n v="1.125"/>
    <m/>
    <m/>
    <m/>
    <n v="0.25"/>
    <m/>
    <m/>
    <m/>
    <m/>
    <m/>
    <m/>
    <m/>
    <m/>
    <m/>
    <m/>
    <m/>
    <m/>
    <m/>
    <m/>
    <m/>
    <m/>
    <m/>
    <m/>
    <m/>
    <m/>
    <m/>
    <m/>
    <m/>
    <m/>
    <m/>
  </r>
  <r>
    <n v="4"/>
    <s v="BOLÍVAR PRIMERO EN FORTALECIMIENTO INSTITUCIONAL Y SEGURIDAD EFECTIVA PARA TODOS"/>
    <m/>
    <m/>
    <x v="23"/>
    <x v="23"/>
    <m/>
    <m/>
    <x v="63"/>
    <x v="62"/>
    <m/>
    <m/>
    <m/>
    <s v="TIC para la Gestión"/>
    <s v="TIC para la Gestión"/>
    <s v="12,3/100"/>
    <s v="75/100"/>
    <m/>
    <s v="Fortalecimiento de las capacidades institucionales en TICS"/>
    <s v="Fortalecimiento de las capacidades institucionales en TICS"/>
    <s v="33,3/100"/>
    <n v="0.7"/>
    <s v="Incremento"/>
    <m/>
    <s v="Tecnologias de la información y las comunicaciones"/>
    <n v="23"/>
    <s v="16. Paz, Justicia e Instituciones Sólidas"/>
    <s v="SECRETARÍA GENERAL "/>
    <n v="0.5"/>
    <n v="5"/>
    <n v="11.7"/>
    <n v="15"/>
    <n v="32.200000000000003"/>
    <b v="0"/>
    <s v="20/100"/>
    <n v="0.2"/>
    <n v="0.4"/>
    <n v="0.7"/>
    <n v="1"/>
    <n v="0.5"/>
    <n v="0.2"/>
    <n v="0.2"/>
    <m/>
    <n v="0.7"/>
    <n v="1"/>
    <n v="0.77"/>
    <m/>
    <m/>
    <m/>
    <n v="1.1000000000000001"/>
    <n v="5"/>
    <n v="7.0000000000000007E-2"/>
    <m/>
    <m/>
    <m/>
    <n v="1.4000000000000002E-2"/>
    <m/>
    <m/>
    <m/>
    <m/>
    <m/>
    <m/>
    <m/>
    <m/>
    <m/>
    <m/>
    <m/>
    <m/>
    <m/>
    <m/>
    <m/>
    <m/>
    <m/>
    <m/>
    <m/>
    <m/>
    <m/>
    <m/>
    <m/>
    <m/>
    <m/>
  </r>
  <r>
    <n v="4"/>
    <s v="BOLÍVAR PRIMERO EN FORTALECIMIENTO INSTITUCIONAL Y SEGURIDAD EFECTIVA PARA TODOS"/>
    <m/>
    <m/>
    <x v="23"/>
    <x v="23"/>
    <m/>
    <m/>
    <x v="63"/>
    <x v="62"/>
    <m/>
    <m/>
    <m/>
    <s v="Seguridad y Privacidad de la Información"/>
    <s v="Seguridad y Privacidad de la Información"/>
    <s v="36,8/100"/>
    <s v="80/100"/>
    <m/>
    <s v="Política de seguridad y privacidad de la información implementada"/>
    <s v="Política de seguridad y privacidad de la información implementada"/>
    <s v="20,8/100"/>
    <n v="0.8"/>
    <s v="Incremento"/>
    <m/>
    <s v="Tecnologias de la información y las comunicaciones"/>
    <n v="23"/>
    <s v="16. Paz, Justicia e Instituciones Sólidas"/>
    <s v="SECRETARÍA GENERAL "/>
    <n v="0.3"/>
    <n v="3"/>
    <n v="0.25"/>
    <n v="0.28199999999999997"/>
    <n v="3.8319999999999999"/>
    <b v="0"/>
    <s v="40/100"/>
    <n v="0.4"/>
    <n v="0.4"/>
    <n v="0.8"/>
    <n v="1"/>
    <n v="0.3"/>
    <n v="0.4"/>
    <n v="0.4"/>
    <m/>
    <n v="0.8"/>
    <n v="1"/>
    <n v="1.55"/>
    <m/>
    <m/>
    <m/>
    <n v="1.9375"/>
    <n v="3"/>
    <n v="0.75"/>
    <m/>
    <m/>
    <m/>
    <n v="0.25"/>
    <m/>
    <m/>
    <m/>
    <m/>
    <m/>
    <m/>
    <m/>
    <m/>
    <m/>
    <m/>
    <m/>
    <m/>
    <m/>
    <m/>
    <m/>
    <m/>
    <m/>
    <m/>
    <m/>
    <m/>
    <m/>
    <m/>
    <m/>
    <m/>
    <m/>
  </r>
  <r>
    <n v="4"/>
    <s v="BOLÍVAR PRIMERO EN FORTALECIMIENTO INSTITUCIONAL Y SEGURIDAD EFECTIVA PARA TODOS"/>
    <m/>
    <m/>
    <x v="23"/>
    <x v="23"/>
    <m/>
    <m/>
    <x v="63"/>
    <x v="62"/>
    <m/>
    <m/>
    <m/>
    <s v="Seguridad y Privacidad de la Información"/>
    <s v="Seguridad y Privacidad de la Información"/>
    <s v="36,8/100"/>
    <s v="80/100"/>
    <m/>
    <s v="Tratamiento de riesgos de seguridad informática"/>
    <s v="Tratamiento de riesgos de seguridad informática"/>
    <s v="0/100"/>
    <n v="0.6"/>
    <s v="Incremento"/>
    <m/>
    <s v="Tecnologias de la información y las comunicaciones"/>
    <n v="23"/>
    <s v="16. Paz, Justicia e Instituciones Sólidas"/>
    <s v="SECRETARÍA GENERAL "/>
    <n v="0.2"/>
    <n v="3"/>
    <n v="0.25"/>
    <n v="0.3"/>
    <n v="3.75"/>
    <b v="0"/>
    <s v="40/100"/>
    <n v="0.4"/>
    <n v="0.4"/>
    <n v="0.6"/>
    <n v="1"/>
    <n v="0.2"/>
    <s v="40/100"/>
    <n v="0.2"/>
    <m/>
    <n v="0.6"/>
    <n v="1"/>
    <n v="1.35"/>
    <m/>
    <m/>
    <m/>
    <n v="2.2500000000000004"/>
    <n v="3"/>
    <n v="0.75"/>
    <m/>
    <m/>
    <m/>
    <n v="0.25"/>
    <m/>
    <m/>
    <m/>
    <m/>
    <m/>
    <m/>
    <m/>
    <m/>
    <m/>
    <m/>
    <m/>
    <m/>
    <m/>
    <m/>
    <m/>
    <m/>
    <m/>
    <m/>
    <m/>
    <m/>
    <m/>
    <m/>
    <m/>
    <m/>
    <m/>
  </r>
  <r>
    <n v="4"/>
    <s v="BOLÍVAR PRIMERO EN FORTALECIMIENTO INSTITUCIONAL Y SEGURIDAD EFECTIVA PARA TODOS"/>
    <m/>
    <m/>
    <x v="23"/>
    <x v="23"/>
    <m/>
    <m/>
    <x v="64"/>
    <x v="63"/>
    <n v="1.439433551198257"/>
    <n v="8.3333333333333329E-2"/>
    <m/>
    <s v="Mejoramiento de la infraestructura física_x000a_y bienes inmuebles de la gobernación de_x000a_Bolívar"/>
    <s v="Mejoramiento de la infraestructura física_x000a_y bienes inmuebles de la gobernación de_x000a_Bolívar"/>
    <n v="0.6"/>
    <n v="0.85"/>
    <m/>
    <s v="Optimizar las sedes de la_x000a_Gobernación de Bolívar para_x000a_mejoras en la atención al_x000a_público y garantizar el clima_x000a_laboral"/>
    <s v="porcentaje"/>
    <n v="0.6"/>
    <n v="0.85"/>
    <s v="Incremento"/>
    <m/>
    <s v="Gobierno Territorial"/>
    <n v="45"/>
    <s v="16. Paz, Justicia e Instituciones Sólidas"/>
    <s v="SECRETARÍA GENERAL "/>
    <n v="0.62"/>
    <n v="2.5"/>
    <n v="0.1"/>
    <n v="0.1"/>
    <n v="3.3200000000000003"/>
    <b v="0"/>
    <n v="0"/>
    <n v="0"/>
    <n v="0.62"/>
    <n v="0.62"/>
    <n v="0.72941176470588232"/>
    <n v="0.62"/>
    <n v="0"/>
    <n v="0"/>
    <m/>
    <n v="0.62"/>
    <n v="1"/>
    <n v="0.62"/>
    <m/>
    <m/>
    <m/>
    <n v="0.72941176470588232"/>
    <n v="2.5"/>
    <n v="0"/>
    <m/>
    <m/>
    <m/>
    <n v="0"/>
    <m/>
    <m/>
    <m/>
    <m/>
    <m/>
    <m/>
    <m/>
    <m/>
    <m/>
    <m/>
    <m/>
    <m/>
    <m/>
    <m/>
    <m/>
    <m/>
    <m/>
    <m/>
    <m/>
    <m/>
    <m/>
    <m/>
    <m/>
    <m/>
    <m/>
  </r>
  <r>
    <n v="4"/>
    <s v="BOLÍVAR PRIMERO EN FORTALECIMIENTO INSTITUCIONAL Y SEGURIDAD EFECTIVA PARA TODOS"/>
    <m/>
    <m/>
    <x v="23"/>
    <x v="23"/>
    <m/>
    <m/>
    <x v="64"/>
    <x v="63"/>
    <m/>
    <m/>
    <m/>
    <s v="Mejoramiento de la infraestructura física_x000a_y bienes inmuebles de la gobernación de_x000a_Bolívar"/>
    <s v="Mejoramiento de la infraestructura física_x000a_y bienes inmuebles de la gobernación de_x000a_Bolívar"/>
    <n v="0.6"/>
    <n v="0.85"/>
    <m/>
    <s v="Inventario físico, saneamiento_x000a_y normalización de bienes inmuebles de la gobernación_x000a_de Bolívar actualizado"/>
    <s v="porcentaje"/>
    <n v="0.6"/>
    <n v="1"/>
    <s v="Incremento"/>
    <m/>
    <s v="Gobierno Territorial"/>
    <n v="45"/>
    <s v="16. Paz, Justicia e Instituciones Sólidas"/>
    <s v="SECRETARÍA GENERAL "/>
    <n v="0.5"/>
    <n v="10"/>
    <n v="1"/>
    <n v="1.5"/>
    <n v="13"/>
    <b v="0"/>
    <n v="0"/>
    <n v="0"/>
    <n v="0.5"/>
    <n v="0.5"/>
    <n v="0.5"/>
    <n v="0.5"/>
    <n v="0"/>
    <n v="0"/>
    <m/>
    <n v="0.5"/>
    <n v="1"/>
    <n v="3"/>
    <m/>
    <m/>
    <m/>
    <n v="3"/>
    <n v="10"/>
    <n v="2.5"/>
    <m/>
    <m/>
    <m/>
    <n v="0.25"/>
    <m/>
    <m/>
    <m/>
    <m/>
    <m/>
    <m/>
    <m/>
    <m/>
    <m/>
    <m/>
    <m/>
    <m/>
    <m/>
    <m/>
    <m/>
    <m/>
    <m/>
    <m/>
    <m/>
    <m/>
    <m/>
    <m/>
    <m/>
    <m/>
    <m/>
  </r>
  <r>
    <n v="4"/>
    <s v="BOLÍVAR PRIMERO EN FORTALECIMIENTO INSTITUCIONAL Y SEGURIDAD EFECTIVA PARA TODOS"/>
    <m/>
    <m/>
    <x v="23"/>
    <x v="23"/>
    <m/>
    <m/>
    <x v="64"/>
    <x v="63"/>
    <m/>
    <m/>
    <m/>
    <s v="Mejoramiento de la infraestructura física_x000a_y bienes inmuebles de la gobernación de_x000a_Bolívar"/>
    <s v="Mejoramiento de la infraestructura física_x000a_y bienes inmuebles de la gobernación de_x000a_Bolívar"/>
    <n v="0.6"/>
    <n v="0.85"/>
    <m/>
    <s v="Fortalecimiento de los_x000a_sistemas de vigilancia de los_x000a_diferentes inmuebles de la_x000a_gobernación de Bolívar"/>
    <s v="porcentaje"/>
    <n v="0.5"/>
    <n v="0.9"/>
    <s v="Incremento"/>
    <m/>
    <s v="Gobierno Territorial"/>
    <n v="45"/>
    <s v="16. Paz, Justicia e Instituciones Sólidas"/>
    <s v="SECRETARÍA GENERAL "/>
    <n v="0.5"/>
    <n v="10"/>
    <n v="1"/>
    <n v="1.5"/>
    <n v="13"/>
    <b v="0"/>
    <n v="0"/>
    <n v="0"/>
    <n v="0.53"/>
    <n v="0.53"/>
    <n v="0.58888888888888891"/>
    <n v="0.5"/>
    <n v="0"/>
    <n v="0"/>
    <m/>
    <n v="0.53"/>
    <n v="1"/>
    <n v="0.53"/>
    <m/>
    <m/>
    <m/>
    <n v="0.58888888888888891"/>
    <n v="10"/>
    <n v="0"/>
    <m/>
    <m/>
    <m/>
    <n v="0"/>
    <m/>
    <m/>
    <m/>
    <m/>
    <m/>
    <m/>
    <m/>
    <m/>
    <m/>
    <m/>
    <m/>
    <m/>
    <m/>
    <m/>
    <m/>
    <m/>
    <m/>
    <m/>
    <m/>
    <m/>
    <m/>
    <m/>
    <m/>
    <m/>
    <m/>
  </r>
  <r>
    <n v="4"/>
    <s v="BOLÍVAR PRIMERO EN FORTALECIMIENTO INSTITUCIONAL Y SEGURIDAD EFECTIVA PARA TODOS"/>
    <m/>
    <m/>
    <x v="23"/>
    <x v="23"/>
    <m/>
    <m/>
    <x v="65"/>
    <x v="64"/>
    <n v="0.1"/>
    <n v="0"/>
    <m/>
    <s v="Municipios con asistencia municipal"/>
    <s v="Municipios con asistencia municipal"/>
    <n v="45"/>
    <n v="45"/>
    <m/>
    <s v="Municipios con desempeño fiscal bajo asistidos."/>
    <s v="Municipios con desempeño fiscal bajo asistidos."/>
    <n v="0"/>
    <n v="10"/>
    <s v="Incremento"/>
    <m/>
    <s v="Gobierno territorial"/>
    <n v="45"/>
    <n v="16"/>
    <s v="SECRETARÍA DEL INTERIOR"/>
    <n v="1"/>
    <n v="4"/>
    <n v="3"/>
    <n v="2"/>
    <n v="10"/>
    <b v="1"/>
    <n v="0"/>
    <n v="0"/>
    <n v="1"/>
    <n v="1"/>
    <n v="0.1"/>
    <n v="1"/>
    <n v="0"/>
    <n v="0"/>
    <m/>
    <n v="1"/>
    <n v="1"/>
    <n v="1"/>
    <m/>
    <m/>
    <m/>
    <n v="0.1"/>
    <n v="4"/>
    <n v="0"/>
    <m/>
    <m/>
    <m/>
    <n v="0"/>
    <m/>
    <m/>
    <m/>
    <m/>
    <m/>
    <m/>
    <m/>
    <m/>
    <m/>
    <m/>
    <m/>
    <m/>
    <m/>
    <m/>
    <m/>
    <m/>
    <m/>
    <m/>
    <m/>
    <m/>
    <m/>
    <m/>
    <m/>
    <m/>
    <m/>
  </r>
  <r>
    <n v="4"/>
    <s v="BOLÍVAR PRIMERO EN FORTALECIMIENTO INSTITUCIONAL Y SEGURIDAD EFECTIVA PARA TODOS"/>
    <m/>
    <m/>
    <x v="23"/>
    <x v="23"/>
    <m/>
    <m/>
    <x v="66"/>
    <x v="65"/>
    <n v="0.12"/>
    <n v="0.25"/>
    <m/>
    <s v="Municipios con cuerpos de bomberos activos administrativamente"/>
    <s v="Municipios con cuerpos de bomberos activos administrativamente"/>
    <n v="16"/>
    <n v="25"/>
    <m/>
    <s v="Cuerpos de bomberos constituidos y reconocidos legalmente en Bolívar"/>
    <s v="Cuerpos de bomberos constituidos y reconocidos legalmente en Bolívar"/>
    <n v="16"/>
    <n v="25"/>
    <s v="Incremento"/>
    <m/>
    <s v="Gobierno territorial"/>
    <n v="45"/>
    <n v="16"/>
    <s v="SECRETARÍA DEL INTERIOR"/>
    <n v="2"/>
    <n v="4"/>
    <n v="2"/>
    <n v="1"/>
    <n v="9"/>
    <b v="0"/>
    <n v="0"/>
    <n v="2"/>
    <n v="2"/>
    <n v="2"/>
    <n v="0.08"/>
    <n v="2"/>
    <n v="0"/>
    <n v="2"/>
    <m/>
    <n v="2"/>
    <n v="1"/>
    <n v="3"/>
    <m/>
    <m/>
    <m/>
    <n v="0.12"/>
    <n v="4"/>
    <n v="1"/>
    <m/>
    <m/>
    <m/>
    <n v="0.25"/>
    <m/>
    <m/>
    <m/>
    <m/>
    <m/>
    <m/>
    <m/>
    <m/>
    <m/>
    <m/>
    <m/>
    <m/>
    <m/>
    <m/>
    <m/>
    <m/>
    <m/>
    <m/>
    <m/>
    <m/>
    <m/>
    <m/>
    <m/>
    <m/>
    <m/>
  </r>
  <r>
    <n v="4"/>
    <s v="BOLÍVAR PRIMERO EN FORTALECIMIENTO INSTITUCIONAL Y SEGURIDAD EFECTIVA PARA TODOS"/>
    <m/>
    <m/>
    <x v="23"/>
    <x v="23"/>
    <m/>
    <m/>
    <x v="67"/>
    <x v="66"/>
    <n v="0.5"/>
    <n v="0"/>
    <m/>
    <s v="Talento Humano en Teletrabajo"/>
    <s v="Talento Humano en Teletrabajo"/>
    <n v="0"/>
    <n v="40"/>
    <m/>
    <s v="Implementación modelo de Teletrabajo"/>
    <s v="Implementación modelo de Teletrabajo"/>
    <n v="0"/>
    <n v="1"/>
    <s v="Incremento"/>
    <m/>
    <s v="Gobierno Territorial"/>
    <n v="45"/>
    <s v="16. Paz, Justicia e Instituciones Sólidas"/>
    <s v="SECRETARÍA GENERAL "/>
    <n v="1"/>
    <n v="1"/>
    <m/>
    <m/>
    <n v="2"/>
    <b v="0"/>
    <n v="0"/>
    <n v="0"/>
    <n v="0.5"/>
    <n v="0.5"/>
    <n v="0.5"/>
    <n v="1"/>
    <n v="0"/>
    <n v="0"/>
    <m/>
    <n v="0.5"/>
    <n v="0.5"/>
    <n v="0.5"/>
    <m/>
    <m/>
    <m/>
    <n v="0.5"/>
    <n v="1"/>
    <n v="0"/>
    <m/>
    <m/>
    <m/>
    <n v="0"/>
    <m/>
    <m/>
    <m/>
    <m/>
    <m/>
    <m/>
    <m/>
    <m/>
    <m/>
    <m/>
    <m/>
    <m/>
    <m/>
    <m/>
    <m/>
    <m/>
    <m/>
    <m/>
    <m/>
    <m/>
    <m/>
    <m/>
    <m/>
    <m/>
    <m/>
  </r>
  <r>
    <n v="4"/>
    <s v="BOLÍVAR PRIMERO EN FORTALECIMIENTO INSTITUCIONAL Y SEGURIDAD EFECTIVA PARA TODOS"/>
    <m/>
    <m/>
    <x v="23"/>
    <x v="23"/>
    <m/>
    <m/>
    <x v="68"/>
    <x v="67"/>
    <n v="3.3333333333333333E-2"/>
    <n v="0.10416666666666667"/>
    <m/>
    <s v="Acciones de desarrollo en territorio Departamental"/>
    <s v="Acciones de desarrollo en territorio Departamental"/>
    <n v="0"/>
    <n v="46"/>
    <m/>
    <s v="Ruta de protocolo y_x000a_atención"/>
    <s v="Ruta de protocolo y_x000a_atención"/>
    <n v="0"/>
    <n v="5"/>
    <s v="Incremento"/>
    <m/>
    <m/>
    <m/>
    <m/>
    <s v="SECRETARIA PRIVADA"/>
    <n v="1"/>
    <n v="1.6"/>
    <m/>
    <m/>
    <n v="2.6"/>
    <b v="0"/>
    <n v="0"/>
    <n v="0"/>
    <m/>
    <m/>
    <n v="0"/>
    <n v="1"/>
    <n v="0"/>
    <n v="0"/>
    <m/>
    <m/>
    <n v="0"/>
    <n v="0"/>
    <m/>
    <m/>
    <m/>
    <n v="0"/>
    <n v="1.6"/>
    <m/>
    <m/>
    <m/>
    <m/>
    <n v="0"/>
    <m/>
    <m/>
    <m/>
    <m/>
    <m/>
    <m/>
    <m/>
    <m/>
    <m/>
    <m/>
    <m/>
    <m/>
    <m/>
    <m/>
    <m/>
    <m/>
    <m/>
    <m/>
    <m/>
    <m/>
    <m/>
    <m/>
    <m/>
    <m/>
    <m/>
  </r>
  <r>
    <n v="4"/>
    <s v="BOLÍVAR PRIMERO EN FORTALECIMIENTO INSTITUCIONAL Y SEGURIDAD EFECTIVA PARA TODOS"/>
    <m/>
    <m/>
    <x v="23"/>
    <x v="23"/>
    <m/>
    <m/>
    <x v="68"/>
    <x v="67"/>
    <m/>
    <m/>
    <m/>
    <s v="Acciones de desarrollo en territorio Departamental"/>
    <s v="Acciones de desarrollo en territorio Departamental"/>
    <n v="0"/>
    <n v="46"/>
    <m/>
    <s v="Sistema de comunicación como herramienta vital para mantener una Red departamental  fortalecida"/>
    <s v="Sistema de comunicación como herramienta vital para mantener una Red departamental  fortalecida"/>
    <n v="0"/>
    <n v="46"/>
    <s v="Incremento"/>
    <m/>
    <m/>
    <m/>
    <m/>
    <s v="SECRETARIA PRIVADA"/>
    <n v="9"/>
    <n v="15.33"/>
    <m/>
    <m/>
    <n v="24.33"/>
    <b v="0"/>
    <n v="0"/>
    <n v="0"/>
    <m/>
    <m/>
    <n v="0"/>
    <n v="9"/>
    <n v="0"/>
    <n v="0"/>
    <m/>
    <m/>
    <n v="0"/>
    <n v="0"/>
    <m/>
    <m/>
    <m/>
    <n v="0"/>
    <n v="15.33"/>
    <m/>
    <m/>
    <m/>
    <m/>
    <n v="0"/>
    <m/>
    <m/>
    <m/>
    <m/>
    <m/>
    <m/>
    <m/>
    <m/>
    <m/>
    <m/>
    <m/>
    <m/>
    <m/>
    <m/>
    <m/>
    <m/>
    <m/>
    <m/>
    <m/>
    <m/>
    <m/>
    <m/>
    <m/>
    <m/>
    <m/>
  </r>
  <r>
    <n v="4"/>
    <s v="BOLÍVAR PRIMERO EN FORTALECIMIENTO INSTITUCIONAL Y SEGURIDAD EFECTIVA PARA TODOS"/>
    <m/>
    <m/>
    <x v="23"/>
    <x v="23"/>
    <m/>
    <m/>
    <x v="68"/>
    <x v="67"/>
    <m/>
    <m/>
    <m/>
    <s v="Acciones de desarrollo en territorio Departamental"/>
    <s v="Acciones de desarrollo en territorio Departamental"/>
    <n v="0"/>
    <n v="46"/>
    <m/>
    <s v="Canales De_x000a_Comunicación"/>
    <s v="Canales De_x000a_Comunicación"/>
    <n v="0"/>
    <n v="5"/>
    <s v="Incremento"/>
    <m/>
    <m/>
    <m/>
    <m/>
    <s v="SECRETARIA PRIVADA"/>
    <n v="1"/>
    <n v="1.6"/>
    <m/>
    <m/>
    <n v="2.6"/>
    <b v="0"/>
    <n v="0"/>
    <n v="0"/>
    <m/>
    <m/>
    <n v="0"/>
    <n v="1"/>
    <n v="0"/>
    <n v="0"/>
    <m/>
    <m/>
    <n v="0"/>
    <n v="0.5"/>
    <m/>
    <m/>
    <m/>
    <n v="0.1"/>
    <n v="1.6"/>
    <n v="0.5"/>
    <m/>
    <m/>
    <m/>
    <n v="0.3125"/>
    <m/>
    <m/>
    <m/>
    <m/>
    <m/>
    <m/>
    <m/>
    <m/>
    <m/>
    <m/>
    <m/>
    <m/>
    <m/>
    <m/>
    <m/>
    <m/>
    <m/>
    <m/>
    <m/>
    <m/>
    <m/>
    <m/>
    <m/>
    <m/>
    <m/>
  </r>
  <r>
    <n v="4"/>
    <s v="BOLÍVAR PRIMERO EN FORTALECIMIENTO INSTITUCIONAL Y SEGURIDAD EFECTIVA PARA TODOS"/>
    <m/>
    <m/>
    <x v="24"/>
    <x v="24"/>
    <n v="3.5714285714285712E-2"/>
    <n v="0"/>
    <x v="69"/>
    <x v="68"/>
    <n v="3.5714285714285712E-2"/>
    <n v="0"/>
    <m/>
    <s v="Incremento del recaudo de los Ingresos Corriente de Libre Destinacion"/>
    <s v="Incremento del recaudo de los Ingresos Corriente de Libre Destinacion"/>
    <n v="0"/>
    <n v="0.12"/>
    <m/>
    <s v="Un sistema de Informacion tecnologico que permite el manejo eficiente de los tributos Departamentales"/>
    <s v="Un sistema de Informacion tecnologico que permite el manejo eficiente de los tributos Departamentales"/>
    <n v="0"/>
    <n v="1"/>
    <s v="Incremento"/>
    <m/>
    <s v="A.17 FORTALECIMIENTO INSTITUCIONAL"/>
    <s v="01"/>
    <n v="17"/>
    <s v="SECRETARÍA DE HACIENDA"/>
    <m/>
    <n v="1"/>
    <m/>
    <m/>
    <n v="1"/>
    <b v="1"/>
    <n v="0"/>
    <n v="0"/>
    <m/>
    <m/>
    <n v="0"/>
    <m/>
    <m/>
    <m/>
    <m/>
    <m/>
    <s v="NP"/>
    <n v="0"/>
    <m/>
    <m/>
    <m/>
    <n v="0"/>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Un manual de procedimientos elaborado, socializado e implementado"/>
    <s v="Un manual de procedimientos elaborado, socializado e implementado"/>
    <n v="0"/>
    <n v="1"/>
    <s v="Incremento"/>
    <m/>
    <s v="A.17 FORTALECIMIENTO INSTITUCIONAL"/>
    <s v="01"/>
    <n v="17"/>
    <s v="SECRETARÍA DE HACIENDA"/>
    <m/>
    <n v="1"/>
    <m/>
    <m/>
    <n v="1"/>
    <b v="1"/>
    <m/>
    <m/>
    <m/>
    <m/>
    <n v="0"/>
    <m/>
    <m/>
    <m/>
    <m/>
    <m/>
    <s v="NP"/>
    <n v="0"/>
    <m/>
    <m/>
    <m/>
    <n v="0"/>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Un sistema de informacion para la administracion de las bases de datos del Fondo de Pensiones del departamento de Bolivar"/>
    <s v="Un sistema de informacion para la administracion de las bases de datos del Fondo de Pensiones del departamento de Bolivar"/>
    <n v="0"/>
    <n v="1"/>
    <s v="Incremento"/>
    <m/>
    <s v="A.17 FORTALECIMIENTO INSTITUCIONAL"/>
    <s v="01"/>
    <n v="17"/>
    <s v="SECRETARÍA DE HACIENDA"/>
    <m/>
    <n v="1"/>
    <m/>
    <m/>
    <n v="1"/>
    <b v="1"/>
    <m/>
    <m/>
    <m/>
    <m/>
    <n v="0"/>
    <m/>
    <m/>
    <m/>
    <m/>
    <m/>
    <s v="NP"/>
    <n v="0"/>
    <m/>
    <m/>
    <m/>
    <n v="0"/>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El departamento de Bolivar saneado contablemente"/>
    <s v="El departamento de Bolivar saneado contablemente"/>
    <n v="0"/>
    <n v="1"/>
    <s v="Incremento"/>
    <m/>
    <s v="A.17 FORTALECIMIENTO INSTITUCIONAL"/>
    <n v="99"/>
    <n v="17"/>
    <s v="SECRETARÍA DE HACIENDA"/>
    <n v="0.25"/>
    <n v="0.25"/>
    <n v="0.25"/>
    <n v="0.25"/>
    <n v="1"/>
    <b v="1"/>
    <m/>
    <m/>
    <m/>
    <m/>
    <n v="0"/>
    <n v="0.25"/>
    <m/>
    <m/>
    <m/>
    <m/>
    <n v="0"/>
    <n v="0"/>
    <m/>
    <m/>
    <m/>
    <n v="0"/>
    <n v="0.25"/>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Politica Contable Implementada y socializada"/>
    <s v="Politica Contable Implementada y socializada"/>
    <n v="0"/>
    <n v="1"/>
    <s v="Incremento"/>
    <m/>
    <s v="A.17 FORTALECIMIENTO INSTITUCIONAL"/>
    <n v="99"/>
    <n v="17"/>
    <s v="SECRETARÍA DE HACIENDA"/>
    <m/>
    <n v="0.5"/>
    <n v="0.5"/>
    <m/>
    <n v="1"/>
    <b v="1"/>
    <m/>
    <m/>
    <m/>
    <m/>
    <n v="0"/>
    <m/>
    <m/>
    <m/>
    <m/>
    <m/>
    <s v="NP"/>
    <n v="0"/>
    <m/>
    <m/>
    <m/>
    <n v="0"/>
    <n v="0.5"/>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Cuatro convenios suscritos, uno cada año para el apoyo financiero y operativo de la Secretaria de Hacienda parala lucha contra el contrabando y la evasion"/>
    <s v="Cuatro convenios suscritos, uno cada año para el apoyo financiero y operativo de la Secretaria de Hacienda parala lucha contra el contrabando y la evasion"/>
    <n v="0"/>
    <n v="4"/>
    <s v="Incremento"/>
    <m/>
    <s v="A.17 FORTALECIMIENTO INSTITUCIONAL"/>
    <n v="99"/>
    <n v="17"/>
    <s v="SECRETARÍA DE HACIENDA"/>
    <n v="1"/>
    <n v="1"/>
    <n v="1"/>
    <n v="1"/>
    <n v="4"/>
    <b v="1"/>
    <n v="1"/>
    <n v="1"/>
    <n v="1"/>
    <n v="1"/>
    <n v="0.25"/>
    <n v="1"/>
    <n v="1"/>
    <n v="1"/>
    <m/>
    <n v="1"/>
    <n v="1"/>
    <n v="1"/>
    <m/>
    <m/>
    <m/>
    <n v="0.25"/>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Numero de municipios capacitados y con asistencia tecnica en materia financiera, tributaria y fiscal"/>
    <s v="Numero de municipios capacitados y con asistencia tecnica en materia financiera, tributaria y fiscal"/>
    <n v="0"/>
    <n v="46"/>
    <s v="Incremento"/>
    <m/>
    <s v="A.17 FORTALECIMIENTO INSTITUCIONAL"/>
    <n v="99"/>
    <n v="17"/>
    <s v="SECRETARÍA DE HACIENDA"/>
    <m/>
    <n v="23"/>
    <n v="23"/>
    <m/>
    <n v="46"/>
    <b v="1"/>
    <m/>
    <m/>
    <m/>
    <m/>
    <n v="0"/>
    <m/>
    <m/>
    <m/>
    <m/>
    <m/>
    <s v="NP"/>
    <n v="0"/>
    <m/>
    <m/>
    <m/>
    <n v="0"/>
    <n v="23"/>
    <n v="0"/>
    <m/>
    <m/>
    <m/>
    <n v="0"/>
    <m/>
    <m/>
    <m/>
    <m/>
    <m/>
    <m/>
    <m/>
    <m/>
    <m/>
    <m/>
    <m/>
    <m/>
    <m/>
    <m/>
    <m/>
    <m/>
    <m/>
    <m/>
    <m/>
    <m/>
    <m/>
    <m/>
    <m/>
    <m/>
    <m/>
  </r>
  <r>
    <n v="4"/>
    <s v="BOLÍVAR PRIMERO EN FORTALECIMIENTO INSTITUCIONAL Y SEGURIDAD EFECTIVA PARA TODOS"/>
    <m/>
    <m/>
    <x v="25"/>
    <x v="23"/>
    <n v="0.55155216185889555"/>
    <n v="8.9203703703703702E-2"/>
    <x v="70"/>
    <x v="69"/>
    <n v="0.140625"/>
    <n v="0.05"/>
    <m/>
    <s v="Ciudadanos con percepción positiva sobre la participación ciudadana en el departamento de Bolívar"/>
    <s v="Ciudadanos con percepción positiva sobre la participación ciudadana en el departamento de Bolívar"/>
    <n v="0"/>
    <n v="50"/>
    <m/>
    <s v="Estrategia integral de Fomento de las veedurías ciudadanas"/>
    <s v="Estrategia integral de Fomento de las veedurías ciudadanas"/>
    <n v="0"/>
    <n v="1"/>
    <s v="Incremento"/>
    <s v="Gobierno territorial"/>
    <n v="45"/>
    <m/>
    <s v="SECRETARÍA DEL INTERIOR"/>
    <s v="SECRETARÍA DEL INTERIOR"/>
    <m/>
    <n v="1"/>
    <m/>
    <m/>
    <n v="1"/>
    <b v="1"/>
    <m/>
    <m/>
    <m/>
    <m/>
    <n v="0"/>
    <m/>
    <m/>
    <m/>
    <m/>
    <m/>
    <s v="NP"/>
    <n v="0"/>
    <m/>
    <m/>
    <m/>
    <n v="0"/>
    <n v="1"/>
    <n v="0"/>
    <m/>
    <m/>
    <m/>
    <n v="0"/>
    <m/>
    <m/>
    <m/>
    <m/>
    <m/>
    <m/>
    <m/>
    <m/>
    <m/>
    <m/>
    <m/>
    <m/>
    <m/>
    <m/>
    <m/>
    <m/>
    <m/>
    <m/>
    <m/>
    <m/>
    <m/>
    <m/>
    <m/>
    <m/>
    <m/>
  </r>
  <r>
    <n v="4"/>
    <s v="BOLÍVAR PRIMERO EN FORTALECIMIENTO INSTITUCIONAL Y SEGURIDAD EFECTIVA PARA TODOS"/>
    <m/>
    <m/>
    <x v="25"/>
    <x v="23"/>
    <m/>
    <m/>
    <x v="70"/>
    <x v="69"/>
    <m/>
    <m/>
    <m/>
    <s v="Ciudadanos con percepción positiva sobre la participación ciudadana en el departamento de Bolívar"/>
    <s v="Ciudadanos con percepción positiva sobre la participación ciudadana en el departamento de Bolívar"/>
    <n v="0"/>
    <n v="50"/>
    <m/>
    <s v="Consejos Departamental de Participación Ciudadana constituido y en operatividad"/>
    <s v="Consejos Departamental de Participación Ciudadana constituido y en operatividad"/>
    <n v="100"/>
    <n v="100"/>
    <s v="mantiene"/>
    <s v="Gobierno territorial"/>
    <n v="45"/>
    <m/>
    <s v="SECRETARIA DEL INTERIOR"/>
    <s v="SECRETARÍA DEL INTERIOR"/>
    <m/>
    <n v="30"/>
    <n v="40"/>
    <n v="100"/>
    <n v="170"/>
    <b v="0"/>
    <m/>
    <m/>
    <m/>
    <m/>
    <n v="0"/>
    <m/>
    <m/>
    <m/>
    <m/>
    <m/>
    <s v="NP"/>
    <n v="0"/>
    <m/>
    <m/>
    <m/>
    <n v="0"/>
    <n v="30"/>
    <n v="0"/>
    <m/>
    <m/>
    <m/>
    <n v="0"/>
    <m/>
    <m/>
    <m/>
    <m/>
    <m/>
    <m/>
    <m/>
    <m/>
    <m/>
    <m/>
    <m/>
    <m/>
    <m/>
    <m/>
    <m/>
    <m/>
    <m/>
    <m/>
    <m/>
    <m/>
    <m/>
    <m/>
    <m/>
    <m/>
    <m/>
  </r>
  <r>
    <n v="4"/>
    <s v="BOLÍVAR PRIMERO EN FORTALECIMIENTO INSTITUCIONAL Y SEGURIDAD EFECTIVA PARA TODOS"/>
    <m/>
    <m/>
    <x v="25"/>
    <x v="23"/>
    <m/>
    <m/>
    <x v="70"/>
    <x v="69"/>
    <m/>
    <m/>
    <m/>
    <s v="Ciudadanos con percepción positiva sobre la participación ciudadana en el departamento de Bolívar"/>
    <s v="Ciudadanos con percepción positiva sobre la participación ciudadana en el departamento de Bolívar"/>
    <n v="0"/>
    <n v="50"/>
    <m/>
    <s v="Comités, consejos, consultivas, otros espacios de participación ciudadana orientados por la ley y política públicas en operatividad"/>
    <s v="Comités, consejos, consultivas, otros espacios de participación ciudadana orientados por la ley y política públicas en operatividad"/>
    <n v="50"/>
    <n v="80"/>
    <s v="Incremento"/>
    <s v="Gobierno territorial"/>
    <n v="45"/>
    <m/>
    <s v="SECRETARÍA DEL INTERIOR"/>
    <s v="SECRETARÍA DEL INTERIOR"/>
    <n v="10"/>
    <n v="25"/>
    <n v="25"/>
    <n v="20"/>
    <n v="80"/>
    <b v="1"/>
    <s v="12.5%"/>
    <n v="0"/>
    <n v="10"/>
    <n v="20"/>
    <n v="0.25"/>
    <n v="10"/>
    <n v="10"/>
    <n v="10"/>
    <m/>
    <n v="20"/>
    <n v="1"/>
    <n v="25"/>
    <m/>
    <m/>
    <m/>
    <n v="0.3125"/>
    <n v="25"/>
    <n v="5"/>
    <m/>
    <m/>
    <m/>
    <n v="0.2"/>
    <m/>
    <m/>
    <m/>
    <m/>
    <m/>
    <m/>
    <m/>
    <m/>
    <m/>
    <m/>
    <m/>
    <m/>
    <m/>
    <m/>
    <m/>
    <m/>
    <m/>
    <m/>
    <m/>
    <m/>
    <m/>
    <m/>
    <m/>
    <m/>
    <m/>
  </r>
  <r>
    <n v="4"/>
    <s v="BOLÍVAR PRIMERO EN FORTALECIMIENTO INSTITUCIONAL Y SEGURIDAD EFECTIVA PARA TODOS"/>
    <m/>
    <m/>
    <x v="25"/>
    <x v="23"/>
    <m/>
    <m/>
    <x v="70"/>
    <x v="69"/>
    <m/>
    <m/>
    <m/>
    <s v="Ciudadanos con percepción positiva sobre la participación ciudadana en el departamento de Bolívar"/>
    <s v="Ciudadanos con percepción positiva sobre la participación ciudadana en el departamento de Bolívar"/>
    <n v="0"/>
    <n v="50"/>
    <m/>
    <s v="Rendición de cuentas de la administración departamental coordinada y realizada"/>
    <s v="Rendición de cuentas de la administración departamental coordinada y realizada"/>
    <n v="4"/>
    <n v="4"/>
    <s v="mantiene"/>
    <s v="Gobierno territorial"/>
    <n v="45"/>
    <m/>
    <s v="SECRETARÍA DEL INTERIOR"/>
    <s v="SECRETARÍA DEL INTERIOR"/>
    <n v="1"/>
    <n v="1"/>
    <n v="1"/>
    <n v="1"/>
    <n v="4"/>
    <b v="1"/>
    <n v="0"/>
    <n v="0"/>
    <n v="1"/>
    <n v="1"/>
    <n v="0.25"/>
    <n v="1"/>
    <n v="0"/>
    <n v="0"/>
    <m/>
    <n v="1"/>
    <n v="1"/>
    <n v="1"/>
    <m/>
    <m/>
    <m/>
    <n v="0.25"/>
    <n v="1"/>
    <n v="0"/>
    <m/>
    <m/>
    <m/>
    <n v="0"/>
    <m/>
    <m/>
    <m/>
    <m/>
    <m/>
    <m/>
    <m/>
    <m/>
    <m/>
    <m/>
    <m/>
    <m/>
    <m/>
    <m/>
    <m/>
    <m/>
    <m/>
    <m/>
    <m/>
    <m/>
    <m/>
    <m/>
    <m/>
    <m/>
    <m/>
  </r>
  <r>
    <n v="4"/>
    <s v="BOLÍVAR PRIMERO EN FORTALECIMIENTO INSTITUCIONAL Y SEGURIDAD EFECTIVA PARA TODOS"/>
    <m/>
    <m/>
    <x v="25"/>
    <x v="25"/>
    <m/>
    <m/>
    <x v="71"/>
    <x v="70"/>
    <n v="0.11666666666666665"/>
    <n v="0"/>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Política Publica Departamental Comunal elaborada e implementada (con seguimiento)"/>
    <s v="Política Publica Departamental Comunal elaborada e implementada (con seguimiento)"/>
    <n v="0"/>
    <n v="40"/>
    <s v="Incremento"/>
    <m/>
    <s v="Gobierno territorial"/>
    <n v="45"/>
    <n v="10"/>
    <s v="SECRETARÍA DEL INTERIOR"/>
    <n v="5"/>
    <n v="10"/>
    <n v="15"/>
    <n v="15"/>
    <n v="45"/>
    <b v="0"/>
    <n v="0"/>
    <n v="5"/>
    <n v="10"/>
    <n v="10"/>
    <n v="0.25"/>
    <n v="5"/>
    <n v="0"/>
    <n v="5"/>
    <m/>
    <n v="10"/>
    <n v="1"/>
    <n v="10"/>
    <m/>
    <m/>
    <m/>
    <n v="0.25"/>
    <n v="10"/>
    <n v="0"/>
    <m/>
    <m/>
    <m/>
    <n v="0"/>
    <m/>
    <m/>
    <m/>
    <m/>
    <m/>
    <m/>
    <m/>
    <m/>
    <m/>
    <m/>
    <m/>
    <m/>
    <m/>
    <m/>
    <m/>
    <m/>
    <m/>
    <m/>
    <m/>
    <m/>
    <m/>
    <m/>
    <m/>
    <m/>
    <m/>
  </r>
  <r>
    <n v="4"/>
    <s v="BOLÍVAR PRIMERO EN FORTALECIMIENTO INSTITUCIONAL Y SEGURIDAD EFECTIVA PARA TODOS"/>
    <m/>
    <m/>
    <x v="25"/>
    <x v="25"/>
    <m/>
    <m/>
    <x v="71"/>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Organizaciones comunales participantes en los procesos de elecciones según calendario"/>
    <s v="Organizaciones comunales participantes en los procesos de elecciones según calendario"/>
    <s v="N/D"/>
    <n v="1000"/>
    <s v="Incremento"/>
    <m/>
    <s v="Gobierno territorial"/>
    <n v="45"/>
    <n v="10"/>
    <s v="SECRETARÍA DEL INTERIOR"/>
    <n v="100"/>
    <n v="1000"/>
    <m/>
    <m/>
    <n v="1100"/>
    <b v="0"/>
    <n v="0"/>
    <n v="100"/>
    <n v="100"/>
    <n v="100"/>
    <n v="0.1"/>
    <n v="100"/>
    <n v="0"/>
    <n v="100"/>
    <m/>
    <n v="100"/>
    <n v="1"/>
    <n v="100"/>
    <m/>
    <m/>
    <m/>
    <n v="0.1"/>
    <n v="1000"/>
    <n v="0"/>
    <m/>
    <m/>
    <m/>
    <n v="0"/>
    <m/>
    <m/>
    <m/>
    <m/>
    <m/>
    <m/>
    <m/>
    <m/>
    <m/>
    <m/>
    <m/>
    <m/>
    <m/>
    <m/>
    <m/>
    <m/>
    <m/>
    <m/>
    <m/>
    <m/>
    <m/>
    <m/>
    <m/>
    <m/>
    <m/>
  </r>
  <r>
    <n v="4"/>
    <s v="BOLÍVAR PRIMERO EN FORTALECIMIENTO INSTITUCIONAL Y SEGURIDAD EFECTIVA PARA TODOS"/>
    <m/>
    <m/>
    <x v="25"/>
    <x v="25"/>
    <m/>
    <m/>
    <x v="71"/>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Dependencia o instituto departamental de fortalecimiento de la participación ciudadana y la acción comunal gestionado"/>
    <s v="Dependencia o instituto departamental de fortalecimiento de la participación ciudadana y la acción comunal gestionado"/>
    <n v="0"/>
    <n v="1"/>
    <s v="Incremento"/>
    <m/>
    <s v="Gobierno territorial"/>
    <n v="45"/>
    <n v="10"/>
    <s v="SECRETARÍA DEL INTERIOR"/>
    <m/>
    <m/>
    <n v="1"/>
    <m/>
    <n v="1"/>
    <b v="1"/>
    <m/>
    <m/>
    <m/>
    <m/>
    <n v="0"/>
    <m/>
    <m/>
    <m/>
    <m/>
    <m/>
    <s v="NP"/>
    <n v="0"/>
    <m/>
    <m/>
    <m/>
    <n v="0"/>
    <s v="NP"/>
    <m/>
    <m/>
    <m/>
    <m/>
    <s v="NP"/>
    <m/>
    <m/>
    <m/>
    <m/>
    <m/>
    <m/>
    <m/>
    <m/>
    <m/>
    <m/>
    <m/>
    <m/>
    <m/>
    <m/>
    <m/>
    <m/>
    <m/>
    <m/>
    <m/>
    <m/>
    <m/>
    <m/>
    <m/>
    <m/>
    <m/>
  </r>
  <r>
    <n v="4"/>
    <s v="BOLÍVAR PRIMERO EN FORTALECIMIENTO INSTITUCIONAL Y SEGURIDAD EFECTIVA PARA TODOS"/>
    <m/>
    <m/>
    <x v="25"/>
    <x v="25"/>
    <m/>
    <m/>
    <x v="72"/>
    <x v="71"/>
    <n v="0.5"/>
    <s v="NP"/>
    <m/>
    <s v="Municipios con elecciones libres y seguras"/>
    <s v="Municipios con elecciones libres y seguras"/>
    <n v="45"/>
    <n v="45"/>
    <m/>
    <s v="Procesos electorales desarrollados en Bolívar"/>
    <s v="procesos electorales"/>
    <n v="1"/>
    <n v="2"/>
    <s v="Incremento"/>
    <m/>
    <s v="Gobierno territorial"/>
    <n v="45"/>
    <n v="16"/>
    <s v="SECRETARÍA DEL INTERIOR"/>
    <n v="1"/>
    <m/>
    <n v="1"/>
    <m/>
    <n v="2"/>
    <b v="1"/>
    <n v="0"/>
    <n v="1"/>
    <n v="1"/>
    <n v="1"/>
    <n v="0.5"/>
    <n v="1"/>
    <n v="0"/>
    <n v="1"/>
    <m/>
    <n v="1"/>
    <n v="1"/>
    <n v="1"/>
    <m/>
    <m/>
    <m/>
    <n v="0.5"/>
    <s v="NP"/>
    <m/>
    <m/>
    <m/>
    <m/>
    <s v="NP"/>
    <m/>
    <m/>
    <m/>
    <m/>
    <m/>
    <m/>
    <m/>
    <m/>
    <m/>
    <m/>
    <m/>
    <m/>
    <m/>
    <m/>
    <m/>
    <m/>
    <m/>
    <m/>
    <m/>
    <m/>
    <m/>
    <m/>
    <m/>
    <m/>
    <m/>
  </r>
  <r>
    <n v="4"/>
    <s v="BOLÍVAR PRIMERO EN FORTALECIMIENTO INSTITUCIONAL Y SEGURIDAD EFECTIVA PARA TODOS"/>
    <m/>
    <m/>
    <x v="25"/>
    <x v="25"/>
    <m/>
    <m/>
    <x v="73"/>
    <x v="72"/>
    <n v="0"/>
    <s v="NP"/>
    <m/>
    <s v="Lograr que los Bolivarenses se sienten orgullosos de su Departamento"/>
    <s v="Lograr que los Bolivarenses se sienten orgullosos de su Departamento"/>
    <n v="0"/>
    <n v="0.6"/>
    <m/>
    <s v="Realizar un sondeo para determinar el orgullo Bolivarense"/>
    <s v="Realizar un sondeo para determinar el orgullo Bolivarense"/>
    <s v="N/D"/>
    <n v="1"/>
    <s v="Incremento"/>
    <m/>
    <s v="Gobierno territorial"/>
    <n v="45"/>
    <n v="16"/>
    <s v="SECRETARÍA DEL INTERIOR"/>
    <m/>
    <n v="1"/>
    <m/>
    <m/>
    <n v="1"/>
    <b v="1"/>
    <m/>
    <m/>
    <m/>
    <m/>
    <n v="0"/>
    <m/>
    <m/>
    <m/>
    <m/>
    <m/>
    <s v="NP"/>
    <n v="0"/>
    <m/>
    <m/>
    <m/>
    <n v="0"/>
    <n v="1"/>
    <n v="0"/>
    <m/>
    <m/>
    <m/>
    <n v="0"/>
    <m/>
    <m/>
    <m/>
    <m/>
    <m/>
    <m/>
    <m/>
    <m/>
    <m/>
    <m/>
    <m/>
    <m/>
    <m/>
    <m/>
    <m/>
    <m/>
    <m/>
    <m/>
    <m/>
    <m/>
    <m/>
    <m/>
    <m/>
    <m/>
    <m/>
  </r>
  <r>
    <n v="4"/>
    <s v="BOLÍVAR PRIMERO EN FORTALECIMIENTO INSTITUCIONAL Y SEGURIDAD EFECTIVA PARA TODOS"/>
    <m/>
    <m/>
    <x v="25"/>
    <x v="25"/>
    <m/>
    <m/>
    <x v="73"/>
    <x v="72"/>
    <m/>
    <m/>
    <m/>
    <s v="Lograr que los Bolivarenses se sienten orgullosos de su Departamento"/>
    <s v="Lograr que los Bolivarenses se sienten orgullosos de su Departamento"/>
    <n v="0"/>
    <n v="0.6"/>
    <m/>
    <s v="Realizar 4 campañas para fomentar el sentido de pertenencia y la identidad en municipios del Departamento de Bolívar"/>
    <s v="Realizar 4 campañas para fomentar el sentido de pertenencia y la identidad en municipios del Departamento de Bolívar"/>
    <n v="1"/>
    <n v="4"/>
    <s v="Incremento"/>
    <m/>
    <s v="Gobierno territorial"/>
    <n v="45"/>
    <n v="16"/>
    <s v="SECRETARÍA DEL INTERIOR"/>
    <m/>
    <n v="1"/>
    <n v="2"/>
    <n v="1"/>
    <n v="4"/>
    <b v="1"/>
    <m/>
    <m/>
    <m/>
    <m/>
    <n v="0"/>
    <m/>
    <m/>
    <m/>
    <m/>
    <m/>
    <s v="NP"/>
    <n v="0"/>
    <m/>
    <m/>
    <m/>
    <n v="0"/>
    <n v="1"/>
    <n v="0"/>
    <m/>
    <m/>
    <m/>
    <n v="0"/>
    <m/>
    <m/>
    <m/>
    <m/>
    <m/>
    <m/>
    <m/>
    <m/>
    <m/>
    <m/>
    <m/>
    <m/>
    <m/>
    <m/>
    <m/>
    <m/>
    <m/>
    <m/>
    <m/>
    <m/>
    <m/>
    <m/>
    <m/>
    <m/>
    <m/>
  </r>
  <r>
    <n v="4"/>
    <s v="BOLÍVAR PRIMERO EN FORTALECIMIENTO INSTITUCIONAL Y SEGURIDAD EFECTIVA PARA TODOS"/>
    <m/>
    <m/>
    <x v="25"/>
    <x v="25"/>
    <m/>
    <m/>
    <x v="73"/>
    <x v="72"/>
    <m/>
    <m/>
    <m/>
    <s v="Lograr que los Bolivarenses se sienten orgullosos de su Departamento"/>
    <s v="Lograr que los Bolivarenses se sienten orgullosos de su Departamento"/>
    <n v="0"/>
    <n v="0.6"/>
    <m/>
    <s v="Establecer el día del Orgullo Bolivarense"/>
    <s v="Establecer el día del Orgullo Bolivarense"/>
    <n v="0"/>
    <n v="1"/>
    <s v="Incremento"/>
    <m/>
    <s v="Gobierno territorial"/>
    <n v="45"/>
    <n v="16"/>
    <s v="SECRETARÍA DEL INTERIOR"/>
    <m/>
    <n v="1"/>
    <m/>
    <m/>
    <n v="1"/>
    <b v="1"/>
    <m/>
    <m/>
    <m/>
    <m/>
    <n v="0"/>
    <m/>
    <m/>
    <m/>
    <m/>
    <m/>
    <s v="NP"/>
    <n v="0"/>
    <m/>
    <m/>
    <m/>
    <n v="0"/>
    <n v="1"/>
    <n v="0"/>
    <m/>
    <m/>
    <m/>
    <n v="0"/>
    <m/>
    <m/>
    <m/>
    <m/>
    <m/>
    <m/>
    <m/>
    <m/>
    <m/>
    <m/>
    <m/>
    <m/>
    <m/>
    <m/>
    <m/>
    <m/>
    <m/>
    <m/>
    <m/>
    <m/>
    <m/>
    <m/>
    <m/>
    <m/>
    <m/>
  </r>
  <r>
    <n v="5"/>
    <s v="BOLÍVAR PRIMERO EN RURALIDAD"/>
    <n v="0.11365974625144175"/>
    <n v="0.90440000000000009"/>
    <x v="26"/>
    <x v="26"/>
    <e v="#VALUE!"/>
    <n v="0.13427579365079365"/>
    <x v="74"/>
    <x v="73"/>
    <s v="NP"/>
    <n v="0.12023809523809523"/>
    <m/>
    <s v="100 % de Población rural bolivarense a la que se le garantiza el goce y disfrute de sus derechos sociales."/>
    <s v="Población rural bolivarense a la que se le garantiza el goce y disfrute de sus derechos sociales."/>
    <s v="ND"/>
    <n v="100"/>
    <m/>
    <s v="22 Jornadas de tramites de_x000a_documentos a miembros de la población rural del departamento de Bolívar"/>
    <s v="Jornadas de tramites de_x000a_documentos a miembros de la población rural del departamento de Bolívar"/>
    <s v="ND"/>
    <n v="22"/>
    <s v="Incremento"/>
    <m/>
    <s v="NA"/>
    <m/>
    <n v="1"/>
    <s v="SECRETARÍA DE LA MUJER"/>
    <m/>
    <n v="5"/>
    <n v="10"/>
    <n v="9"/>
    <n v="24"/>
    <b v="0"/>
    <m/>
    <m/>
    <m/>
    <m/>
    <n v="0"/>
    <m/>
    <m/>
    <m/>
    <m/>
    <m/>
    <s v="NP"/>
    <n v="0"/>
    <m/>
    <m/>
    <m/>
    <n v="0"/>
    <n v="5"/>
    <n v="0"/>
    <m/>
    <m/>
    <m/>
    <n v="0"/>
    <m/>
    <m/>
    <m/>
    <m/>
    <m/>
    <m/>
    <m/>
    <m/>
    <m/>
    <m/>
    <m/>
    <m/>
    <m/>
    <m/>
    <m/>
    <m/>
    <m/>
    <m/>
    <m/>
    <m/>
    <m/>
    <m/>
    <m/>
    <m/>
    <m/>
  </r>
  <r>
    <n v="5"/>
    <s v="BOLÍVAR PRIMERO EN RURALIDAD"/>
    <m/>
    <m/>
    <x v="26"/>
    <x v="26"/>
    <m/>
    <m/>
    <x v="74"/>
    <x v="73"/>
    <m/>
    <m/>
    <m/>
    <s v="100 % de Población rural bolivarense a la que se le garantiza el goce y disfrute de sus derechos sociales."/>
    <s v="Población rural bolivarense a la que se le garantiza el goce y disfrute de sus derechos sociales."/>
    <s v="ND"/>
    <n v="100"/>
    <m/>
    <s v="Familias rurales atendidas para el fortalecimiento del núcleo familiar y la convivencia comunitariar"/>
    <s v="Familias rurales atendidas para el fortalecimiento del núcleo familiar y la convivencia comunitariar"/>
    <s v="ND"/>
    <n v="100"/>
    <s v="Incremento"/>
    <m/>
    <s v="NA"/>
    <m/>
    <n v="1"/>
    <s v="SECRETARÍA DE LA MUJER"/>
    <m/>
    <n v="20"/>
    <m/>
    <m/>
    <n v="20"/>
    <b v="0"/>
    <m/>
    <m/>
    <m/>
    <m/>
    <n v="0"/>
    <m/>
    <m/>
    <m/>
    <m/>
    <m/>
    <s v="NP"/>
    <n v="0"/>
    <m/>
    <m/>
    <m/>
    <n v="0"/>
    <n v="20"/>
    <n v="0"/>
    <m/>
    <m/>
    <m/>
    <n v="0"/>
    <m/>
    <m/>
    <m/>
    <m/>
    <m/>
    <m/>
    <m/>
    <m/>
    <m/>
    <m/>
    <m/>
    <m/>
    <m/>
    <m/>
    <m/>
    <m/>
    <m/>
    <m/>
    <m/>
    <m/>
    <m/>
    <m/>
    <m/>
    <m/>
    <m/>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00"/>
    <m/>
    <s v="Casas de justicia operando que facilitan el acceso a la justicia a la población rural"/>
    <s v="Casas de justicia operando que facilitan el acceso a la justicia a la población rural"/>
    <s v="ND"/>
    <n v="1"/>
    <s v="Incremento"/>
    <m/>
    <m/>
    <n v="45"/>
    <n v="10"/>
    <s v="SECRETARÍA DEL INTERIOR"/>
    <m/>
    <m/>
    <m/>
    <m/>
    <n v="0"/>
    <b v="0"/>
    <m/>
    <m/>
    <m/>
    <m/>
    <n v="0"/>
    <m/>
    <m/>
    <m/>
    <m/>
    <m/>
    <s v="NP"/>
    <n v="0"/>
    <m/>
    <m/>
    <m/>
    <n v="0"/>
    <s v="NP"/>
    <m/>
    <m/>
    <m/>
    <m/>
    <s v="NP"/>
    <m/>
    <m/>
    <m/>
    <m/>
    <m/>
    <m/>
    <m/>
    <m/>
    <m/>
    <m/>
    <m/>
    <m/>
    <m/>
    <m/>
    <m/>
    <m/>
    <m/>
    <m/>
    <m/>
    <m/>
    <m/>
    <m/>
    <m/>
    <m/>
    <m/>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00"/>
    <m/>
    <s v="Personas del sector rural víctimas de un delito que denuncian"/>
    <s v="Personas del sector rural víctimas de un delito que denuncian"/>
    <s v="ND"/>
    <n v="10"/>
    <s v="Incremento"/>
    <m/>
    <m/>
    <n v="45"/>
    <n v="10"/>
    <s v="SECRETARÍA DEL INTERIOR"/>
    <m/>
    <m/>
    <m/>
    <m/>
    <n v="0"/>
    <b v="0"/>
    <m/>
    <m/>
    <m/>
    <m/>
    <n v="0"/>
    <m/>
    <m/>
    <m/>
    <m/>
    <m/>
    <s v="NP"/>
    <n v="0"/>
    <m/>
    <m/>
    <m/>
    <n v="0"/>
    <s v="NP"/>
    <m/>
    <m/>
    <m/>
    <m/>
    <s v="NP"/>
    <m/>
    <m/>
    <m/>
    <m/>
    <m/>
    <m/>
    <m/>
    <m/>
    <m/>
    <m/>
    <m/>
    <m/>
    <m/>
    <m/>
    <m/>
    <m/>
    <m/>
    <m/>
    <m/>
    <m/>
    <m/>
    <m/>
    <m/>
    <m/>
    <m/>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Viviendas nuevas rurales iniciadas con el proposito de reducir del deficit cuantitativo"/>
    <s v="Viviendas nuevas rurales iniciadas con el proposito de reducir del deficit cuantitativo"/>
    <n v="48042"/>
    <n v="800"/>
    <s v="Incremento"/>
    <n v="0"/>
    <s v="Vivienda"/>
    <n v="40"/>
    <s v="11 Ciudades y comunidades sostenibles"/>
    <s v="SECRETARÍA DE HÁBITAT"/>
    <m/>
    <n v="300"/>
    <m/>
    <m/>
    <n v="300"/>
    <b v="0"/>
    <m/>
    <m/>
    <m/>
    <m/>
    <n v="0"/>
    <m/>
    <m/>
    <m/>
    <m/>
    <m/>
    <s v="NP"/>
    <n v="50"/>
    <m/>
    <m/>
    <m/>
    <n v="6.25E-2"/>
    <n v="300"/>
    <n v="50"/>
    <m/>
    <m/>
    <m/>
    <n v="0.16666666666666666"/>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Mejoramiento de viviendas rurales iniciados para la reducción del deficit cualitativo"/>
    <s v="Mejoramiento de viviendas rurales iniciados para la reducción del deficit cualitativo"/>
    <n v="78004"/>
    <n v="800"/>
    <s v="Incremento"/>
    <n v="0"/>
    <s v="Vivienda"/>
    <n v="40"/>
    <s v="11 Ciudades y comunidades sostenibles"/>
    <s v="SECRETARÍA DE HÁBITAT"/>
    <m/>
    <m/>
    <m/>
    <m/>
    <n v="0"/>
    <b v="0"/>
    <m/>
    <m/>
    <m/>
    <m/>
    <n v="0"/>
    <m/>
    <m/>
    <m/>
    <m/>
    <m/>
    <s v="NP"/>
    <n v="0"/>
    <m/>
    <m/>
    <m/>
    <n v="0"/>
    <s v="NP"/>
    <n v="0"/>
    <m/>
    <m/>
    <m/>
    <s v="NP"/>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Viviendas nuevas rurales iniciadas para madres cabezas de familia"/>
    <s v="Viviendas nuevas rurales iniciadas para madres cabezas de familia"/>
    <s v="ND"/>
    <n v="200"/>
    <s v="Incremento"/>
    <n v="0"/>
    <s v="Vivienda"/>
    <n v="40"/>
    <s v="11 Ciudades y comunidades sostenibles"/>
    <s v="SECRETARÍA DE HÁBITAT / SECRETARÍA DE LA MUJER"/>
    <m/>
    <n v="70"/>
    <m/>
    <m/>
    <n v="70"/>
    <b v="0"/>
    <m/>
    <m/>
    <m/>
    <m/>
    <n v="0"/>
    <m/>
    <m/>
    <m/>
    <m/>
    <m/>
    <s v="NP"/>
    <n v="22"/>
    <m/>
    <m/>
    <m/>
    <n v="0.11"/>
    <n v="70"/>
    <n v="22"/>
    <m/>
    <m/>
    <m/>
    <n v="0.31428571428571428"/>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Mejoramiento de viviendas rurales para madres campesinas cabezas de hogar"/>
    <s v="Mejoramiento de viviendas rurales para madres campesinas cabezas de hogar"/>
    <s v="ND"/>
    <n v="200"/>
    <s v="Incremento"/>
    <n v="0"/>
    <s v="Vivienda"/>
    <n v="40"/>
    <s v="11 Ciudades y comunidades sostenibles"/>
    <s v="SECRETARÍA DE HÁBITAT / SECRETARÍA DE LA MUJER"/>
    <m/>
    <m/>
    <m/>
    <m/>
    <n v="0"/>
    <b v="0"/>
    <m/>
    <m/>
    <m/>
    <m/>
    <n v="0"/>
    <m/>
    <m/>
    <m/>
    <m/>
    <m/>
    <s v="NP"/>
    <n v="0"/>
    <m/>
    <m/>
    <m/>
    <n v="0"/>
    <s v="NP"/>
    <n v="0"/>
    <m/>
    <m/>
    <m/>
    <s v="NP"/>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Espacio público rural habilitado."/>
    <s v="Espacio público rural habilitado."/>
    <s v="ND"/>
    <n v="5000"/>
    <s v="Incremento"/>
    <m/>
    <s v="Vivienda"/>
    <n v="40"/>
    <s v="11 Ciudades y comunidades sostenibles"/>
    <s v="SECRETARÍA DE INFRAESTRUCTURA"/>
    <m/>
    <m/>
    <m/>
    <m/>
    <n v="0"/>
    <b v="0"/>
    <m/>
    <m/>
    <m/>
    <m/>
    <n v="0"/>
    <m/>
    <m/>
    <m/>
    <m/>
    <m/>
    <s v="NP"/>
    <e v="#VALUE!"/>
    <m/>
    <m/>
    <m/>
    <e v="#VALUE!"/>
    <s v="NP"/>
    <s v="no pertenece"/>
    <m/>
    <m/>
    <m/>
    <s v="NP"/>
    <m/>
    <m/>
    <m/>
    <m/>
    <m/>
    <m/>
    <m/>
    <m/>
    <m/>
    <m/>
    <m/>
    <m/>
    <m/>
    <m/>
    <m/>
    <m/>
    <m/>
    <m/>
    <m/>
    <m/>
    <m/>
    <m/>
    <m/>
    <m/>
    <m/>
  </r>
  <r>
    <n v="5"/>
    <s v="BOLÍVAR PRIMERO EN RURALIDAD"/>
    <m/>
    <m/>
    <x v="26"/>
    <x v="26"/>
    <m/>
    <m/>
    <x v="75"/>
    <x v="74"/>
    <n v="0"/>
    <n v="0"/>
    <m/>
    <s v="Establecimientos educativos del sector rural mejoran su infraestructura y calidad"/>
    <s v="Establecimientos educativos del sector rural mejoran su infraestructura y calidad"/>
    <s v="ND"/>
    <n v="1"/>
    <m/>
    <s v="Espacios pedagógicos rurales_x000a_nuevos y mejorados."/>
    <s v="Espacios pedagógicos rurales_x000a_nuevos y mejorados."/>
    <n v="146"/>
    <n v="210"/>
    <s v="Incremento"/>
    <m/>
    <m/>
    <m/>
    <m/>
    <s v="SECRETARÍA DE EDUCACIÓN"/>
    <n v="40"/>
    <n v="100"/>
    <n v="40"/>
    <n v="30"/>
    <n v="210"/>
    <b v="1"/>
    <m/>
    <m/>
    <m/>
    <m/>
    <n v="0"/>
    <m/>
    <m/>
    <m/>
    <m/>
    <m/>
    <s v="NP"/>
    <n v="0"/>
    <m/>
    <m/>
    <m/>
    <n v="0"/>
    <n v="100"/>
    <n v="0"/>
    <m/>
    <m/>
    <m/>
    <n v="0"/>
    <m/>
    <m/>
    <m/>
    <m/>
    <m/>
    <m/>
    <m/>
    <m/>
    <m/>
    <m/>
    <m/>
    <m/>
    <m/>
    <m/>
    <m/>
    <m/>
    <m/>
    <m/>
    <m/>
    <m/>
    <m/>
    <m/>
    <m/>
    <m/>
    <m/>
  </r>
  <r>
    <n v="5"/>
    <s v="BOLÍVAR PRIMERO EN RURALIDAD"/>
    <m/>
    <m/>
    <x v="26"/>
    <x v="26"/>
    <m/>
    <m/>
    <x v="75"/>
    <x v="74"/>
    <m/>
    <m/>
    <m/>
    <s v="Establecimientos educativos del sector rural mejoran su infraestructura y calidad"/>
    <s v="Establecimientos educativos del sector rural mejoran su infraestructura y calidad"/>
    <s v="ND"/>
    <n v="1"/>
    <m/>
    <s v="Establecimientos educativos  rurales con dotación básica y/o especializada"/>
    <s v="Establecimientos educativos  rurales con dotación básica y/o especializada"/>
    <n v="85"/>
    <n v="275"/>
    <s v="Incremento"/>
    <m/>
    <m/>
    <m/>
    <m/>
    <s v="SECRETARÍA DE EDUCACIÓN"/>
    <n v="30"/>
    <n v="145"/>
    <n v="50"/>
    <n v="50"/>
    <n v="275"/>
    <b v="1"/>
    <m/>
    <m/>
    <m/>
    <m/>
    <n v="0"/>
    <m/>
    <m/>
    <m/>
    <m/>
    <m/>
    <s v="NP"/>
    <n v="0"/>
    <m/>
    <m/>
    <m/>
    <n v="0"/>
    <n v="145"/>
    <n v="0"/>
    <m/>
    <m/>
    <m/>
    <n v="0"/>
    <m/>
    <m/>
    <m/>
    <m/>
    <m/>
    <m/>
    <m/>
    <m/>
    <m/>
    <m/>
    <m/>
    <m/>
    <m/>
    <m/>
    <m/>
    <m/>
    <m/>
    <m/>
    <m/>
    <m/>
    <m/>
    <m/>
    <m/>
    <m/>
    <m/>
  </r>
  <r>
    <n v="5"/>
    <s v="BOLÍVAR PRIMERO EN RURALIDAD"/>
    <m/>
    <m/>
    <x v="26"/>
    <x v="26"/>
    <m/>
    <m/>
    <x v="75"/>
    <x v="74"/>
    <m/>
    <m/>
    <m/>
    <s v="Establecimientos educativos del sector rural mejoran su infraestructura y calidad"/>
    <s v="Establecimientos educativos del sector rural mejoran su infraestructura y calidad"/>
    <s v="ND"/>
    <n v="1"/>
    <m/>
    <s v="Establecimientos Educativos rurales que mejoraron los resultados en las Pruebas Saber"/>
    <s v="Establecimientos Educativos rurales que mejoraron los resultados en las Pruebas Saber"/>
    <s v="N.D"/>
    <n v="10"/>
    <s v="Incremento"/>
    <m/>
    <m/>
    <m/>
    <m/>
    <s v="SECRETARÍA DE EDUCACIÓN"/>
    <n v="2"/>
    <n v="2"/>
    <n v="3"/>
    <n v="3"/>
    <n v="10"/>
    <b v="1"/>
    <m/>
    <m/>
    <m/>
    <m/>
    <n v="0"/>
    <m/>
    <m/>
    <m/>
    <m/>
    <m/>
    <s v="NP"/>
    <n v="0"/>
    <m/>
    <m/>
    <m/>
    <n v="0"/>
    <n v="2"/>
    <n v="0"/>
    <m/>
    <m/>
    <m/>
    <n v="0"/>
    <m/>
    <m/>
    <m/>
    <m/>
    <m/>
    <m/>
    <m/>
    <m/>
    <m/>
    <m/>
    <m/>
    <m/>
    <m/>
    <m/>
    <m/>
    <m/>
    <m/>
    <m/>
    <m/>
    <m/>
    <m/>
    <m/>
    <m/>
    <m/>
    <m/>
  </r>
  <r>
    <n v="5"/>
    <s v="BOLÍVAR PRIMERO EN RURALIDAD"/>
    <m/>
    <m/>
    <x v="26"/>
    <x v="26"/>
    <m/>
    <m/>
    <x v="75"/>
    <x v="74"/>
    <m/>
    <m/>
    <m/>
    <s v="Establecimientos educativos del sector rural mejoran su infraestructura y calidad"/>
    <s v="Establecimientos educativos del sector rural mejoran su infraestructura y calidad"/>
    <s v="ND"/>
    <n v="1"/>
    <m/>
    <s v="I.E rurales a los que se les garantiza seguridad alimentaria"/>
    <s v="I.E rurales a los que se les garantiza seguridad alimentaria"/>
    <s v="N.D"/>
    <n v="10"/>
    <s v="Incremento"/>
    <m/>
    <m/>
    <m/>
    <m/>
    <s v="SECRETARÍA DE EDUCACIÓN"/>
    <n v="0"/>
    <n v="10"/>
    <m/>
    <m/>
    <n v="10"/>
    <b v="1"/>
    <m/>
    <m/>
    <m/>
    <m/>
    <n v="0"/>
    <m/>
    <m/>
    <m/>
    <m/>
    <m/>
    <s v="NP"/>
    <n v="0"/>
    <m/>
    <m/>
    <m/>
    <n v="0"/>
    <n v="10"/>
    <n v="0"/>
    <m/>
    <m/>
    <m/>
    <n v="0"/>
    <m/>
    <m/>
    <m/>
    <m/>
    <m/>
    <m/>
    <m/>
    <m/>
    <m/>
    <m/>
    <m/>
    <m/>
    <m/>
    <m/>
    <m/>
    <m/>
    <m/>
    <m/>
    <m/>
    <m/>
    <m/>
    <m/>
    <m/>
    <m/>
    <m/>
  </r>
  <r>
    <n v="5"/>
    <s v="BOLÍVAR PRIMERO EN RURALIDAD"/>
    <m/>
    <m/>
    <x v="26"/>
    <x v="26"/>
    <m/>
    <m/>
    <x v="76"/>
    <x v="75"/>
    <n v="0.14666666666666667"/>
    <n v="6.25E-2"/>
    <m/>
    <s v="Aumento de cobertura en el suministro de agua potable en el sector rural"/>
    <s v="Aumento de cobertura en el suministro de agua potable en el sector rural"/>
    <n v="0.41"/>
    <s v="Aumentar en 9 puntos (a 50%) la cobertura de agua potable en zona rural en el departamento de Bolívar"/>
    <m/>
    <s v="Construcción y/o rehabilitación de sistemas de acueducto para aumentar cobertura del servicio en zona rural en el departamento de Bolívar"/>
    <s v="Construcción y/o rehabilitación de sistemas de acueducto para aumentar cobertura del servicio en zona rural en el departamento de Bolívar"/>
    <n v="13"/>
    <n v="25"/>
    <s v="Incremento"/>
    <m/>
    <s v="Vivienda"/>
    <n v="40"/>
    <s v="6 Agua limpia y saneamiento"/>
    <s v="SECRETARÍA DE HÁBITAT Y AGUAS DE BOLÍVAR S.A. E.S.P."/>
    <n v="1"/>
    <n v="8"/>
    <m/>
    <m/>
    <n v="9"/>
    <b v="0"/>
    <n v="1"/>
    <n v="4"/>
    <n v="10"/>
    <n v="10"/>
    <n v="0.4"/>
    <n v="1"/>
    <n v="1"/>
    <n v="1"/>
    <m/>
    <n v="10"/>
    <n v="1"/>
    <n v="11"/>
    <m/>
    <m/>
    <m/>
    <n v="0.44"/>
    <n v="8"/>
    <n v="1"/>
    <m/>
    <m/>
    <m/>
    <n v="0.125"/>
    <m/>
    <m/>
    <m/>
    <m/>
    <m/>
    <m/>
    <m/>
    <m/>
    <m/>
    <m/>
    <m/>
    <m/>
    <m/>
    <m/>
    <m/>
    <m/>
    <m/>
    <m/>
    <m/>
    <m/>
    <m/>
    <m/>
    <n v="0"/>
    <n v="0"/>
    <n v="0"/>
  </r>
  <r>
    <n v="5"/>
    <s v="BOLÍVAR PRIMERO EN RURALIDAD"/>
    <m/>
    <m/>
    <x v="26"/>
    <x v="26"/>
    <m/>
    <m/>
    <x v="76"/>
    <x v="75"/>
    <m/>
    <m/>
    <m/>
    <s v="Aumento de la cobertura en el servicio de alcantarillado en el sector rural"/>
    <s v="Aumento de la cobertura en el servicio de alcantarillado en el sector rural"/>
    <n v="0.03"/>
    <s v="Aumentar en 3 puntos (a 6%) la cobertura de alcantarillado en zona rural en el departamento de Bolívar"/>
    <m/>
    <s v="Construcción y/o rehabilitación de sistemas de alcantarillado para aumentar cobertura del servicio en zona rural en el departamento de Bolívar"/>
    <s v="Construcción y/o rehabilitación de sistemas de alcantarillado para aumentar cobertura del servicio en zona rural en el departamento de Bolívar"/>
    <n v="0"/>
    <n v="6"/>
    <s v="Incremento"/>
    <m/>
    <s v="Vivienda"/>
    <n v="40"/>
    <s v="6 Agua limpia y saneamiento"/>
    <s v="SECRETARÍA DE HÁBITAT Y AGUAS DE BOLÍVAR S.A. E.S.P."/>
    <m/>
    <n v="2"/>
    <m/>
    <m/>
    <n v="2"/>
    <b v="0"/>
    <m/>
    <m/>
    <m/>
    <m/>
    <n v="0"/>
    <m/>
    <m/>
    <m/>
    <m/>
    <m/>
    <s v="NP"/>
    <n v="0"/>
    <m/>
    <m/>
    <m/>
    <n v="0"/>
    <n v="2"/>
    <n v="0"/>
    <m/>
    <m/>
    <m/>
    <n v="0"/>
    <m/>
    <m/>
    <m/>
    <m/>
    <m/>
    <m/>
    <m/>
    <m/>
    <m/>
    <m/>
    <m/>
    <m/>
    <m/>
    <m/>
    <m/>
    <m/>
    <m/>
    <m/>
    <m/>
    <m/>
    <m/>
    <m/>
    <n v="0"/>
    <n v="0"/>
    <n v="0"/>
  </r>
  <r>
    <n v="5"/>
    <s v="BOLÍVAR PRIMERO EN RURALIDAD"/>
    <m/>
    <m/>
    <x v="26"/>
    <x v="26"/>
    <m/>
    <m/>
    <x v="76"/>
    <x v="75"/>
    <m/>
    <m/>
    <m/>
    <s v="Aumento de la cobertura en el suministro de Energía en el sector rural"/>
    <s v="Aumento de la cobertura en el suministro de Energía en el sector rural"/>
    <n v="0.7"/>
    <n v="0.85"/>
    <m/>
    <s v="Viviendas en zonas rurales_x000a_con suministro de energía_x000a_desde fuentes de energía_x000a_renovables"/>
    <s v="Viviendas en zonas rurales_x000a_con suministro de energía_x000a_desde fuentes de energía_x000a_renovables"/>
    <s v="N.D"/>
    <n v="1000"/>
    <s v="Incremento"/>
    <m/>
    <m/>
    <m/>
    <m/>
    <s v="SECRETARÍA DE MINAS Y ENERGÍA   "/>
    <m/>
    <m/>
    <m/>
    <m/>
    <n v="0"/>
    <b v="0"/>
    <m/>
    <m/>
    <m/>
    <m/>
    <n v="0"/>
    <m/>
    <m/>
    <m/>
    <m/>
    <m/>
    <s v="NP"/>
    <n v="0"/>
    <m/>
    <m/>
    <m/>
    <n v="0"/>
    <s v="NP"/>
    <n v="0"/>
    <m/>
    <m/>
    <m/>
    <s v="NP"/>
    <m/>
    <m/>
    <m/>
    <m/>
    <m/>
    <m/>
    <m/>
    <m/>
    <m/>
    <m/>
    <m/>
    <m/>
    <m/>
    <m/>
    <m/>
    <m/>
    <m/>
    <m/>
    <m/>
    <m/>
    <m/>
    <m/>
    <m/>
    <m/>
    <m/>
  </r>
  <r>
    <n v="5"/>
    <s v="BOLÍVAR PRIMERO EN RURALIDAD"/>
    <m/>
    <m/>
    <x v="26"/>
    <x v="26"/>
    <m/>
    <m/>
    <x v="77"/>
    <x v="76"/>
    <n v="0.28026666666666666"/>
    <n v="0"/>
    <m/>
    <s v="Hogares rurales de Bolívar que han aumentado su productividad"/>
    <s v="% de Hogares rurales de bolivar que han aumentado su productividad"/>
    <s v="ND"/>
    <n v="1"/>
    <m/>
    <s v="20 Hogares rurales de Bolívar que han aumentado su productividad"/>
    <s v="Numero de Hogares rurales de Bolívar que han aumentado su productividad"/>
    <s v="ND"/>
    <n v="20"/>
    <s v="Incremento"/>
    <s v="Entrega de insumos, semilla, herramienta, maquinaria para pequeños ´productores del departamento"/>
    <s v="Agropecuario"/>
    <m/>
    <s v="Hambre cero"/>
    <s v="SECRETARÍA DE AGRICULTURA"/>
    <n v="20"/>
    <m/>
    <n v="5"/>
    <n v="5"/>
    <n v="30"/>
    <b v="0"/>
    <n v="0"/>
    <n v="20"/>
    <n v="20"/>
    <n v="20"/>
    <n v="1"/>
    <n v="20"/>
    <n v="0"/>
    <n v="20"/>
    <m/>
    <n v="20"/>
    <n v="1"/>
    <n v="20"/>
    <m/>
    <m/>
    <m/>
    <n v="1"/>
    <s v="NP"/>
    <n v="0"/>
    <m/>
    <m/>
    <m/>
    <s v="NP"/>
    <m/>
    <m/>
    <m/>
    <m/>
    <m/>
    <m/>
    <m/>
    <m/>
    <m/>
    <m/>
    <m/>
    <m/>
    <m/>
    <m/>
    <m/>
    <m/>
    <m/>
    <m/>
    <m/>
    <m/>
    <m/>
    <m/>
    <m/>
    <m/>
    <m/>
  </r>
  <r>
    <n v="5"/>
    <s v="BOLÍVAR PRIMERO EN RURALIDAD"/>
    <m/>
    <m/>
    <x v="26"/>
    <x v="26"/>
    <m/>
    <m/>
    <x v="77"/>
    <x v="76"/>
    <m/>
    <m/>
    <m/>
    <s v="Escuelas rurales que brindan educación media articulada con la vocación del territorio."/>
    <s v="% Escuelas rurales que brindan educación media articulada con la vocación del territorio."/>
    <s v="ND"/>
    <n v="1"/>
    <m/>
    <s v="Escuelas rurales que brindan educación media articulada con la vocación del territorio."/>
    <s v="Numero de Escuelas rurales que brindan educación media articulada con la vocación del territorio."/>
    <s v="ND"/>
    <n v="1"/>
    <s v="Incremento"/>
    <m/>
    <s v=" "/>
    <m/>
    <s v="Fin de la pobreza"/>
    <s v="SECRETARÍA DE AGRICULTURA"/>
    <m/>
    <m/>
    <m/>
    <m/>
    <n v="0"/>
    <b v="0"/>
    <m/>
    <m/>
    <m/>
    <m/>
    <n v="0"/>
    <m/>
    <m/>
    <m/>
    <m/>
    <m/>
    <s v="NP"/>
    <n v="0"/>
    <m/>
    <m/>
    <m/>
    <n v="0"/>
    <s v="NP"/>
    <m/>
    <m/>
    <m/>
    <m/>
    <s v="NP"/>
    <m/>
    <m/>
    <m/>
    <m/>
    <m/>
    <m/>
    <m/>
    <m/>
    <m/>
    <m/>
    <m/>
    <m/>
    <m/>
    <m/>
    <m/>
    <m/>
    <m/>
    <m/>
    <m/>
    <m/>
    <m/>
    <m/>
    <m/>
    <m/>
    <m/>
  </r>
  <r>
    <n v="5"/>
    <s v="BOLÍVAR PRIMERO EN RURALIDAD"/>
    <m/>
    <m/>
    <x v="26"/>
    <x v="26"/>
    <m/>
    <m/>
    <x v="77"/>
    <x v="76"/>
    <m/>
    <m/>
    <m/>
    <s v="Encadenamientos productivos que benefician familias rurales acompañados y apoyados. "/>
    <s v="% de Encadenamientos productivos que benefician familias rurales acompañados y apoyados. "/>
    <s v="ND"/>
    <n v="1"/>
    <m/>
    <s v="4 Encadenamientos productivos que benefician familias rurales acompañados y apoyados. "/>
    <s v="Numero de  Encadenamientos productivos que benefician familias rurales acompañados y apoyados. "/>
    <s v="ND"/>
    <n v="4"/>
    <s v="Incremento"/>
    <s v="Entrega de insumos y semilla para pequeños ´productores del departamento"/>
    <s v="Agropecuario"/>
    <m/>
    <s v="Fin de la pobreza"/>
    <s v="SECRETARÍA DE AGRICULTURA"/>
    <n v="1"/>
    <n v="1"/>
    <n v="1"/>
    <n v="1"/>
    <n v="4"/>
    <b v="1"/>
    <n v="0"/>
    <n v="1"/>
    <n v="1"/>
    <n v="1"/>
    <n v="0.25"/>
    <n v="1"/>
    <n v="0"/>
    <n v="1"/>
    <m/>
    <n v="1"/>
    <n v="1"/>
    <n v="1"/>
    <m/>
    <m/>
    <m/>
    <n v="0.25"/>
    <n v="1"/>
    <n v="0"/>
    <m/>
    <m/>
    <m/>
    <n v="0"/>
    <m/>
    <m/>
    <m/>
    <m/>
    <m/>
    <m/>
    <m/>
    <m/>
    <m/>
    <m/>
    <m/>
    <m/>
    <m/>
    <m/>
    <m/>
    <m/>
    <m/>
    <m/>
    <m/>
    <m/>
    <m/>
    <m/>
    <m/>
    <m/>
    <m/>
  </r>
  <r>
    <n v="5"/>
    <s v="BOLÍVAR PRIMERO EN RURALIDAD"/>
    <m/>
    <m/>
    <x v="26"/>
    <x v="26"/>
    <m/>
    <m/>
    <x v="77"/>
    <x v="76"/>
    <m/>
    <m/>
    <m/>
    <s v="Asociaciones de pequeños productores conformadas y apoyadas."/>
    <s v="% de Asociaciones de pequeños productores conformadas y apoyadas."/>
    <s v="ND"/>
    <n v="0.2"/>
    <m/>
    <s v="una  Asociaciones de pequeños productores conformadas y apoyadas."/>
    <s v="Numero de   Asociaciones de pequeños productores conformadas y apoyadas."/>
    <s v="ND"/>
    <n v="1"/>
    <s v="Incremento"/>
    <m/>
    <m/>
    <m/>
    <s v="Fin de la pobreza"/>
    <s v="SECRETARÍA DE AGRICULTURA"/>
    <m/>
    <m/>
    <m/>
    <n v="2"/>
    <n v="2"/>
    <b v="0"/>
    <m/>
    <m/>
    <m/>
    <m/>
    <n v="0"/>
    <m/>
    <m/>
    <m/>
    <m/>
    <m/>
    <s v="NP"/>
    <n v="0"/>
    <m/>
    <m/>
    <m/>
    <n v="0"/>
    <s v="NP"/>
    <n v="0"/>
    <m/>
    <m/>
    <m/>
    <s v="NP"/>
    <m/>
    <m/>
    <m/>
    <m/>
    <m/>
    <m/>
    <m/>
    <m/>
    <m/>
    <m/>
    <m/>
    <m/>
    <m/>
    <m/>
    <m/>
    <m/>
    <m/>
    <m/>
    <m/>
    <m/>
    <m/>
    <m/>
    <m/>
    <m/>
    <m/>
  </r>
  <r>
    <n v="5"/>
    <s v="BOLÍVAR PRIMERO EN RURALIDAD"/>
    <m/>
    <m/>
    <x v="26"/>
    <x v="26"/>
    <m/>
    <m/>
    <x v="77"/>
    <x v="76"/>
    <m/>
    <m/>
    <m/>
    <s v="Proyectos productivos con enfoque poblacional, para población rural bolivarense_x000a_presentados y aprobados"/>
    <s v="% de Proyectos productivos con enfoque poblacional, para población rural bolivarense_x000a_presentados y aprobados"/>
    <s v="ND"/>
    <n v="1"/>
    <m/>
    <s v="Proyectos productivos con enfoque poblacional, para población rural bolivarense_x000a_presentados y aprobados"/>
    <s v="Numero de Proyectos productivos con enfoque poblacional, para población rural bolivarense_x000a_presentados y aprobados"/>
    <s v="ND"/>
    <n v="6"/>
    <s v="Incremento"/>
    <s v="Proyectos productivos para poblaciones minorias"/>
    <m/>
    <m/>
    <s v="Fin de la pobreza"/>
    <s v="SECRETARÍA DE AGRICULTURA"/>
    <n v="3"/>
    <n v="2"/>
    <n v="2"/>
    <m/>
    <n v="7"/>
    <b v="0"/>
    <m/>
    <n v="1"/>
    <n v="3"/>
    <n v="3"/>
    <n v="0.5"/>
    <n v="3"/>
    <m/>
    <n v="1"/>
    <m/>
    <n v="3"/>
    <n v="1"/>
    <n v="3"/>
    <m/>
    <m/>
    <m/>
    <n v="0.5"/>
    <n v="2"/>
    <n v="0"/>
    <m/>
    <m/>
    <m/>
    <n v="0"/>
    <m/>
    <m/>
    <m/>
    <m/>
    <m/>
    <m/>
    <m/>
    <m/>
    <m/>
    <m/>
    <m/>
    <m/>
    <m/>
    <m/>
    <m/>
    <m/>
    <m/>
    <m/>
    <m/>
    <m/>
    <m/>
    <m/>
    <m/>
    <m/>
    <m/>
  </r>
  <r>
    <n v="5"/>
    <s v="BOLÍVAR PRIMERO EN RURALIDAD"/>
    <m/>
    <m/>
    <x v="26"/>
    <x v="26"/>
    <m/>
    <m/>
    <x v="77"/>
    <x v="76"/>
    <m/>
    <m/>
    <m/>
    <s v="Proyectos productivos con enfoque de género, para apoyar a mujeres campesinas_x000a_bolivarenses presentados y_x000a_aprobados."/>
    <s v="% de Proyectos productivos con enfoque de género, para apoyar a mujeres campesinas_x000a_bolivarenses presentados y_x000a_aprobados."/>
    <s v="ND"/>
    <n v="1"/>
    <m/>
    <s v="Proyectos productivos con enfoque de género, para apoyar a mujeres campesinas_x000a_bolivarenses presentados y_x000a_aprobados."/>
    <s v="Numero de Proyectos productivos con enfoque de género, para apoyar a mujeres campesinas_x000a_bolivarenses presentados y_x000a_aprobados."/>
    <s v="ND"/>
    <n v="4"/>
    <s v="Incremento"/>
    <s v="Proyectos productivos con enfoque de genero"/>
    <m/>
    <m/>
    <s v="Fin de la pobreza"/>
    <s v="SECRETARÍA DE AGRICULTURA"/>
    <n v="2"/>
    <n v="1"/>
    <n v="1"/>
    <n v="1"/>
    <n v="5"/>
    <b v="0"/>
    <m/>
    <m/>
    <n v="2"/>
    <n v="2"/>
    <n v="0.5"/>
    <n v="2"/>
    <m/>
    <m/>
    <m/>
    <n v="2"/>
    <n v="1"/>
    <n v="2"/>
    <m/>
    <m/>
    <m/>
    <n v="0.5"/>
    <n v="1"/>
    <n v="0"/>
    <m/>
    <m/>
    <m/>
    <n v="0"/>
    <m/>
    <m/>
    <m/>
    <m/>
    <m/>
    <m/>
    <m/>
    <m/>
    <m/>
    <m/>
    <m/>
    <m/>
    <m/>
    <m/>
    <m/>
    <m/>
    <m/>
    <m/>
    <m/>
    <m/>
    <m/>
    <m/>
    <m/>
    <m/>
    <m/>
  </r>
  <r>
    <n v="5"/>
    <s v="BOLÍVAR PRIMERO EN RURALIDAD"/>
    <m/>
    <m/>
    <x v="26"/>
    <x v="26"/>
    <m/>
    <m/>
    <x v="77"/>
    <x v="76"/>
    <m/>
    <m/>
    <m/>
    <s v="Fondos de desarrollo rural creados para el fomento de la asociatividad."/>
    <s v="Fondos de desarrollo rural creados para el fomento de la asociatividad "/>
    <s v="ND"/>
    <n v="1"/>
    <m/>
    <s v="Un Fondos de desarrollo rural creados para el fomento de la asociatividad "/>
    <s v="Un Fondos de desarrollo rural creados para el fomento de la asociatividad "/>
    <s v="ND"/>
    <n v="1"/>
    <s v="Incremento"/>
    <m/>
    <m/>
    <m/>
    <s v="Fin de la pobreza"/>
    <s v="SECRETARÍA DE AGRICULTURA"/>
    <m/>
    <m/>
    <m/>
    <m/>
    <n v="0"/>
    <b v="0"/>
    <m/>
    <m/>
    <m/>
    <m/>
    <n v="0"/>
    <m/>
    <m/>
    <m/>
    <m/>
    <m/>
    <s v="NP"/>
    <n v="0"/>
    <m/>
    <m/>
    <m/>
    <n v="0"/>
    <s v="NP"/>
    <n v="0"/>
    <m/>
    <m/>
    <m/>
    <s v="NP"/>
    <m/>
    <m/>
    <m/>
    <m/>
    <m/>
    <m/>
    <m/>
    <m/>
    <m/>
    <m/>
    <m/>
    <m/>
    <m/>
    <m/>
    <m/>
    <m/>
    <m/>
    <m/>
    <m/>
    <m/>
    <m/>
    <m/>
    <m/>
    <m/>
    <m/>
  </r>
  <r>
    <n v="5"/>
    <s v="BOLÍVAR PRIMERO EN RURALIDAD"/>
    <m/>
    <m/>
    <x v="26"/>
    <x v="26"/>
    <m/>
    <m/>
    <x v="77"/>
    <x v="76"/>
    <m/>
    <m/>
    <m/>
    <s v="Talleres de capacitación para promover la productividad la asociatividad y los emprendimientos familiares "/>
    <s v="% Talleres de capacitación para promover la productividad la asociatividad y los emprendimientos familiares "/>
    <s v="ND"/>
    <n v="1"/>
    <m/>
    <s v="12 Talleres de capacitación para promover la productividad la asociatividad y los emprendimientos familiares "/>
    <s v="Numero de  Talleres de capacitación para promover la productividad la asociatividad y los emprendimientos familiares "/>
    <s v="ND"/>
    <n v="12"/>
    <s v="Incremento"/>
    <s v="Talleres realizados en el desarrollo del proyecto de extension agropecuria del departamento de Bolivar en 10 encadenamientos productivos"/>
    <m/>
    <m/>
    <s v="Fin de la pobreza"/>
    <s v="SECRETARÍA DE AGRICULTURA"/>
    <n v="3"/>
    <n v="3"/>
    <n v="3"/>
    <n v="3"/>
    <n v="12"/>
    <b v="1"/>
    <n v="0"/>
    <n v="3"/>
    <n v="3"/>
    <n v="3"/>
    <n v="0.25"/>
    <n v="3"/>
    <n v="0"/>
    <n v="3"/>
    <m/>
    <n v="3"/>
    <n v="1"/>
    <n v="3"/>
    <m/>
    <m/>
    <m/>
    <n v="0.25"/>
    <n v="3"/>
    <n v="0"/>
    <m/>
    <m/>
    <m/>
    <n v="0"/>
    <m/>
    <m/>
    <m/>
    <m/>
    <m/>
    <m/>
    <m/>
    <m/>
    <m/>
    <m/>
    <m/>
    <m/>
    <m/>
    <m/>
    <m/>
    <m/>
    <m/>
    <m/>
    <m/>
    <m/>
    <m/>
    <m/>
    <m/>
    <m/>
    <m/>
  </r>
  <r>
    <n v="5"/>
    <s v="BOLÍVAR PRIMERO EN RURALIDAD"/>
    <m/>
    <m/>
    <x v="26"/>
    <x v="26"/>
    <m/>
    <m/>
    <x v="77"/>
    <x v="76"/>
    <m/>
    <m/>
    <m/>
    <s v="Jóvenes rurales adquieren competencias laborales a través de la Educación para el Trabajo y el Desarrollo_x000a_Humano"/>
    <s v="% de Jóvenes rurales adquieren competencias laborales a través de la Educación para el Trabajo y el Desarrollo_x000a_Humano"/>
    <s v="ND"/>
    <n v="1"/>
    <m/>
    <s v="1500  Jóvenes rurales adquieren competencias laborales a través de la Educación para el Trabajo y el Desarrollo Humano"/>
    <s v="Numero de   Jóvenes rurales adquieren competencias laborales a través de la Educación para el Trabajo y el Desarrollo_x000a_Humano"/>
    <s v="ND"/>
    <n v="1500"/>
    <s v="Incremento"/>
    <s v="Programacion de cursos con el sena Bolivar agroempresarial"/>
    <m/>
    <m/>
    <s v="Fin de la pobreza"/>
    <s v="SECRETARÍA DE AGRICULTURA"/>
    <n v="375"/>
    <n v="796"/>
    <n v="500"/>
    <n v="250"/>
    <n v="1921"/>
    <b v="0"/>
    <n v="0"/>
    <n v="79"/>
    <n v="79"/>
    <n v="79"/>
    <n v="5.2666666666666667E-2"/>
    <n v="375"/>
    <n v="0"/>
    <n v="79"/>
    <m/>
    <n v="79"/>
    <n v="0.21066666666666667"/>
    <n v="79"/>
    <m/>
    <m/>
    <m/>
    <n v="5.2666666666666667E-2"/>
    <n v="796"/>
    <n v="0"/>
    <m/>
    <m/>
    <m/>
    <n v="0"/>
    <m/>
    <m/>
    <m/>
    <m/>
    <m/>
    <m/>
    <m/>
    <m/>
    <m/>
    <m/>
    <m/>
    <m/>
    <m/>
    <m/>
    <m/>
    <m/>
    <m/>
    <m/>
    <m/>
    <m/>
    <m/>
    <m/>
    <m/>
    <m/>
    <m/>
  </r>
  <r>
    <n v="5"/>
    <s v="BOLÍVAR PRIMERO EN RURALIDAD"/>
    <m/>
    <m/>
    <x v="26"/>
    <x v="26"/>
    <m/>
    <m/>
    <x v="77"/>
    <x v="76"/>
    <m/>
    <m/>
    <m/>
    <s v="Mujeres rurales adquieren competencias laborales a través de la Educación para el Trabajo y el Desarrollo_x000a_Humano."/>
    <s v="% de Mujeres rurales adquieren competencias laborales a través de la Educación para el Trabajo y el Desarrollo_x000a_Humano."/>
    <s v="ND"/>
    <n v="1"/>
    <m/>
    <s v="500  Mujeres rurales adquieren competencias laborales a través de la Educación para el Trabajo y el Desarrollo Humano."/>
    <s v="Numero de   Mujeres rurales adquieren competencias laborales a través de la Educación para el Trabajo y el Desarrollo_x000a_Humano."/>
    <s v="ND"/>
    <n v="500"/>
    <s v="Incremento"/>
    <s v="Programacion de cursos con el sena Bolivar agroempresarial"/>
    <m/>
    <m/>
    <s v="Fin de la pobreza"/>
    <s v="SECRETARÍA DE AGRICULTURA"/>
    <n v="125"/>
    <n v="150"/>
    <n v="150"/>
    <n v="100"/>
    <n v="525"/>
    <b v="0"/>
    <m/>
    <n v="20"/>
    <n v="125"/>
    <n v="125"/>
    <n v="0.25"/>
    <n v="125"/>
    <m/>
    <n v="20"/>
    <m/>
    <n v="125"/>
    <n v="1"/>
    <n v="125"/>
    <m/>
    <m/>
    <m/>
    <n v="0.25"/>
    <n v="150"/>
    <n v="0"/>
    <m/>
    <m/>
    <m/>
    <n v="0"/>
    <m/>
    <m/>
    <m/>
    <m/>
    <m/>
    <m/>
    <m/>
    <m/>
    <m/>
    <m/>
    <m/>
    <m/>
    <m/>
    <m/>
    <m/>
    <m/>
    <m/>
    <m/>
    <m/>
    <m/>
    <m/>
    <m/>
    <m/>
    <m/>
    <m/>
  </r>
  <r>
    <n v="5"/>
    <s v="BOLÍVAR PRIMERO EN RURALIDAD"/>
    <m/>
    <m/>
    <x v="26"/>
    <x v="26"/>
    <m/>
    <m/>
    <x v="78"/>
    <x v="77"/>
    <n v="0.71323529411764697"/>
    <n v="0.85"/>
    <m/>
    <s v="Mejorar las condiciones de las vías para transportarse entre zonas rurales y los centros urbanos"/>
    <s v="Mejorar las condiciones de las vías para transportarse entre zonas rurales y los centros urbanos"/>
    <s v="552,13 Km"/>
    <s v="170 Kilometros"/>
    <m/>
    <s v="Intervenir kilometros de  Red vial terciaria, para interconectar el sector rural con centros urbanos."/>
    <s v="170 Km de la Red vial terciaria intervenida"/>
    <s v="ND"/>
    <n v="170"/>
    <s v="Incremento"/>
    <s v="Mejorar, rehabilitar y/o mantener  Kilometros de red vial terciaria para interconectar el sector rural con centros urbanos "/>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n v="40"/>
    <n v="40"/>
    <n v="30"/>
    <n v="30"/>
    <n v="140"/>
    <b v="0"/>
    <n v="15"/>
    <n v="63"/>
    <n v="70"/>
    <n v="70"/>
    <n v="0.41176470588235292"/>
    <n v="40"/>
    <n v="15"/>
    <n v="40"/>
    <m/>
    <n v="70"/>
    <n v="1"/>
    <n v="98"/>
    <m/>
    <m/>
    <m/>
    <n v="0.57647058823529407"/>
    <n v="40"/>
    <n v="28"/>
    <m/>
    <m/>
    <m/>
    <n v="0.7"/>
    <m/>
    <m/>
    <m/>
    <m/>
    <m/>
    <m/>
    <m/>
    <m/>
    <m/>
    <m/>
    <m/>
    <m/>
    <m/>
    <m/>
    <m/>
    <m/>
    <m/>
    <m/>
    <m/>
    <m/>
    <m/>
    <m/>
    <m/>
    <m/>
    <n v="8000000000"/>
  </r>
  <r>
    <n v="5"/>
    <s v="BOLÍVAR PRIMERO EN RURALIDAD"/>
    <m/>
    <m/>
    <x v="26"/>
    <x v="26"/>
    <m/>
    <m/>
    <x v="78"/>
    <x v="77"/>
    <m/>
    <m/>
    <m/>
    <s v="Mejorar las condiciones de las vías para transportarse entre zonas rurales y los centros urbanos"/>
    <s v="Mejorar las condiciones de las vías para transportarse entre zonas rurales y los centros urbanos"/>
    <s v="552,13 Km"/>
    <s v="170 Kilometros"/>
    <m/>
    <s v="Construir, mejorar y/o rehabilitar   metros lineales de puentes en el sector rural.  "/>
    <s v="200 Metros lineales de puentes construidos o intervenidos en el sector rural"/>
    <s v="ND"/>
    <n v="200"/>
    <s v="Incremento"/>
    <s v="Construir, mejorar, rehabilitar y/o mantener  puentes en el sector rural"/>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n v="60"/>
    <n v="60"/>
    <n v="50"/>
    <n v="40"/>
    <n v="210"/>
    <b v="0"/>
    <n v="0"/>
    <n v="0"/>
    <n v="50"/>
    <n v="50"/>
    <n v="0.25"/>
    <n v="60"/>
    <n v="0"/>
    <n v="0"/>
    <m/>
    <n v="50"/>
    <n v="0.83333333333333337"/>
    <n v="170"/>
    <m/>
    <m/>
    <m/>
    <n v="0.85"/>
    <n v="60"/>
    <n v="120"/>
    <m/>
    <m/>
    <m/>
    <n v="1"/>
    <m/>
    <m/>
    <m/>
    <m/>
    <m/>
    <m/>
    <m/>
    <m/>
    <m/>
    <m/>
    <m/>
    <m/>
    <m/>
    <m/>
    <m/>
    <m/>
    <m/>
    <m/>
    <m/>
    <m/>
    <m/>
    <m/>
    <m/>
    <m/>
    <m/>
  </r>
  <r>
    <n v="5"/>
    <s v="BOLÍVAR PRIMERO EN RURALIDAD"/>
    <m/>
    <m/>
    <x v="26"/>
    <x v="26"/>
    <m/>
    <m/>
    <x v="79"/>
    <x v="78"/>
    <n v="3.5000000000000003E-2"/>
    <n v="0.15277777777777776"/>
    <m/>
    <s v="Municipios de Bolívar con población rural apoyados en sus procesos artísticos, deportivos y culturales."/>
    <s v="Municipios de Bolívar con población rural apoyados en sus procesos artísticos, deportivos y culturales."/>
    <s v="N.D"/>
    <n v="1"/>
    <m/>
    <s v="Eventos para la visibilizarían de las manifestaciones artísticas y culturales de población RURAL en el departamento de Bolívar"/>
    <s v="Eventos para la visibilizarían de las manifestaciones artísticas y culturales de población RURAL en el departamento de Bolívar"/>
    <s v="N.D"/>
    <n v="100"/>
    <s v="Incremento"/>
    <m/>
    <m/>
    <m/>
    <m/>
    <s v="ICULTUR"/>
    <m/>
    <n v="4"/>
    <m/>
    <m/>
    <n v="4"/>
    <b v="0"/>
    <m/>
    <m/>
    <m/>
    <m/>
    <n v="0"/>
    <m/>
    <m/>
    <m/>
    <m/>
    <m/>
    <s v="NP"/>
    <n v="1"/>
    <m/>
    <m/>
    <m/>
    <n v="0.01"/>
    <n v="4"/>
    <n v="1"/>
    <m/>
    <m/>
    <m/>
    <n v="0.25"/>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Espacios institucionales en medios de comunicación apoyados para difundir las manifestaciones socioculturales de la población RURAL"/>
    <s v="Espacios institucionales en medios de comunicación apoyados para difundir las manifestaciones socioculturales de la población RURAL"/>
    <s v="N.D"/>
    <n v="100"/>
    <s v="Incremento"/>
    <m/>
    <m/>
    <m/>
    <m/>
    <s v="ICULTUR"/>
    <m/>
    <n v="0.2"/>
    <m/>
    <m/>
    <n v="0.2"/>
    <b v="0"/>
    <m/>
    <m/>
    <m/>
    <m/>
    <n v="0"/>
    <m/>
    <m/>
    <m/>
    <m/>
    <m/>
    <s v="NP"/>
    <n v="0"/>
    <m/>
    <m/>
    <m/>
    <n v="0"/>
    <n v="0.2"/>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Eventos anuales realizados para la promoción, reconocimiento, rescate y salvaguarda de valores, hábitos, tradiciones y costumbres del campesino bolivarense."/>
    <s v="Eventos anuales realizados para la promoción, reconocimiento, rescate y salvaguarda de valores, hábitos, tradiciones y costumbres del campesino bolivarense."/>
    <s v="N.D"/>
    <n v="4"/>
    <s v="Incremento"/>
    <m/>
    <m/>
    <m/>
    <m/>
    <s v="ICULTUR"/>
    <m/>
    <n v="1"/>
    <m/>
    <m/>
    <n v="1"/>
    <b v="0"/>
    <m/>
    <m/>
    <m/>
    <m/>
    <n v="0"/>
    <m/>
    <m/>
    <m/>
    <m/>
    <m/>
    <s v="NP"/>
    <n v="0"/>
    <m/>
    <m/>
    <m/>
    <n v="0"/>
    <n v="1"/>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Convocatorias de estímulos a artistas, creadores y Gestores culturales RURAL realizadas"/>
    <s v="Convocatorias de estímulos a artistas, creadores y Gestores culturales RURAL realizadas"/>
    <s v="N.D"/>
    <n v="4"/>
    <s v="Incremento"/>
    <m/>
    <m/>
    <m/>
    <m/>
    <s v="ICULTUR"/>
    <m/>
    <n v="1"/>
    <m/>
    <m/>
    <n v="1"/>
    <b v="0"/>
    <m/>
    <m/>
    <m/>
    <m/>
    <n v="0"/>
    <m/>
    <m/>
    <m/>
    <m/>
    <m/>
    <s v="NP"/>
    <n v="0"/>
    <m/>
    <m/>
    <m/>
    <n v="0"/>
    <n v="1"/>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Artistas, creadores y Gestores culturales rurales capacitados"/>
    <s v="Artistas, creadores y Gestores culturales rurales capacitados"/>
    <s v="N.D"/>
    <n v="100"/>
    <s v="Incremento"/>
    <m/>
    <m/>
    <m/>
    <m/>
    <s v="ICULTUR"/>
    <m/>
    <n v="50"/>
    <m/>
    <m/>
    <n v="50"/>
    <b v="0"/>
    <m/>
    <m/>
    <m/>
    <m/>
    <n v="0"/>
    <m/>
    <m/>
    <m/>
    <m/>
    <m/>
    <s v="NP"/>
    <n v="0"/>
    <m/>
    <m/>
    <m/>
    <n v="0"/>
    <n v="50"/>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Actividades deportivas rurales, organizadas y apoyadas"/>
    <s v="Actividades deportivas rurales, organizadas y apoyadas"/>
    <s v="N.D"/>
    <n v="10"/>
    <s v="Incremento"/>
    <m/>
    <m/>
    <m/>
    <m/>
    <s v="IDERBOL"/>
    <m/>
    <n v="3"/>
    <m/>
    <m/>
    <n v="3"/>
    <b v="0"/>
    <m/>
    <m/>
    <m/>
    <m/>
    <n v="0"/>
    <m/>
    <m/>
    <m/>
    <m/>
    <m/>
    <s v="NP"/>
    <n v="2"/>
    <m/>
    <m/>
    <m/>
    <n v="0.2"/>
    <n v="3"/>
    <n v="2"/>
    <m/>
    <m/>
    <m/>
    <n v="0.66666666666666663"/>
    <m/>
    <m/>
    <m/>
    <m/>
    <m/>
    <m/>
    <m/>
    <m/>
    <m/>
    <m/>
    <m/>
    <m/>
    <m/>
    <m/>
    <m/>
    <m/>
    <m/>
    <m/>
    <m/>
    <m/>
    <m/>
    <m/>
    <m/>
    <m/>
    <m/>
  </r>
  <r>
    <n v="6"/>
    <s v="GRUPOS POBLACIONALES"/>
    <n v="0.23230559812757284"/>
    <n v="0.81902076390669054"/>
    <x v="27"/>
    <x v="27"/>
    <n v="0.24493279800561454"/>
    <n v="0.27044072948328268"/>
    <x v="80"/>
    <x v="79"/>
    <n v="0.26750944596339332"/>
    <n v="0.29777777777777775"/>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que han superado la carencia de Subsistencia mínima "/>
    <n v="127"/>
    <n v="400"/>
    <s v="Incremento"/>
    <m/>
    <m/>
    <m/>
    <s v="3,4,5,10,16 "/>
    <s v="SECRETARÍA DE VÍCTIMAS"/>
    <n v="50"/>
    <n v="100"/>
    <n v="100"/>
    <n v="150"/>
    <n v="400"/>
    <b v="1"/>
    <m/>
    <n v="50"/>
    <n v="50"/>
    <n v="50"/>
    <n v="0.125"/>
    <n v="50"/>
    <m/>
    <n v="50"/>
    <m/>
    <n v="50"/>
    <n v="1"/>
    <n v="130"/>
    <m/>
    <m/>
    <m/>
    <n v="0.32500000000000001"/>
    <n v="100"/>
    <n v="80"/>
    <m/>
    <m/>
    <m/>
    <n v="0.8"/>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Unidades productivas creadas y/o fortalecidas por población víctima para la generación de ingresos."/>
    <n v="0"/>
    <n v="70"/>
    <s v="Incremento"/>
    <m/>
    <m/>
    <m/>
    <s v="3,4,5,10,16"/>
    <s v="SECRETARÍA DE VÍCTIMAS"/>
    <n v="10"/>
    <n v="20"/>
    <n v="20"/>
    <n v="20"/>
    <n v="70"/>
    <b v="1"/>
    <m/>
    <n v="4"/>
    <n v="10"/>
    <n v="10"/>
    <n v="0.14285714285714285"/>
    <n v="10"/>
    <m/>
    <n v="4"/>
    <m/>
    <n v="10"/>
    <n v="1"/>
    <n v="10"/>
    <m/>
    <m/>
    <m/>
    <n v="0.14285714285714285"/>
    <n v="20"/>
    <n v="0"/>
    <m/>
    <m/>
    <m/>
    <n v="0"/>
    <m/>
    <m/>
    <m/>
    <m/>
    <m/>
    <m/>
    <m/>
    <m/>
    <m/>
    <m/>
    <m/>
    <m/>
    <m/>
    <m/>
    <m/>
    <m/>
    <m/>
    <m/>
    <m/>
    <m/>
    <m/>
    <m/>
    <s v="Recursos Propios"/>
    <s v="Asistencia y Atencion"/>
    <n v="200000000"/>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colocadas laboralmente para la generación de ingresos con enfoque diferencial y étnico"/>
    <n v="0"/>
    <n v="300"/>
    <s v="Incremento"/>
    <m/>
    <m/>
    <m/>
    <s v="3,4,5,10,16"/>
    <s v="SECRETARÍA DE VÍCTIMAS"/>
    <n v="30"/>
    <n v="80"/>
    <n v="110"/>
    <n v="80"/>
    <n v="300"/>
    <b v="1"/>
    <m/>
    <n v="15"/>
    <n v="30"/>
    <n v="30"/>
    <n v="0.1"/>
    <n v="30"/>
    <m/>
    <n v="15"/>
    <m/>
    <n v="30"/>
    <n v="1"/>
    <n v="110"/>
    <m/>
    <m/>
    <m/>
    <n v="0.36666666666666664"/>
    <n v="80"/>
    <n v="80"/>
    <m/>
    <m/>
    <m/>
    <n v="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fomento para el acceso a la educación inicial, preescolar, básica y media."/>
    <s v="88.8%"/>
    <n v="0.95"/>
    <s v="Incremento"/>
    <m/>
    <m/>
    <m/>
    <s v="3,4,5,10,16"/>
    <s v="SECRETARÍA DE VÍCTIMAS"/>
    <m/>
    <n v="0.2"/>
    <n v="0.2"/>
    <n v="2.2000000000000002"/>
    <n v="2.6"/>
    <b v="0"/>
    <m/>
    <m/>
    <m/>
    <m/>
    <n v="0"/>
    <m/>
    <m/>
    <m/>
    <m/>
    <m/>
    <s v="NP"/>
    <n v="0.2"/>
    <m/>
    <m/>
    <m/>
    <n v="0.2105263157894737"/>
    <n v="0.2"/>
    <n v="0.2"/>
    <m/>
    <m/>
    <m/>
    <n v="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Fortalecimiento del acceso a cupos diferenciado especiales de educación superior para la población víctima, de acuerdo a resolución de la Universidad de Cartagena"/>
    <n v="9"/>
    <n v="30"/>
    <s v="Incremento"/>
    <m/>
    <m/>
    <m/>
    <s v="3,4,5,10,16"/>
    <s v="SECRETARÍA DE VÍCTIMAS"/>
    <m/>
    <n v="10"/>
    <n v="10"/>
    <n v="10"/>
    <n v="30"/>
    <b v="1"/>
    <m/>
    <m/>
    <m/>
    <m/>
    <n v="0"/>
    <m/>
    <m/>
    <m/>
    <m/>
    <m/>
    <s v="NP"/>
    <n v="0"/>
    <m/>
    <m/>
    <m/>
    <n v="0"/>
    <n v="10"/>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del conflicto armado VINCULADAS con centros de formación técnica y superior "/>
    <s v="N/D"/>
    <n v="7"/>
    <s v="Incremento"/>
    <m/>
    <m/>
    <m/>
    <s v="3,4,5,10,16"/>
    <s v="SECRETARÍA DE VÍCTIMAS"/>
    <m/>
    <n v="3"/>
    <n v="4"/>
    <m/>
    <n v="7"/>
    <b v="1"/>
    <m/>
    <m/>
    <m/>
    <m/>
    <n v="0"/>
    <m/>
    <m/>
    <m/>
    <m/>
    <m/>
    <s v="NP"/>
    <n v="0"/>
    <m/>
    <m/>
    <m/>
    <n v="0"/>
    <n v="3"/>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beneficiarias con modelos de alfabetización con enfoque diferencial y étnico"/>
    <n v="0"/>
    <n v="1000"/>
    <s v="Incremento"/>
    <m/>
    <m/>
    <m/>
    <s v="3,4,5,10,16"/>
    <s v="SECRETARÍA DE VÍCTIMAS"/>
    <m/>
    <n v="300"/>
    <n v="350"/>
    <n v="350"/>
    <n v="1000"/>
    <b v="1"/>
    <m/>
    <m/>
    <m/>
    <m/>
    <n v="0"/>
    <m/>
    <m/>
    <m/>
    <m/>
    <m/>
    <s v="NP"/>
    <n v="0"/>
    <m/>
    <m/>
    <m/>
    <n v="0"/>
    <n v="300"/>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afiliación al Regimen subsidiado en salud."/>
    <n v="0.97"/>
    <n v="0.99"/>
    <s v="Incremento"/>
    <m/>
    <m/>
    <m/>
    <s v="3,4,5,10,16"/>
    <s v="SECRETARÍA DE VÍCTIMAS"/>
    <m/>
    <n v="0.5"/>
    <n v="0.5"/>
    <n v="0.5"/>
    <n v="1"/>
    <b v="0"/>
    <m/>
    <m/>
    <m/>
    <m/>
    <n v="0"/>
    <m/>
    <m/>
    <m/>
    <m/>
    <m/>
    <s v="NP"/>
    <n v="1"/>
    <m/>
    <m/>
    <m/>
    <n v="1.0101010101010102"/>
    <n v="0.5"/>
    <n v="1"/>
    <m/>
    <m/>
    <m/>
    <n v="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atendida en acciones de promoción social con enfoque diferencial y étnico"/>
    <s v="N/D"/>
    <n v="0.1"/>
    <s v="Incremento"/>
    <m/>
    <m/>
    <m/>
    <s v="3,4,5,10,16"/>
    <s v="SECRETARÍA DE VÍCTIMAS"/>
    <n v="0.2"/>
    <n v="0.3"/>
    <n v="0.3"/>
    <n v="0.3"/>
    <n v="1.1000000000000001"/>
    <b v="0"/>
    <m/>
    <m/>
    <m/>
    <n v="0.02"/>
    <n v="0.19999999999999998"/>
    <n v="0.02"/>
    <m/>
    <m/>
    <m/>
    <n v="0.02"/>
    <n v="1"/>
    <n v="0.12000000000000001"/>
    <m/>
    <m/>
    <m/>
    <n v="1.2"/>
    <n v="0.3"/>
    <n v="0.1"/>
    <m/>
    <m/>
    <m/>
    <n v="0.33333333333333337"/>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Iniciativas para la recuperación emocional y la resiliencia con enfoque de genero"/>
    <s v="N/D"/>
    <n v="10"/>
    <s v="Incremento"/>
    <m/>
    <m/>
    <m/>
    <s v="3,4,5,10,16"/>
    <s v="SECRETARÍA DE VÍCTIMAS"/>
    <n v="2"/>
    <n v="3"/>
    <n v="3"/>
    <n v="2"/>
    <n v="10"/>
    <b v="1"/>
    <m/>
    <m/>
    <n v="2"/>
    <n v="2"/>
    <n v="0.2"/>
    <n v="2"/>
    <m/>
    <m/>
    <m/>
    <n v="2"/>
    <n v="1"/>
    <n v="3"/>
    <m/>
    <m/>
    <m/>
    <n v="0.3"/>
    <n v="3"/>
    <n v="1"/>
    <m/>
    <m/>
    <m/>
    <n v="0.3333333333333333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que reciben recursos para el mejoramiento de condiciones de habitabilidad "/>
    <s v="60.4%"/>
    <n v="0.65"/>
    <s v="Incremento"/>
    <m/>
    <m/>
    <m/>
    <s v="3,4,5,10,16"/>
    <s v="SECRETARÍA DE VÍCTIMAS"/>
    <m/>
    <n v="0.1"/>
    <n v="1.6"/>
    <n v="0.2"/>
    <n v="1.9000000000000001"/>
    <b v="0"/>
    <m/>
    <m/>
    <m/>
    <m/>
    <n v="0"/>
    <m/>
    <m/>
    <m/>
    <m/>
    <m/>
    <s v="NP"/>
    <n v="0"/>
    <m/>
    <m/>
    <m/>
    <n v="0"/>
    <n v="0.1"/>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con unidades productivas para autoconsumo instaladas"/>
    <n v="0.95"/>
    <n v="0.98"/>
    <s v="Incremento"/>
    <m/>
    <m/>
    <m/>
    <s v="3,4,5,10,16"/>
    <s v="SECRETARÍA DE VÍCTIMAS"/>
    <m/>
    <n v="0.1"/>
    <n v="0.1"/>
    <n v="0.1"/>
    <n v="0.30000000000000004"/>
    <b v="0"/>
    <m/>
    <m/>
    <m/>
    <m/>
    <n v="0"/>
    <m/>
    <m/>
    <m/>
    <m/>
    <m/>
    <s v="NP"/>
    <n v="0"/>
    <m/>
    <m/>
    <m/>
    <n v="0"/>
    <n v="0.1"/>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Centro Regional de atención a víctimas construidos y en funcionamiento "/>
    <n v="0"/>
    <n v="2"/>
    <s v="Incremento"/>
    <m/>
    <m/>
    <m/>
    <s v="3,4,5,10,16"/>
    <s v="SECRETARÍA DE VÍCTIMAS"/>
    <n v="1"/>
    <m/>
    <m/>
    <n v="1"/>
    <n v="2"/>
    <b v="1"/>
    <m/>
    <n v="1"/>
    <n v="1"/>
    <n v="1"/>
    <n v="0.5"/>
    <n v="1"/>
    <m/>
    <n v="1"/>
    <m/>
    <n v="1"/>
    <n v="1"/>
    <n v="1"/>
    <m/>
    <m/>
    <m/>
    <n v="0.5"/>
    <s v="NP"/>
    <n v="0"/>
    <m/>
    <m/>
    <m/>
    <s v="NP"/>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untos de atención a víctimas fortalecidos y/o dotación  "/>
    <n v="14"/>
    <n v="14"/>
    <s v="Incremento"/>
    <m/>
    <m/>
    <m/>
    <s v="3,4,5,10,16"/>
    <s v="SECRETARÍA DE VÍCTIMAS"/>
    <n v="2"/>
    <n v="3"/>
    <n v="5"/>
    <n v="4"/>
    <n v="14"/>
    <b v="1"/>
    <m/>
    <m/>
    <m/>
    <m/>
    <n v="0"/>
    <n v="2"/>
    <m/>
    <m/>
    <m/>
    <n v="0"/>
    <n v="0"/>
    <n v="0"/>
    <m/>
    <m/>
    <m/>
    <n v="0"/>
    <n v="3"/>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Jornadas Itinerante para la atención integral a victimas"/>
    <n v="0"/>
    <n v="8"/>
    <s v="Incremento"/>
    <m/>
    <m/>
    <m/>
    <s v="3,4,5,10,16"/>
    <s v="SECRETARÍA DE VÍCTIMAS"/>
    <n v="1"/>
    <n v="2"/>
    <n v="3"/>
    <n v="2"/>
    <n v="8"/>
    <b v="1"/>
    <m/>
    <n v="3"/>
    <n v="1"/>
    <n v="1"/>
    <n v="0.125"/>
    <n v="1"/>
    <m/>
    <n v="3"/>
    <m/>
    <n v="1"/>
    <n v="1"/>
    <n v="1"/>
    <m/>
    <m/>
    <m/>
    <n v="0.125"/>
    <n v="2"/>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con atención humanitaria "/>
    <n v="127"/>
    <n v="200"/>
    <s v="Incremento"/>
    <m/>
    <m/>
    <m/>
    <s v="3,4,5,10,16"/>
    <s v="SECRETARÍA DE VÍCTIMAS"/>
    <n v="20"/>
    <n v="60"/>
    <n v="60"/>
    <n v="60"/>
    <n v="200"/>
    <b v="1"/>
    <m/>
    <n v="8000"/>
    <n v="20"/>
    <n v="20"/>
    <n v="0.1"/>
    <n v="20"/>
    <m/>
    <n v="8000"/>
    <m/>
    <n v="20"/>
    <n v="1"/>
    <n v="20"/>
    <m/>
    <m/>
    <m/>
    <n v="0.1"/>
    <n v="60"/>
    <n v="0"/>
    <m/>
    <m/>
    <m/>
    <n v="0"/>
    <m/>
    <m/>
    <m/>
    <m/>
    <m/>
    <m/>
    <m/>
    <m/>
    <m/>
    <m/>
    <m/>
    <m/>
    <m/>
    <m/>
    <m/>
    <m/>
    <m/>
    <m/>
    <m/>
    <m/>
    <m/>
    <m/>
    <s v="Recursos Propios"/>
    <s v="Asistencia y Atencion"/>
    <n v="150000000"/>
  </r>
  <r>
    <n v="6"/>
    <s v="GRUPOS POBLACIONALES"/>
    <m/>
    <m/>
    <x v="27"/>
    <x v="27"/>
    <m/>
    <m/>
    <x v="81"/>
    <x v="80"/>
    <n v="0.16250000000000001"/>
    <n v="0.2"/>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Plan de Prevención formulado, ejecutado y revisado anualmente"/>
    <s v="N/D"/>
    <n v="4"/>
    <s v="Mantenimiento"/>
    <m/>
    <m/>
    <m/>
    <s v="3,5,10,16"/>
    <s v="SECRETARÍA DE VÍCTIMAS"/>
    <n v="1"/>
    <n v="1"/>
    <n v="1"/>
    <n v="1"/>
    <n v="4"/>
    <b v="1"/>
    <m/>
    <n v="1"/>
    <n v="1"/>
    <n v="1"/>
    <n v="0.25"/>
    <n v="1"/>
    <m/>
    <n v="1"/>
    <m/>
    <n v="1"/>
    <n v="1"/>
    <n v="0.25"/>
    <m/>
    <m/>
    <m/>
    <n v="6.25E-2"/>
    <n v="1"/>
    <n v="0"/>
    <m/>
    <m/>
    <m/>
    <n v="0"/>
    <m/>
    <m/>
    <m/>
    <m/>
    <m/>
    <m/>
    <m/>
    <m/>
    <m/>
    <m/>
    <m/>
    <m/>
    <m/>
    <m/>
    <m/>
    <m/>
    <m/>
    <m/>
    <m/>
    <m/>
    <m/>
    <m/>
    <s v="Recursos Propios"/>
    <s v="PREVENCION Y PROTECCION "/>
    <n v="25000000"/>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1.85"/>
    <m/>
    <s v="Tiene el propósito de enfrentar los factores de riesgo, eliminar las amenazas y disminuir su impacto en la comunidad"/>
    <s v="Plan de Contingencia formulado, ejecutado y revisado anualmente"/>
    <s v="N/D"/>
    <n v="4"/>
    <s v="Mantenimiento"/>
    <m/>
    <m/>
    <m/>
    <s v="3,5,10,16"/>
    <s v="SECRETARÍA DE VÍCTIMAS"/>
    <n v="1"/>
    <n v="1"/>
    <n v="1"/>
    <n v="1"/>
    <n v="4"/>
    <b v="1"/>
    <m/>
    <m/>
    <n v="1"/>
    <n v="1"/>
    <n v="0.25"/>
    <n v="1"/>
    <m/>
    <m/>
    <m/>
    <n v="1"/>
    <n v="1"/>
    <n v="0.25"/>
    <m/>
    <m/>
    <m/>
    <n v="6.25E-2"/>
    <n v="1"/>
    <n v="0"/>
    <m/>
    <m/>
    <m/>
    <n v="0"/>
    <m/>
    <m/>
    <m/>
    <m/>
    <m/>
    <m/>
    <m/>
    <m/>
    <m/>
    <m/>
    <m/>
    <m/>
    <m/>
    <m/>
    <m/>
    <m/>
    <m/>
    <m/>
    <m/>
    <m/>
    <m/>
    <m/>
    <s v="Recursos Propios"/>
    <s v="PREVENCION Y PROTECCION "/>
    <n v="25000000"/>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Recursos para líderes de Victimas, sociales, reincorporados y defensores de ddhh, amenazados con ayuda y atención humanitaria (en especie y/o dinero)"/>
    <s v="N/D"/>
    <n v="400000000"/>
    <s v="Incremento"/>
    <m/>
    <m/>
    <m/>
    <s v="3,5,10,16"/>
    <s v="SECRETARÍA DE VÍCTIMAS"/>
    <n v="0.125"/>
    <n v="0.25"/>
    <n v="0.25"/>
    <n v="0.375"/>
    <n v="1"/>
    <b v="0"/>
    <m/>
    <m/>
    <m/>
    <n v="50000000"/>
    <n v="0.125"/>
    <n v="0.125"/>
    <m/>
    <m/>
    <m/>
    <n v="0.125"/>
    <n v="1"/>
    <n v="50000000"/>
    <m/>
    <m/>
    <m/>
    <n v="0.125"/>
    <n v="0.25"/>
    <n v="0"/>
    <m/>
    <m/>
    <m/>
    <n v="0"/>
    <m/>
    <m/>
    <m/>
    <m/>
    <m/>
    <m/>
    <m/>
    <m/>
    <m/>
    <m/>
    <m/>
    <m/>
    <m/>
    <m/>
    <m/>
    <m/>
    <m/>
    <m/>
    <m/>
    <m/>
    <m/>
    <m/>
    <s v="Recursos Propios"/>
    <s v="PREVENCION Y PROTECCION "/>
    <n v="50000000"/>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3.85"/>
    <m/>
    <s v="Tiene el propósito de enfrentar los factores de riesgo, eliminar las amenazas y disminuir su impacto en la comunidad"/>
    <s v="Zonas identificadas y actualizadas con riesgos de minas antipersonales "/>
    <s v="N/D"/>
    <n v="4"/>
    <s v="Mantenimiento"/>
    <m/>
    <m/>
    <m/>
    <s v="3,5,10,16"/>
    <s v="SECRETARÍA DE VÍCTIMAS"/>
    <n v="1"/>
    <n v="1"/>
    <n v="1"/>
    <n v="1"/>
    <n v="4"/>
    <b v="1"/>
    <m/>
    <m/>
    <n v="1"/>
    <n v="1"/>
    <n v="0.25"/>
    <n v="1"/>
    <m/>
    <m/>
    <m/>
    <n v="1"/>
    <n v="1"/>
    <n v="0.25"/>
    <m/>
    <m/>
    <m/>
    <n v="6.25E-2"/>
    <n v="1"/>
    <n v="0"/>
    <m/>
    <m/>
    <m/>
    <n v="0"/>
    <m/>
    <m/>
    <m/>
    <m/>
    <m/>
    <m/>
    <m/>
    <m/>
    <m/>
    <m/>
    <m/>
    <m/>
    <m/>
    <m/>
    <m/>
    <m/>
    <m/>
    <m/>
    <m/>
    <m/>
    <m/>
    <m/>
    <m/>
    <m/>
    <m/>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4.8499999999999996"/>
    <m/>
    <s v="Tiene el propósito de enfrentar los factores de riesgo, eliminar las amenazas y disminuir su impacto en la comunidad"/>
    <s v="Atención y seguimiento a las alertas tempranas emanadas por la Defensoría del Pueblo"/>
    <n v="4"/>
    <n v="1"/>
    <s v="Mantenimiento"/>
    <m/>
    <m/>
    <m/>
    <s v="3,5,10,16"/>
    <s v="SECRETARÍA DE VÍCTIMAS"/>
    <n v="1"/>
    <n v="1"/>
    <n v="1"/>
    <n v="1"/>
    <n v="4"/>
    <b v="0"/>
    <m/>
    <m/>
    <n v="1"/>
    <n v="1"/>
    <n v="1"/>
    <n v="1"/>
    <m/>
    <m/>
    <m/>
    <n v="1"/>
    <n v="1"/>
    <n v="0.5"/>
    <m/>
    <m/>
    <m/>
    <n v="0.5"/>
    <n v="1"/>
    <n v="1"/>
    <m/>
    <m/>
    <m/>
    <n v="1"/>
    <m/>
    <m/>
    <m/>
    <m/>
    <m/>
    <m/>
    <m/>
    <m/>
    <m/>
    <m/>
    <m/>
    <m/>
    <m/>
    <m/>
    <m/>
    <m/>
    <m/>
    <m/>
    <m/>
    <m/>
    <m/>
    <m/>
    <m/>
    <m/>
    <m/>
  </r>
  <r>
    <n v="6"/>
    <s v="GRUPOS POBLACIONALES"/>
    <m/>
    <m/>
    <x v="27"/>
    <x v="27"/>
    <m/>
    <m/>
    <x v="82"/>
    <x v="81"/>
    <n v="0.16250000000000001"/>
    <n v="0.12222222222222223"/>
    <m/>
    <s v="monitoreo y seguimiento realizados en la implementación de las intervenciones para la inclusión social y productiva de la población en situación de_x000a_vulnerabilidad,"/>
    <s v="Porcentaje de Víctimas que han superado la condición de vulnerabilidad"/>
    <s v="80.2%"/>
    <n v="0.85"/>
    <m/>
    <s v="implica contribuir a la reconstrucción del proyecto de vida y dignificación de las víctimas en sus dimensiones individual, colectiva, material, moral y simbólica."/>
    <s v="numero de Informes de monitoreo y seguimiento elaborados a planes de reparación colectiva"/>
    <n v="0"/>
    <n v="8"/>
    <s v="Mantenimiento"/>
    <m/>
    <m/>
    <m/>
    <s v="3, 6, 7 y 10"/>
    <s v="SECRETARÍA DE VÍCTIMAS"/>
    <n v="2"/>
    <n v="2"/>
    <n v="2"/>
    <n v="2"/>
    <n v="8"/>
    <b v="1"/>
    <m/>
    <n v="2"/>
    <n v="2"/>
    <n v="2"/>
    <n v="0.25"/>
    <n v="2"/>
    <m/>
    <n v="2"/>
    <m/>
    <n v="2"/>
    <n v="1"/>
    <n v="0.5"/>
    <m/>
    <m/>
    <m/>
    <n v="6.25E-2"/>
    <n v="2"/>
    <n v="0"/>
    <m/>
    <m/>
    <m/>
    <n v="0"/>
    <m/>
    <m/>
    <m/>
    <m/>
    <m/>
    <m/>
    <m/>
    <m/>
    <m/>
    <m/>
    <m/>
    <m/>
    <m/>
    <m/>
    <m/>
    <m/>
    <m/>
    <m/>
    <m/>
    <m/>
    <m/>
    <m/>
    <m/>
    <m/>
    <m/>
  </r>
  <r>
    <n v="6"/>
    <s v="GRUPOS POBLACIONALES"/>
    <m/>
    <m/>
    <x v="27"/>
    <x v="27"/>
    <m/>
    <m/>
    <x v="82"/>
    <x v="81"/>
    <m/>
    <m/>
    <m/>
    <s v="contribuir a la reconstruccion del proyecto de vida de las victimas garantizando las medidas de reparacion integral"/>
    <s v="Porcentaje de Víctimas que han superado la condición de vulnerabilidad"/>
    <s v="80.2%"/>
    <n v="0.85"/>
    <m/>
    <s v="implica contribuir a la reconstrucción del proyecto de vida y dignificación de las víctimas en sus dimensiones individual, colectiva, material, moral y simbólica."/>
    <s v="Acciones cumplidas dentro del plan de reparación colectiva, aplicando el decreto de corresponsabilidad"/>
    <s v="N/D"/>
    <n v="40"/>
    <s v="Incremento "/>
    <m/>
    <m/>
    <m/>
    <s v="3, 6, 7 y 10"/>
    <s v="SECRETARÍA DE VÍCTIMAS"/>
    <n v="5"/>
    <n v="10"/>
    <n v="15"/>
    <n v="10"/>
    <n v="40"/>
    <b v="1"/>
    <m/>
    <n v="5"/>
    <n v="5"/>
    <n v="5"/>
    <n v="0.125"/>
    <n v="5"/>
    <m/>
    <n v="5"/>
    <m/>
    <n v="5"/>
    <n v="1"/>
    <n v="7"/>
    <m/>
    <m/>
    <m/>
    <n v="0.17499999999999999"/>
    <n v="10"/>
    <n v="2"/>
    <m/>
    <m/>
    <m/>
    <n v="0.2"/>
    <m/>
    <m/>
    <m/>
    <m/>
    <m/>
    <m/>
    <m/>
    <m/>
    <m/>
    <m/>
    <m/>
    <m/>
    <m/>
    <m/>
    <m/>
    <m/>
    <m/>
    <m/>
    <m/>
    <m/>
    <m/>
    <m/>
    <s v="Recursos Propios"/>
    <s v="REPARACION COLECTIVA,  RETORNOS Y REUBICACIONES "/>
    <n v="150000000"/>
  </r>
  <r>
    <n v="6"/>
    <s v="GRUPOS POBLACIONALES"/>
    <m/>
    <m/>
    <x v="27"/>
    <x v="27"/>
    <m/>
    <m/>
    <x v="82"/>
    <x v="81"/>
    <m/>
    <m/>
    <m/>
    <s v="Garantizar la dignificacion de las victimas en su dimension coletiva y la no repeticion de los  hechos victimizantes"/>
    <s v="porcentaje de Victimas que han superado la_x000a_condición de vulnerabilidad "/>
    <s v="80.2%"/>
    <n v="0.85"/>
    <m/>
    <s v="construccion de canchas, acueducto, y alcantarillado , vias, instituciones educativas, puestos de salud, cultura y recreacion  en municipios con procesos retornos y reubicaciones"/>
    <s v="Numero de Acciones cumplidas dentro del_x000a_plan de retorno y reubicación y_x000a_restitución de tierras, aplicando_x000a_el decreto de corresponsabilidad_x000a_departamental "/>
    <s v="N/D"/>
    <n v="20"/>
    <s v="Incremento "/>
    <m/>
    <m/>
    <m/>
    <s v="3, 6, 7 y 10"/>
    <s v="SECRETARÍA DE VÍCTIMAS"/>
    <n v="4"/>
    <n v="6"/>
    <n v="5"/>
    <n v="5"/>
    <n v="20"/>
    <b v="1"/>
    <m/>
    <n v="4"/>
    <n v="4"/>
    <n v="4"/>
    <n v="0.2"/>
    <n v="4"/>
    <m/>
    <n v="4"/>
    <m/>
    <n v="4"/>
    <n v="1"/>
    <n v="5"/>
    <m/>
    <m/>
    <m/>
    <n v="0.25"/>
    <n v="6"/>
    <n v="1"/>
    <m/>
    <m/>
    <m/>
    <n v="0.16666666666666666"/>
    <m/>
    <m/>
    <m/>
    <m/>
    <m/>
    <m/>
    <m/>
    <m/>
    <m/>
    <m/>
    <m/>
    <m/>
    <m/>
    <m/>
    <m/>
    <m/>
    <m/>
    <m/>
    <m/>
    <m/>
    <m/>
    <m/>
    <m/>
    <m/>
    <m/>
  </r>
  <r>
    <n v="6"/>
    <s v="GRUPOS POBLACIONALES"/>
    <m/>
    <m/>
    <x v="27"/>
    <x v="27"/>
    <m/>
    <m/>
    <x v="83"/>
    <x v="82"/>
    <n v="0.10482336956521739"/>
    <n v="0.10500000000000001"/>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Jornadas de asistencia técnica integral presenciales a entes territoriales"/>
    <n v="11"/>
    <n v="46"/>
    <s v="Incremento"/>
    <m/>
    <m/>
    <m/>
    <n v="10.16"/>
    <s v="SECRETARÍA DE VÍCTIMAS"/>
    <n v="8"/>
    <n v="5"/>
    <n v="25"/>
    <n v="8"/>
    <n v="46"/>
    <b v="1"/>
    <m/>
    <n v="8"/>
    <n v="8"/>
    <n v="8"/>
    <n v="0.17391304347826086"/>
    <n v="8"/>
    <m/>
    <n v="8"/>
    <m/>
    <n v="8"/>
    <n v="1"/>
    <n v="9"/>
    <m/>
    <m/>
    <m/>
    <n v="0.19565217391304349"/>
    <n v="5"/>
    <n v="1"/>
    <m/>
    <m/>
    <m/>
    <n v="0.2"/>
    <m/>
    <m/>
    <m/>
    <m/>
    <m/>
    <m/>
    <m/>
    <m/>
    <m/>
    <m/>
    <m/>
    <m/>
    <m/>
    <m/>
    <m/>
    <m/>
    <m/>
    <m/>
    <m/>
    <m/>
    <m/>
    <m/>
    <s v="Recursos Propios"/>
    <s v="PARTICIPACION EFECTIVA "/>
    <n v="20000000"/>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1.85"/>
    <m/>
    <s v="Las Mesas de Participación Efectiva son las que a nombre de las víctimas concertarán con el Estado los planes, programas y proyectos, destinados a desarrollar las políticas públicas de Victimas. "/>
    <s v="Asistencia Técnica y jurídica a la Mesa Departamental y a las Mesas Municipales de Participación de víctimas del conflicto armado en el Departamento de Bolívar"/>
    <n v="0"/>
    <n v="46"/>
    <s v="Incremento"/>
    <m/>
    <m/>
    <m/>
    <n v="10.16"/>
    <s v="SECRETARÍA DE VÍCTIMAS"/>
    <n v="8"/>
    <n v="5"/>
    <n v="25"/>
    <n v="8"/>
    <n v="46"/>
    <b v="1"/>
    <m/>
    <n v="4"/>
    <n v="8"/>
    <n v="8"/>
    <n v="0.17391304347826086"/>
    <n v="8"/>
    <m/>
    <n v="4"/>
    <m/>
    <n v="8"/>
    <n v="1"/>
    <n v="9"/>
    <m/>
    <m/>
    <m/>
    <n v="0.19565217391304349"/>
    <n v="5"/>
    <n v="1"/>
    <m/>
    <m/>
    <m/>
    <n v="0.2"/>
    <m/>
    <m/>
    <m/>
    <m/>
    <m/>
    <m/>
    <m/>
    <m/>
    <m/>
    <m/>
    <m/>
    <m/>
    <m/>
    <m/>
    <m/>
    <m/>
    <m/>
    <m/>
    <m/>
    <m/>
    <m/>
    <m/>
    <s v="Recursos Propios"/>
    <s v="PARTICIPACION EFECTIVA "/>
    <n v="10000000"/>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Convocatoria y elección de la Mesa Departamental de victimas"/>
    <s v="N/D"/>
    <n v="2"/>
    <s v="Mantenimiento"/>
    <m/>
    <m/>
    <m/>
    <n v="10.16"/>
    <s v="SECRETARÍA DE VÍCTIMAS"/>
    <m/>
    <n v="1"/>
    <m/>
    <n v="1"/>
    <n v="2"/>
    <b v="1"/>
    <m/>
    <m/>
    <m/>
    <m/>
    <n v="0"/>
    <m/>
    <m/>
    <m/>
    <m/>
    <m/>
    <s v="NP"/>
    <n v="0"/>
    <m/>
    <m/>
    <m/>
    <n v="0"/>
    <n v="1"/>
    <n v="0"/>
    <m/>
    <m/>
    <m/>
    <n v="0"/>
    <m/>
    <m/>
    <m/>
    <m/>
    <m/>
    <m/>
    <m/>
    <m/>
    <m/>
    <m/>
    <m/>
    <m/>
    <m/>
    <m/>
    <m/>
    <m/>
    <m/>
    <m/>
    <m/>
    <m/>
    <m/>
    <m/>
    <m/>
    <m/>
    <m/>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Plan de Acción de Mesa Departamental concertado y ejecutado "/>
    <n v="1"/>
    <n v="4"/>
    <s v="Mantenimiento"/>
    <m/>
    <m/>
    <m/>
    <n v="10.16"/>
    <s v="SECRETARÍA DE VÍCTIMAS"/>
    <n v="1"/>
    <n v="1"/>
    <n v="1"/>
    <n v="1"/>
    <n v="4"/>
    <b v="1"/>
    <m/>
    <m/>
    <n v="1"/>
    <n v="1"/>
    <n v="0.25"/>
    <n v="1"/>
    <m/>
    <m/>
    <m/>
    <n v="1"/>
    <n v="1"/>
    <n v="0.25"/>
    <m/>
    <m/>
    <m/>
    <n v="6.25E-2"/>
    <n v="1"/>
    <n v="0"/>
    <m/>
    <m/>
    <m/>
    <n v="0"/>
    <m/>
    <m/>
    <m/>
    <m/>
    <m/>
    <m/>
    <m/>
    <m/>
    <m/>
    <m/>
    <m/>
    <m/>
    <m/>
    <m/>
    <m/>
    <m/>
    <m/>
    <m/>
    <m/>
    <m/>
    <m/>
    <m/>
    <s v="Recursos Propios"/>
    <s v="PARTICIPACION EFECTIVA "/>
    <n v="30000000"/>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Espacios de coordinación y participación en la política pública de víctimas de la mesa departamental. "/>
    <n v="8"/>
    <n v="64"/>
    <s v="Mantenimiento"/>
    <m/>
    <m/>
    <m/>
    <n v="10.16"/>
    <s v="SECRETARÍA DE VÍCTIMAS"/>
    <n v="16"/>
    <n v="16"/>
    <n v="16"/>
    <n v="16"/>
    <n v="64"/>
    <b v="1"/>
    <m/>
    <n v="10"/>
    <n v="16"/>
    <n v="16"/>
    <n v="0.25"/>
    <n v="16"/>
    <m/>
    <n v="10"/>
    <m/>
    <n v="16"/>
    <n v="1"/>
    <n v="4.5"/>
    <m/>
    <m/>
    <m/>
    <n v="7.03125E-2"/>
    <n v="16"/>
    <n v="2"/>
    <m/>
    <m/>
    <m/>
    <n v="0.125"/>
    <m/>
    <m/>
    <m/>
    <m/>
    <m/>
    <m/>
    <m/>
    <m/>
    <m/>
    <m/>
    <m/>
    <m/>
    <m/>
    <m/>
    <m/>
    <m/>
    <m/>
    <m/>
    <m/>
    <m/>
    <m/>
    <m/>
    <s v="Recursos Propios"/>
    <s v="PARTICIPACION EFECTIVA "/>
    <n v="420000000"/>
  </r>
  <r>
    <n v="6"/>
    <s v="GRUPOS POBLACIONALES"/>
    <m/>
    <m/>
    <x v="27"/>
    <x v="27"/>
    <m/>
    <m/>
    <x v="84"/>
    <x v="83"/>
    <n v="0.35759313766714318"/>
    <n v="0.21224489795918369"/>
    <m/>
    <s v="Elaboración y ejecución de acciones, planes y proyectos para la gestión institucional"/>
    <s v="Fortalecimiento Institucional"/>
    <s v="N/D"/>
    <n v="1"/>
    <m/>
    <s v="Proyecto ejecutado"/>
    <s v="Proyecto para el fortalecimiento para la gestión institucional"/>
    <s v="N/D"/>
    <n v="1"/>
    <s v="Incremento "/>
    <m/>
    <m/>
    <m/>
    <n v="16"/>
    <s v="SECRETARÍA DE VÍCTIMAS"/>
    <m/>
    <n v="1"/>
    <m/>
    <m/>
    <n v="1"/>
    <b v="1"/>
    <m/>
    <m/>
    <m/>
    <m/>
    <n v="0"/>
    <m/>
    <m/>
    <m/>
    <m/>
    <m/>
    <s v="NP"/>
    <n v="0"/>
    <m/>
    <m/>
    <m/>
    <n v="0"/>
    <n v="1"/>
    <n v="0"/>
    <m/>
    <m/>
    <m/>
    <n v="0"/>
    <m/>
    <m/>
    <m/>
    <m/>
    <m/>
    <m/>
    <m/>
    <m/>
    <m/>
    <m/>
    <m/>
    <m/>
    <m/>
    <m/>
    <m/>
    <m/>
    <m/>
    <m/>
    <m/>
    <m/>
    <m/>
    <m/>
    <m/>
    <m/>
    <m/>
  </r>
  <r>
    <n v="6"/>
    <s v="GRUPOS POBLACIONALES"/>
    <m/>
    <m/>
    <x v="27"/>
    <x v="27"/>
    <m/>
    <m/>
    <x v="84"/>
    <x v="83"/>
    <m/>
    <m/>
    <m/>
    <s v="Elaboración y ejecución de acciones, planes y proyectos para la gestión institucional"/>
    <s v="Fortalecimiento Institucional"/>
    <s v="N/D"/>
    <n v="1"/>
    <m/>
    <s v="Lograr la conformación y consolidación del Consejo Departamental y Municipales de Paz "/>
    <s v="Asistencia técnica para el fortalecimiento, la socialización y la elección del Consejo Departamental de Paz, reconciliación y Derechos Humanos y los Consejos Municipales de Paz"/>
    <s v="N/D"/>
    <n v="47"/>
    <s v="Incremento "/>
    <m/>
    <m/>
    <m/>
    <n v="16"/>
    <s v="SECRETARÍA DE VÍCTIMAS"/>
    <n v="10"/>
    <n v="10"/>
    <n v="17"/>
    <n v="10"/>
    <n v="47"/>
    <b v="1"/>
    <m/>
    <n v="7"/>
    <n v="10"/>
    <n v="10"/>
    <n v="0.21276595744680851"/>
    <n v="10"/>
    <m/>
    <n v="7"/>
    <m/>
    <n v="10"/>
    <n v="1"/>
    <n v="14"/>
    <m/>
    <m/>
    <m/>
    <n v="0.2978723404255319"/>
    <n v="10"/>
    <n v="4"/>
    <m/>
    <m/>
    <m/>
    <n v="0.4"/>
    <m/>
    <m/>
    <m/>
    <m/>
    <m/>
    <m/>
    <m/>
    <m/>
    <m/>
    <m/>
    <m/>
    <m/>
    <m/>
    <m/>
    <m/>
    <m/>
    <m/>
    <m/>
    <m/>
    <m/>
    <m/>
    <m/>
    <s v="Recursos Propios"/>
    <s v="FORTALECIMIENTO Y SISTEMAS DE INFORMACION  "/>
    <n v="25000000"/>
  </r>
  <r>
    <n v="6"/>
    <s v="GRUPOS POBLACIONALES"/>
    <m/>
    <m/>
    <x v="27"/>
    <x v="27"/>
    <m/>
    <m/>
    <x v="84"/>
    <x v="83"/>
    <m/>
    <m/>
    <m/>
    <s v="Elaboración y ejecución de acciones, planes y proyectos para la gestión institucional"/>
    <s v="Fortalecimiento Institucional"/>
    <s v="N/D"/>
    <n v="1"/>
    <m/>
    <s v="Brindar asistencia tecnica para lograr la participación de todos los municipios en la oferta isntitucional"/>
    <s v="Asistencia Técnica a municipios para la participación en la oferta institucional"/>
    <s v="N/D"/>
    <n v="46"/>
    <s v="Incremento "/>
    <m/>
    <m/>
    <m/>
    <n v="16"/>
    <s v="SECRETARÍA DE VÍCTIMAS"/>
    <n v="10"/>
    <n v="10"/>
    <n v="10"/>
    <n v="16"/>
    <n v="46"/>
    <b v="1"/>
    <m/>
    <n v="2"/>
    <n v="10"/>
    <n v="10"/>
    <n v="0.21739130434782608"/>
    <n v="10"/>
    <m/>
    <n v="2"/>
    <m/>
    <n v="10"/>
    <n v="1"/>
    <n v="10"/>
    <m/>
    <m/>
    <m/>
    <n v="0.21739130434782608"/>
    <n v="10"/>
    <n v="0"/>
    <m/>
    <m/>
    <m/>
    <n v="0"/>
    <m/>
    <m/>
    <m/>
    <m/>
    <m/>
    <m/>
    <m/>
    <m/>
    <m/>
    <m/>
    <m/>
    <m/>
    <m/>
    <m/>
    <m/>
    <m/>
    <m/>
    <m/>
    <m/>
    <m/>
    <m/>
    <m/>
    <m/>
    <m/>
    <m/>
  </r>
  <r>
    <n v="6"/>
    <s v="GRUPOS POBLACIONALES"/>
    <m/>
    <m/>
    <x v="27"/>
    <x v="27"/>
    <m/>
    <m/>
    <x v="84"/>
    <x v="83"/>
    <m/>
    <m/>
    <m/>
    <s v="Elaboración y ejecución de acciones, planes y proyectos para la gestión institucional"/>
    <s v="Fortalecimiento Institucional"/>
    <s v="N/D"/>
    <n v="1"/>
    <m/>
    <s v="Ejecutar el plan de acción territorial en todos los municipios"/>
    <s v="Asistencia Técnica a municipios para la formulación, ejecución y seguimiento del plan de acción territorial, contingencia, Prevención y protección."/>
    <s v="N/D"/>
    <n v="46"/>
    <s v="Incremento "/>
    <m/>
    <m/>
    <m/>
    <n v="16"/>
    <s v="SECRETARÍA DE VÍCTIMAS"/>
    <n v="10"/>
    <n v="10"/>
    <n v="18"/>
    <n v="8"/>
    <n v="46"/>
    <b v="1"/>
    <m/>
    <n v="7"/>
    <n v="10"/>
    <n v="10"/>
    <n v="0.21739130434782608"/>
    <n v="10"/>
    <m/>
    <n v="7"/>
    <m/>
    <n v="10"/>
    <n v="1"/>
    <n v="12"/>
    <m/>
    <m/>
    <m/>
    <n v="0.2608695652173913"/>
    <n v="10"/>
    <n v="2"/>
    <m/>
    <m/>
    <m/>
    <n v="0.2"/>
    <m/>
    <m/>
    <m/>
    <m/>
    <m/>
    <m/>
    <m/>
    <m/>
    <m/>
    <m/>
    <m/>
    <m/>
    <m/>
    <m/>
    <m/>
    <m/>
    <m/>
    <m/>
    <m/>
    <m/>
    <m/>
    <m/>
    <m/>
    <m/>
    <m/>
  </r>
  <r>
    <n v="6"/>
    <s v="GRUPOS POBLACIONALES"/>
    <m/>
    <m/>
    <x v="27"/>
    <x v="27"/>
    <m/>
    <m/>
    <x v="84"/>
    <x v="83"/>
    <m/>
    <m/>
    <m/>
    <s v="Elaboración y ejecución de acciones, planes y proyectos para la gestión institucional"/>
    <s v="Fortalecimiento Institucional"/>
    <s v="N/D"/>
    <n v="1"/>
    <m/>
    <s v="Realizar asistecia técnica para la caracterización en los municipios del departamento de Bolívar, con enfoque diferencial y étnico"/>
    <s v="Asistencia Técnica y apoyo subsidiario a municipios para la caracterización de las víctimas con enfoque diferencial y étnico"/>
    <s v="N/D"/>
    <n v="46"/>
    <s v="Incremento"/>
    <m/>
    <m/>
    <m/>
    <n v="16"/>
    <s v="SECRETARÍA DE VÍCTIMAS"/>
    <n v="10"/>
    <n v="10"/>
    <n v="18"/>
    <n v="8"/>
    <n v="46"/>
    <b v="1"/>
    <m/>
    <n v="5"/>
    <n v="10"/>
    <n v="10"/>
    <n v="0.21739130434782608"/>
    <n v="10"/>
    <m/>
    <n v="5"/>
    <m/>
    <n v="10"/>
    <n v="1"/>
    <n v="10"/>
    <m/>
    <m/>
    <m/>
    <n v="0.21739130434782608"/>
    <n v="10"/>
    <n v="0"/>
    <m/>
    <m/>
    <m/>
    <n v="0"/>
    <m/>
    <m/>
    <m/>
    <m/>
    <m/>
    <m/>
    <m/>
    <m/>
    <m/>
    <m/>
    <m/>
    <m/>
    <m/>
    <m/>
    <m/>
    <m/>
    <m/>
    <m/>
    <m/>
    <m/>
    <m/>
    <m/>
    <m/>
    <m/>
    <m/>
  </r>
  <r>
    <n v="6"/>
    <s v="GRUPOS POBLACIONALES"/>
    <m/>
    <m/>
    <x v="27"/>
    <x v="27"/>
    <m/>
    <m/>
    <x v="84"/>
    <x v="83"/>
    <m/>
    <m/>
    <m/>
    <s v="Elaboración y ejecución de acciones, planes y proyectos para la gestión institucional"/>
    <s v="Fortalecimiento Institucional"/>
    <s v="N/D"/>
    <n v="1"/>
    <m/>
    <s v="Ejecutar Plan de Acción Territorial PAT con enfoque diferencial y étnico "/>
    <s v="Formulación del Plan de Acción Territorial PAT con enfoque diferencial y étnico"/>
    <n v="1"/>
    <n v="1"/>
    <s v="Mantenimiento"/>
    <m/>
    <m/>
    <m/>
    <n v="16"/>
    <s v="SECRETARÍA DE VÍCTIMAS"/>
    <n v="1"/>
    <m/>
    <m/>
    <m/>
    <n v="1"/>
    <b v="1"/>
    <m/>
    <n v="1"/>
    <n v="1"/>
    <n v="1"/>
    <n v="1"/>
    <n v="1"/>
    <m/>
    <n v="1"/>
    <m/>
    <n v="1"/>
    <n v="1"/>
    <n v="0.25"/>
    <m/>
    <m/>
    <m/>
    <n v="0.25"/>
    <s v="NP"/>
    <m/>
    <m/>
    <m/>
    <m/>
    <s v="NP"/>
    <m/>
    <m/>
    <m/>
    <m/>
    <m/>
    <m/>
    <m/>
    <m/>
    <m/>
    <m/>
    <m/>
    <m/>
    <m/>
    <m/>
    <m/>
    <m/>
    <m/>
    <m/>
    <m/>
    <m/>
    <m/>
    <m/>
    <m/>
    <m/>
    <m/>
  </r>
  <r>
    <n v="6"/>
    <s v="GRUPOS POBLACIONALES"/>
    <m/>
    <m/>
    <x v="27"/>
    <x v="27"/>
    <m/>
    <m/>
    <x v="84"/>
    <x v="83"/>
    <m/>
    <m/>
    <m/>
    <s v="Elaboración y ejecución de acciones, planes y proyectos para la gestión institucional"/>
    <s v="Fortalecimiento Institucional"/>
    <s v="N/D"/>
    <n v="1"/>
    <m/>
    <s v="Realizar la Construcción y seguimiento al modelo de gestión transversal departamental"/>
    <s v="Construcción y seguimiento al modelo de gestión transversal para la atención reparación, garantías de no repetición, la reconciliación y construcción de paz en el departamento de Bolívar"/>
    <s v="N/D"/>
    <n v="1"/>
    <s v="Incremento"/>
    <m/>
    <m/>
    <m/>
    <n v="16"/>
    <s v="SECRETARÍA DE VÍCTIMAS"/>
    <n v="1"/>
    <m/>
    <m/>
    <m/>
    <n v="1"/>
    <b v="1"/>
    <m/>
    <n v="1"/>
    <n v="1"/>
    <n v="1"/>
    <n v="1"/>
    <n v="1"/>
    <m/>
    <n v="1"/>
    <m/>
    <n v="1"/>
    <n v="1"/>
    <n v="1"/>
    <m/>
    <m/>
    <m/>
    <n v="1"/>
    <s v="NP"/>
    <m/>
    <m/>
    <m/>
    <m/>
    <s v="NP"/>
    <m/>
    <m/>
    <m/>
    <m/>
    <m/>
    <m/>
    <m/>
    <m/>
    <m/>
    <m/>
    <m/>
    <m/>
    <m/>
    <m/>
    <m/>
    <m/>
    <m/>
    <m/>
    <m/>
    <m/>
    <m/>
    <m/>
    <m/>
    <m/>
    <m/>
  </r>
  <r>
    <n v="6"/>
    <s v="GRUPOS POBLACIONALES"/>
    <m/>
    <m/>
    <x v="27"/>
    <x v="27"/>
    <m/>
    <m/>
    <x v="84"/>
    <x v="83"/>
    <m/>
    <m/>
    <m/>
    <s v="Elaboración y ejecución de acciones, planes y proyectos para la gestión institucional"/>
    <s v="Fortalecimiento Institucional"/>
    <s v="N/D"/>
    <n v="1"/>
    <m/>
    <s v="Lograr Sensibilizar a los funcionarios publicos del departamento para la atención a victimas con enfoque diferencial "/>
    <s v="Sensibilización a funcionarios públicos del departamento para atención a víctimas con enfoque diferencial."/>
    <s v="N/D"/>
    <n v="300"/>
    <s v="Incremento"/>
    <m/>
    <m/>
    <m/>
    <n v="16"/>
    <s v="SECRETARÍA DE VÍCTIMAS"/>
    <n v="70"/>
    <n v="70"/>
    <n v="80"/>
    <n v="80"/>
    <n v="300"/>
    <b v="1"/>
    <m/>
    <n v="70"/>
    <n v="70"/>
    <n v="70"/>
    <n v="0.23333333333333334"/>
    <n v="70"/>
    <m/>
    <n v="70"/>
    <m/>
    <n v="70"/>
    <n v="1"/>
    <n v="132"/>
    <m/>
    <m/>
    <m/>
    <n v="0.44"/>
    <n v="70"/>
    <n v="62"/>
    <m/>
    <m/>
    <m/>
    <n v="0.88571428571428568"/>
    <m/>
    <m/>
    <m/>
    <m/>
    <m/>
    <m/>
    <m/>
    <m/>
    <m/>
    <m/>
    <m/>
    <m/>
    <m/>
    <m/>
    <m/>
    <m/>
    <m/>
    <m/>
    <m/>
    <m/>
    <m/>
    <m/>
    <m/>
    <m/>
    <m/>
  </r>
  <r>
    <n v="6"/>
    <s v="GRUPOS POBLACIONALES"/>
    <m/>
    <m/>
    <x v="27"/>
    <x v="27"/>
    <m/>
    <m/>
    <x v="84"/>
    <x v="83"/>
    <m/>
    <m/>
    <m/>
    <s v="Elaboración y ejecución de acciones, planes y proyectos para la gestión institucional"/>
    <s v="Fortalecimiento Institucional"/>
    <s v="N/D"/>
    <n v="1"/>
    <m/>
    <s v="Reestructuración de las dependencias de la secretaría de victimas y reconciliación departamento de Bolívar según lo que indique la ley."/>
    <s v="Reestructurar la dependencia de la Secretaría de Víctimas de acuerdo a los lineamientos del gobierno Nacional en temas de paz, reconciliación y trabajo por las víctimas."/>
    <s v="N/D"/>
    <n v="1"/>
    <s v="Incremento"/>
    <m/>
    <m/>
    <m/>
    <n v="16"/>
    <s v="SECRETARÍA DE VÍCTIMAS"/>
    <n v="1"/>
    <m/>
    <m/>
    <m/>
    <n v="1"/>
    <b v="1"/>
    <m/>
    <m/>
    <m/>
    <m/>
    <n v="0"/>
    <n v="1"/>
    <m/>
    <m/>
    <m/>
    <n v="0"/>
    <n v="0"/>
    <n v="0"/>
    <m/>
    <m/>
    <m/>
    <n v="0"/>
    <s v="NP"/>
    <m/>
    <m/>
    <m/>
    <m/>
    <s v="NP"/>
    <m/>
    <m/>
    <m/>
    <m/>
    <m/>
    <m/>
    <m/>
    <m/>
    <m/>
    <m/>
    <m/>
    <m/>
    <m/>
    <m/>
    <m/>
    <m/>
    <m/>
    <m/>
    <m/>
    <m/>
    <m/>
    <m/>
    <m/>
    <m/>
    <m/>
  </r>
  <r>
    <n v="6"/>
    <s v="GRUPOS POBLACIONALES"/>
    <m/>
    <m/>
    <x v="27"/>
    <x v="27"/>
    <m/>
    <m/>
    <x v="84"/>
    <x v="83"/>
    <m/>
    <m/>
    <m/>
    <s v="Elaboración y ejecución de acciones, planes y proyectos para la gestión institucional"/>
    <s v="Fortalecimiento Institucional"/>
    <s v="N/D"/>
    <n v="1"/>
    <m/>
    <s v="Convocar  y consolidar los comites de justicia transicional "/>
    <s v="Comités de Justicia Transicional Departamental realizados"/>
    <n v="4"/>
    <n v="16"/>
    <s v="Incremento"/>
    <m/>
    <m/>
    <m/>
    <n v="16"/>
    <s v="SECRETARÍA DE VÍCTIMAS"/>
    <n v="4"/>
    <n v="4"/>
    <n v="4"/>
    <n v="4"/>
    <n v="16"/>
    <b v="1"/>
    <m/>
    <n v="2"/>
    <n v="4"/>
    <n v="4"/>
    <n v="0.25"/>
    <n v="4"/>
    <m/>
    <n v="2"/>
    <m/>
    <n v="4"/>
    <n v="1"/>
    <n v="4"/>
    <m/>
    <m/>
    <m/>
    <n v="0.25"/>
    <n v="4"/>
    <n v="0"/>
    <m/>
    <m/>
    <m/>
    <n v="0"/>
    <m/>
    <m/>
    <m/>
    <m/>
    <m/>
    <m/>
    <m/>
    <m/>
    <m/>
    <m/>
    <m/>
    <m/>
    <m/>
    <m/>
    <m/>
    <m/>
    <m/>
    <m/>
    <m/>
    <m/>
    <m/>
    <m/>
    <m/>
    <m/>
    <m/>
  </r>
  <r>
    <n v="6"/>
    <s v="GRUPOS POBLACIONALES"/>
    <m/>
    <m/>
    <x v="27"/>
    <x v="27"/>
    <m/>
    <m/>
    <x v="84"/>
    <x v="83"/>
    <m/>
    <m/>
    <m/>
    <s v="Elaboración y ejecución de acciones, planes y proyectos para la gestión institucional"/>
    <s v="Fortalecimiento Institucional"/>
    <s v="N/D"/>
    <n v="1"/>
    <m/>
    <s v="Actualizar todas las plataformas de los sistemas de información, en las fechas establecidas, en articulación con el SNARIV"/>
    <s v="Sistemas de información actualizados en articulación con entidades del SNARIV territorial Bolívar"/>
    <s v="N/D"/>
    <n v="1"/>
    <s v="Incremento"/>
    <m/>
    <m/>
    <m/>
    <n v="16"/>
    <s v="SECRETARÍA DE VÍCTIMAS"/>
    <n v="1"/>
    <m/>
    <m/>
    <m/>
    <n v="1"/>
    <b v="1"/>
    <m/>
    <n v="1"/>
    <n v="1"/>
    <n v="1"/>
    <n v="1"/>
    <n v="1"/>
    <m/>
    <n v="1"/>
    <m/>
    <n v="1"/>
    <n v="1"/>
    <n v="1"/>
    <m/>
    <m/>
    <m/>
    <n v="1"/>
    <s v="NP"/>
    <n v="0"/>
    <m/>
    <m/>
    <m/>
    <s v="NP"/>
    <m/>
    <m/>
    <m/>
    <m/>
    <m/>
    <m/>
    <m/>
    <m/>
    <m/>
    <m/>
    <m/>
    <m/>
    <m/>
    <m/>
    <m/>
    <m/>
    <m/>
    <m/>
    <m/>
    <m/>
    <m/>
    <m/>
    <m/>
    <m/>
    <m/>
  </r>
  <r>
    <n v="6"/>
    <s v="GRUPOS POBLACIONALES"/>
    <m/>
    <m/>
    <x v="27"/>
    <x v="27"/>
    <m/>
    <m/>
    <x v="85"/>
    <x v="84"/>
    <n v="0.38063063063063063"/>
    <n v="0.8"/>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beneficiarios de restitución de tierras "/>
    <s v="N/D"/>
    <n v="9"/>
    <s v="Incremento"/>
    <m/>
    <m/>
    <m/>
    <n v="16"/>
    <s v="SECRETARÍA DE VÍCTIMAS"/>
    <n v="1"/>
    <n v="2"/>
    <n v="3"/>
    <n v="3"/>
    <n v="9"/>
    <b v="1"/>
    <m/>
    <n v="1"/>
    <n v="1"/>
    <n v="1"/>
    <n v="0.1111111111111111"/>
    <n v="1"/>
    <m/>
    <n v="1"/>
    <m/>
    <n v="1"/>
    <n v="1"/>
    <n v="3"/>
    <m/>
    <m/>
    <m/>
    <n v="0.33333333333333331"/>
    <n v="2"/>
    <n v="2"/>
    <m/>
    <m/>
    <m/>
    <n v="1"/>
    <m/>
    <m/>
    <m/>
    <m/>
    <m/>
    <m/>
    <m/>
    <m/>
    <m/>
    <m/>
    <m/>
    <m/>
    <m/>
    <m/>
    <m/>
    <m/>
    <m/>
    <m/>
    <m/>
    <m/>
    <m/>
    <m/>
    <m/>
    <m/>
    <m/>
  </r>
  <r>
    <n v="6"/>
    <s v="GRUPOS POBLACIONALES"/>
    <m/>
    <m/>
    <x v="27"/>
    <x v="27"/>
    <m/>
    <m/>
    <x v="85"/>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que aún no cuentan con fallos de restitución de tierras con datos cuantitativos que podrán ser utilizados en la construcción de diagnósticos municipales en materia de restitución de tierras. "/>
    <s v="N/D"/>
    <n v="37"/>
    <s v="Incremento"/>
    <m/>
    <m/>
    <m/>
    <n v="16"/>
    <s v="SECRETARÍA DE VÍCTIMAS"/>
    <n v="5"/>
    <n v="10"/>
    <n v="10"/>
    <n v="12"/>
    <n v="37"/>
    <b v="1"/>
    <m/>
    <n v="5"/>
    <n v="5"/>
    <n v="5"/>
    <n v="0.13513513513513514"/>
    <n v="5"/>
    <m/>
    <n v="5"/>
    <m/>
    <n v="5"/>
    <n v="1"/>
    <n v="7"/>
    <m/>
    <m/>
    <m/>
    <n v="0.1891891891891892"/>
    <n v="10"/>
    <n v="2"/>
    <m/>
    <m/>
    <m/>
    <n v="0.2"/>
    <m/>
    <m/>
    <m/>
    <m/>
    <m/>
    <m/>
    <m/>
    <m/>
    <m/>
    <m/>
    <m/>
    <m/>
    <m/>
    <m/>
    <m/>
    <m/>
    <m/>
    <m/>
    <m/>
    <m/>
    <m/>
    <m/>
    <m/>
    <m/>
    <m/>
  </r>
  <r>
    <n v="6"/>
    <s v="GRUPOS POBLACIONALES"/>
    <m/>
    <m/>
    <x v="27"/>
    <x v="27"/>
    <m/>
    <m/>
    <x v="85"/>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Coordinar las Medidas de protección integral a las víctimas, testigos y a los funcionarios públicos que intervengan en los procedimientos administrativos y judiciales de reparación y en especial de restitución de tierras."/>
    <s v="N/D"/>
    <n v="1"/>
    <s v="Incremento"/>
    <m/>
    <m/>
    <m/>
    <n v="16"/>
    <s v="SECRETARÍA DE VÍCTIMAS"/>
    <n v="0.25"/>
    <n v="0.25"/>
    <n v="0.25"/>
    <n v="0.25"/>
    <n v="1"/>
    <b v="1"/>
    <m/>
    <n v="0.25"/>
    <m/>
    <m/>
    <n v="0"/>
    <n v="0.25"/>
    <m/>
    <n v="0.25"/>
    <m/>
    <n v="0"/>
    <n v="0"/>
    <n v="0.5"/>
    <m/>
    <m/>
    <m/>
    <n v="0.5"/>
    <n v="0.25"/>
    <n v="0.5"/>
    <m/>
    <m/>
    <m/>
    <n v="1"/>
    <m/>
    <m/>
    <m/>
    <m/>
    <m/>
    <m/>
    <m/>
    <m/>
    <m/>
    <m/>
    <m/>
    <m/>
    <m/>
    <m/>
    <m/>
    <m/>
    <m/>
    <m/>
    <m/>
    <m/>
    <m/>
    <m/>
    <m/>
    <m/>
    <m/>
  </r>
  <r>
    <n v="6"/>
    <s v="GRUPOS POBLACIONALES"/>
    <m/>
    <m/>
    <x v="27"/>
    <x v="27"/>
    <m/>
    <m/>
    <x v="85"/>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Atender los fallos de los jueces y magistrados en materia de restitución de tierras y derechos territoriales que involucran a las administraciones públicas"/>
    <s v="N/D"/>
    <n v="1"/>
    <s v="Incremento"/>
    <m/>
    <m/>
    <m/>
    <n v="16"/>
    <s v="SECRETARÍA DE VÍCTIMAS"/>
    <n v="0.25"/>
    <n v="0.25"/>
    <n v="0.25"/>
    <n v="0.25"/>
    <n v="1"/>
    <b v="1"/>
    <m/>
    <n v="0.25"/>
    <m/>
    <m/>
    <n v="0"/>
    <n v="0.25"/>
    <m/>
    <n v="0.25"/>
    <m/>
    <n v="0"/>
    <n v="0"/>
    <n v="0.5"/>
    <m/>
    <m/>
    <m/>
    <n v="0.5"/>
    <n v="0.25"/>
    <n v="0.5"/>
    <m/>
    <m/>
    <m/>
    <n v="1"/>
    <m/>
    <m/>
    <m/>
    <m/>
    <m/>
    <m/>
    <m/>
    <m/>
    <m/>
    <m/>
    <m/>
    <m/>
    <m/>
    <m/>
    <m/>
    <m/>
    <m/>
    <m/>
    <m/>
    <m/>
    <m/>
    <m/>
    <m/>
    <m/>
    <m/>
  </r>
  <r>
    <n v="6"/>
    <s v="GRUPOS POBLACIONALES"/>
    <m/>
    <m/>
    <x v="27"/>
    <x v="27"/>
    <m/>
    <m/>
    <x v="86"/>
    <x v="85"/>
    <n v="0.14702380952380953"/>
    <n v="0.20833333333333331"/>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consolidación de conversación y articulación institucional para tratar temas relacionados a los procesos de reintegración y reincorporación en el departamento de Bolívar."/>
    <s v="Fortalecimiento y convocatoria de la Mesa Técnica de Reincorporación."/>
    <s v="N/D"/>
    <n v="12"/>
    <s v="Incremento "/>
    <m/>
    <m/>
    <m/>
    <n v="16"/>
    <s v="SECRETARÍA DE VÍCTIMAS"/>
    <n v="3"/>
    <n v="3"/>
    <n v="3"/>
    <n v="3"/>
    <n v="12"/>
    <b v="1"/>
    <m/>
    <n v="1"/>
    <n v="3"/>
    <n v="3"/>
    <n v="0.25"/>
    <n v="3"/>
    <m/>
    <n v="1"/>
    <m/>
    <n v="3"/>
    <n v="1"/>
    <n v="4"/>
    <m/>
    <m/>
    <m/>
    <n v="0.33333333333333331"/>
    <n v="3"/>
    <n v="1"/>
    <m/>
    <m/>
    <m/>
    <n v="0.33333333333333331"/>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vivencia, la paz y la reconciliación a través de la ejecución de acciones e iniciativas en los municipios PDET."/>
    <s v="Proyectos de convivencia, paz y reconciliación en las dos zonas PDET del departamento de Bolívar"/>
    <s v="N/D"/>
    <n v="10"/>
    <s v="Incremento "/>
    <m/>
    <m/>
    <m/>
    <n v="16"/>
    <s v="SECRETARÍA DE VÍCTIMAS"/>
    <n v="1"/>
    <n v="3"/>
    <n v="3"/>
    <n v="3"/>
    <n v="10"/>
    <b v="1"/>
    <m/>
    <n v="1"/>
    <n v="1"/>
    <n v="1"/>
    <n v="0.1"/>
    <n v="1"/>
    <m/>
    <n v="1"/>
    <m/>
    <n v="1"/>
    <n v="1"/>
    <n v="2"/>
    <m/>
    <m/>
    <m/>
    <n v="0.2"/>
    <n v="3"/>
    <n v="1"/>
    <m/>
    <m/>
    <m/>
    <n v="0.33333333333333331"/>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strucción de Paz y convivencia a través de actividades relacionadas con el deporte y la cultura. "/>
    <s v="Jornadas de Integración deportivas y culturales."/>
    <s v="N/D"/>
    <n v="5"/>
    <s v="Incremento "/>
    <m/>
    <m/>
    <m/>
    <n v="16"/>
    <s v="SECRETARÍA DE VÍCTIMAS"/>
    <m/>
    <n v="1"/>
    <n v="2"/>
    <n v="2"/>
    <n v="5"/>
    <b v="1"/>
    <m/>
    <m/>
    <m/>
    <m/>
    <n v="0"/>
    <m/>
    <m/>
    <m/>
    <m/>
    <n v="0"/>
    <n v="0"/>
    <n v="0"/>
    <m/>
    <m/>
    <m/>
    <n v="0"/>
    <n v="1"/>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Generar procesos efectivos de reconstrucción del tejido social, teniendo como motor la construcción y fortalecimiento de la reconciliación y la memoria histórica en el departamento de Bolívar."/>
    <s v="Iniciativas o acciones de Memoria Histórica para comunidades, que se requiere realizar o difundir en la entidad territorial."/>
    <s v="N/D"/>
    <n v="14"/>
    <s v="Incremento "/>
    <m/>
    <m/>
    <m/>
    <n v="16"/>
    <s v="SECRETARÍA DE VÍCTIMAS"/>
    <n v="2"/>
    <n v="4"/>
    <n v="4"/>
    <n v="4"/>
    <n v="14"/>
    <b v="1"/>
    <m/>
    <n v="2"/>
    <n v="2"/>
    <n v="2"/>
    <n v="0.14285714285714285"/>
    <n v="2"/>
    <m/>
    <n v="2"/>
    <m/>
    <n v="2"/>
    <n v="1"/>
    <n v="2"/>
    <m/>
    <m/>
    <m/>
    <n v="0.14285714285714285"/>
    <n v="4"/>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la implementación de proyectos para el desarrollo y consolidadción de la Paz que cuenten con la participación de población civil y excombatientes FARC-EP. "/>
    <s v="Reincorporados en proyectos comunitarios y sociales implementados junto con las comunidades afectadas por la violencia"/>
    <s v="N/D"/>
    <n v="0.3"/>
    <s v="Incremento "/>
    <m/>
    <m/>
    <m/>
    <n v="16"/>
    <s v="SECRETARÍA DE VÍCTIMAS"/>
    <m/>
    <n v="0.1"/>
    <n v="0.1"/>
    <n v="0.1"/>
    <n v="0.30000000000000004"/>
    <b v="1"/>
    <m/>
    <m/>
    <m/>
    <m/>
    <n v="0"/>
    <m/>
    <m/>
    <m/>
    <m/>
    <m/>
    <s v="NP"/>
    <n v="0"/>
    <m/>
    <m/>
    <m/>
    <n v="0"/>
    <n v="0.1"/>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Integrar asociaciones y cooperativas en el desarrollo de proyectos productivos junto con reincorporados"/>
    <s v="Cooperativas/asociaciones locales en proyectos productivos colectivos junto con reincorporados."/>
    <s v="N/D"/>
    <n v="2"/>
    <s v="Incremento "/>
    <m/>
    <m/>
    <m/>
    <n v="16"/>
    <s v="SECRETARÍA DE VÍCTIMAS"/>
    <m/>
    <n v="1"/>
    <n v="1"/>
    <m/>
    <n v="2"/>
    <b v="1"/>
    <m/>
    <m/>
    <m/>
    <m/>
    <n v="0"/>
    <m/>
    <m/>
    <m/>
    <m/>
    <m/>
    <s v="NP"/>
    <n v="1"/>
    <m/>
    <m/>
    <m/>
    <n v="0.5"/>
    <n v="1"/>
    <n v="1"/>
    <m/>
    <m/>
    <m/>
    <n v="1"/>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En cooperación institucional, lograr desarrollar proyectos para el mejoramiento de viviendas de los miembros de los procesos de reintegración y reincorporación."/>
    <s v="Mejoramientos de vivienda iniciados para familias de reincorporados."/>
    <s v="N/D"/>
    <n v="50"/>
    <s v="Incremento "/>
    <m/>
    <m/>
    <m/>
    <n v="16"/>
    <s v="SECRETARÍA DE VÍCTIMAS"/>
    <m/>
    <n v="20"/>
    <n v="20"/>
    <n v="10"/>
    <n v="50"/>
    <b v="1"/>
    <m/>
    <m/>
    <m/>
    <m/>
    <n v="0"/>
    <m/>
    <m/>
    <m/>
    <m/>
    <m/>
    <s v="NP"/>
    <n v="0"/>
    <m/>
    <m/>
    <m/>
    <n v="0"/>
    <n v="20"/>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aumentar la participación de los miembros del proceso de Reincorporación en programas de educación escolar, técnica y profesional en conjunto con instituciones academicas."/>
    <s v="Reincorporados, o familiares, incluidos en programas de educación."/>
    <s v="N/D"/>
    <n v="0.15"/>
    <s v="Incremento "/>
    <m/>
    <m/>
    <m/>
    <n v="16"/>
    <s v="SECRETARÍA DE VÍCTIMAS"/>
    <m/>
    <n v="0.5"/>
    <n v="0.5"/>
    <n v="0.5"/>
    <n v="1.5"/>
    <b v="0"/>
    <m/>
    <m/>
    <m/>
    <m/>
    <n v="0"/>
    <m/>
    <m/>
    <m/>
    <m/>
    <m/>
    <s v="NP"/>
    <n v="0"/>
    <m/>
    <m/>
    <m/>
    <n v="0"/>
    <n v="0.5"/>
    <n v="0"/>
    <m/>
    <m/>
    <m/>
    <n v="0"/>
    <m/>
    <m/>
    <m/>
    <m/>
    <m/>
    <m/>
    <m/>
    <m/>
    <m/>
    <m/>
    <m/>
    <m/>
    <m/>
    <m/>
    <m/>
    <m/>
    <m/>
    <m/>
    <m/>
    <m/>
    <m/>
    <m/>
    <m/>
    <m/>
    <m/>
  </r>
  <r>
    <n v="6"/>
    <s v="GRUPOS POBLACIONALES"/>
    <m/>
    <m/>
    <x v="28"/>
    <x v="28"/>
    <n v="0.11317567567567567"/>
    <n v="0.13392857142857142"/>
    <x v="87"/>
    <x v="86"/>
    <n v="0.453125"/>
    <n v="0.4375"/>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rocesos de capacitación y/o formación en fortalecimiento organizativo a Consejos comunitarios, Comisión Consultiva departamental y organizaciones de base"/>
    <s v="Procesos de capacitación y/o formación en fortalecimiento organizativo a Consejos comunitarios, Comisión Consultiva departamental y organizaciones de base"/>
    <n v="0"/>
    <n v="16"/>
    <s v="Incremento"/>
    <m/>
    <s v="Gobierno territorial"/>
    <n v="45"/>
    <n v="10"/>
    <s v="SECRETARÍA DEL INTERIOR"/>
    <n v="2"/>
    <n v="4"/>
    <n v="8"/>
    <n v="2"/>
    <n v="16"/>
    <b v="1"/>
    <n v="0"/>
    <n v="2"/>
    <n v="2"/>
    <n v="2"/>
    <n v="0.125"/>
    <n v="2"/>
    <n v="0"/>
    <n v="2"/>
    <m/>
    <n v="2"/>
    <n v="1"/>
    <n v="3"/>
    <m/>
    <m/>
    <m/>
    <n v="0.1875"/>
    <n v="4"/>
    <n v="1"/>
    <m/>
    <m/>
    <m/>
    <n v="0.25"/>
    <m/>
    <m/>
    <m/>
    <m/>
    <m/>
    <m/>
    <m/>
    <m/>
    <m/>
    <m/>
    <m/>
    <m/>
    <m/>
    <m/>
    <m/>
    <m/>
    <m/>
    <m/>
    <m/>
    <m/>
    <m/>
    <m/>
    <m/>
    <m/>
    <m/>
  </r>
  <r>
    <n v="6"/>
    <s v="GRUPOS POBLACIONALES"/>
    <m/>
    <m/>
    <x v="28"/>
    <x v="28"/>
    <m/>
    <m/>
    <x v="87"/>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olítica pública para la atención de la población negra, afrocolombiana, raizal, palenquera, indígena y rom asentada en Bolívar construida y aprobada por la Asamblea departamental"/>
    <s v="Política pública para la atención de la población negra, afrocolombiana, raizal, palenquera, indígena y rom asentada en Bolívar construida y aprobada por la Asamblea departamental"/>
    <n v="0"/>
    <n v="1"/>
    <s v="Incremento"/>
    <m/>
    <s v="Gobierno territorial"/>
    <n v="45"/>
    <n v="10"/>
    <s v="SECRETARÍA DEL INTERIOR"/>
    <n v="0.5"/>
    <n v="1"/>
    <m/>
    <m/>
    <n v="1.5"/>
    <b v="0"/>
    <n v="0"/>
    <n v="0.5"/>
    <n v="0.5"/>
    <n v="0.5"/>
    <n v="0.5"/>
    <n v="0.5"/>
    <n v="0"/>
    <n v="0.5"/>
    <m/>
    <n v="0.5"/>
    <n v="1"/>
    <n v="1"/>
    <m/>
    <m/>
    <m/>
    <n v="1"/>
    <n v="1"/>
    <n v="0.5"/>
    <m/>
    <m/>
    <m/>
    <n v="0.5"/>
    <m/>
    <m/>
    <m/>
    <m/>
    <m/>
    <m/>
    <m/>
    <m/>
    <m/>
    <m/>
    <m/>
    <m/>
    <m/>
    <m/>
    <m/>
    <m/>
    <m/>
    <m/>
    <m/>
    <m/>
    <m/>
    <m/>
    <m/>
    <m/>
    <m/>
  </r>
  <r>
    <n v="6"/>
    <s v="GRUPOS POBLACIONALES"/>
    <m/>
    <m/>
    <x v="28"/>
    <x v="28"/>
    <m/>
    <m/>
    <x v="87"/>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pacios e instancias de representatividad étnicos creados, activos y en articulación con la administración departamental (consultiva departamental, consultiva de alto nivel, otros)"/>
    <s v="Espacios e instancias de representatividad étnicos creados, activos y en articulación con la administración departamental (consultiva departamental, consultiva de alto nivel, otros)"/>
    <n v="2"/>
    <n v="2"/>
    <s v="Mantenimiento"/>
    <m/>
    <s v="Gobierno territorial"/>
    <n v="45"/>
    <n v="10"/>
    <s v="SECRETARÍA DEL INTERIOR"/>
    <n v="2"/>
    <n v="2"/>
    <m/>
    <m/>
    <n v="4"/>
    <b v="0"/>
    <n v="0.5"/>
    <n v="2"/>
    <n v="2"/>
    <n v="2"/>
    <n v="1"/>
    <n v="2"/>
    <n v="1"/>
    <n v="2"/>
    <m/>
    <n v="2"/>
    <n v="1"/>
    <n v="1"/>
    <m/>
    <m/>
    <m/>
    <n v="0.5"/>
    <n v="2"/>
    <n v="2"/>
    <m/>
    <m/>
    <m/>
    <n v="1"/>
    <m/>
    <m/>
    <m/>
    <m/>
    <m/>
    <m/>
    <m/>
    <m/>
    <m/>
    <m/>
    <m/>
    <m/>
    <m/>
    <m/>
    <m/>
    <m/>
    <m/>
    <m/>
    <m/>
    <m/>
    <m/>
    <m/>
    <m/>
    <m/>
    <m/>
  </r>
  <r>
    <n v="6"/>
    <s v="GRUPOS POBLACIONALES"/>
    <m/>
    <m/>
    <x v="28"/>
    <x v="28"/>
    <m/>
    <m/>
    <x v="87"/>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trategia integral para la concientización y respeto sobre la identidad, diversidad étnica y cultural de la población negra, afrocolombiana, raizal, palenquera, indígena y rom."/>
    <s v="Estrategia integral para la concientización y respeto sobre la identidad, diversidad étnica y cultural de la población negra, afrocolombiana, raizal, palenquera, indígena y rom."/>
    <n v="0"/>
    <n v="4"/>
    <s v="Incremento"/>
    <m/>
    <s v="Gobierno territorial"/>
    <n v="45"/>
    <n v="10"/>
    <s v="SECRETARÍA DEL INTERIOR"/>
    <n v="0.5"/>
    <n v="1"/>
    <n v="2"/>
    <n v="0.5"/>
    <n v="4"/>
    <b v="1"/>
    <n v="0"/>
    <n v="0.5"/>
    <n v="0.5"/>
    <n v="0.5"/>
    <n v="0.125"/>
    <n v="0.5"/>
    <n v="0"/>
    <n v="0.5"/>
    <m/>
    <n v="0.5"/>
    <n v="1"/>
    <n v="0.5"/>
    <m/>
    <m/>
    <m/>
    <n v="0.125"/>
    <n v="1"/>
    <n v="0"/>
    <m/>
    <m/>
    <m/>
    <n v="0"/>
    <m/>
    <m/>
    <m/>
    <m/>
    <m/>
    <m/>
    <m/>
    <m/>
    <m/>
    <m/>
    <m/>
    <m/>
    <m/>
    <m/>
    <m/>
    <m/>
    <m/>
    <m/>
    <m/>
    <m/>
    <m/>
    <m/>
    <m/>
    <m/>
    <m/>
  </r>
  <r>
    <n v="6"/>
    <s v="GRUPOS POBLACIONALES"/>
    <m/>
    <m/>
    <x v="28"/>
    <x v="28"/>
    <m/>
    <m/>
    <x v="88"/>
    <x v="87"/>
    <n v="3.125E-2"/>
    <n v="0"/>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4 Eventos para la promoción de derechos de las mujeres población negra, afrocolombiana, raizal, palenquera, indígena y rom"/>
    <s v="Eventos para la promoción de derechos de las mujeres población negra,  afrocolombiana, raizal, palenquera, indígena y rom"/>
    <s v="ND"/>
    <n v="4"/>
    <s v="Incremento"/>
    <s v="SI"/>
    <m/>
    <n v="41"/>
    <s v="ODS 5 "/>
    <s v="SECRETARÍA DE LA MUJER"/>
    <n v="1"/>
    <n v="1"/>
    <n v="1"/>
    <n v="1"/>
    <n v="4"/>
    <b v="1"/>
    <n v="0"/>
    <m/>
    <m/>
    <m/>
    <n v="0"/>
    <n v="1"/>
    <n v="0"/>
    <m/>
    <m/>
    <n v="0"/>
    <n v="0"/>
    <n v="0"/>
    <m/>
    <m/>
    <m/>
    <n v="0"/>
    <n v="1"/>
    <n v="0"/>
    <m/>
    <m/>
    <m/>
    <n v="0"/>
    <m/>
    <m/>
    <m/>
    <m/>
    <m/>
    <m/>
    <m/>
    <m/>
    <m/>
    <m/>
    <m/>
    <m/>
    <m/>
    <m/>
    <m/>
    <m/>
    <m/>
    <m/>
    <m/>
    <m/>
    <m/>
    <m/>
    <m/>
    <m/>
    <m/>
  </r>
  <r>
    <n v="6"/>
    <s v="GRUPOS POBLACIONALES"/>
    <m/>
    <m/>
    <x v="28"/>
    <x v="28"/>
    <m/>
    <m/>
    <x v="88"/>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1 Estudio de caracterización de la_x000a_situación económica, política y social de la mujer población negra, afrocolombiana, raizal, palenquera, indígena y rom asentada en el departamento de Bolívar."/>
    <s v="Estudios de caracterización de la_x000a_situación económica, política y social de la mujer población negra, afrocolombiana, raizal, palenquera, indígena y rom asentada en el departamento de Bolívar."/>
    <s v="ND"/>
    <n v="1"/>
    <s v="Incremento"/>
    <s v="NA"/>
    <s v="NA"/>
    <n v="41"/>
    <s v="ODS 5 "/>
    <s v="SECRETARÍA DE LA MUJER"/>
    <m/>
    <m/>
    <m/>
    <n v="1"/>
    <n v="1"/>
    <b v="1"/>
    <m/>
    <m/>
    <m/>
    <m/>
    <n v="0"/>
    <m/>
    <m/>
    <m/>
    <m/>
    <m/>
    <s v="NP"/>
    <n v="0"/>
    <m/>
    <m/>
    <m/>
    <n v="0"/>
    <s v="NP"/>
    <n v="0"/>
    <m/>
    <m/>
    <m/>
    <s v="NP"/>
    <m/>
    <m/>
    <m/>
    <m/>
    <m/>
    <m/>
    <m/>
    <m/>
    <m/>
    <m/>
    <m/>
    <m/>
    <m/>
    <m/>
    <m/>
    <m/>
    <m/>
    <m/>
    <m/>
    <m/>
    <m/>
    <m/>
    <m/>
    <m/>
    <m/>
  </r>
  <r>
    <n v="6"/>
    <s v="GRUPOS POBLACIONALES"/>
    <m/>
    <m/>
    <x v="28"/>
    <x v="28"/>
    <m/>
    <m/>
    <x v="88"/>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2 Acciones afirmativas con perspectiva de género en el ámbito de la educación"/>
    <s v="Acciones afirmativas con perspectiva de género en el ámbito de la educación"/>
    <s v="ND"/>
    <n v="2"/>
    <s v="Incremento"/>
    <s v="NA"/>
    <s v="NA"/>
    <n v="41"/>
    <s v="ODS 5 "/>
    <s v="SECRETARÍA DE LA MUJER"/>
    <m/>
    <m/>
    <n v="1"/>
    <n v="1"/>
    <n v="2"/>
    <b v="1"/>
    <m/>
    <m/>
    <m/>
    <m/>
    <n v="0"/>
    <m/>
    <m/>
    <m/>
    <m/>
    <m/>
    <s v="NP"/>
    <n v="0"/>
    <m/>
    <m/>
    <m/>
    <n v="0"/>
    <s v="NP"/>
    <n v="0"/>
    <m/>
    <m/>
    <m/>
    <s v="NP"/>
    <m/>
    <m/>
    <m/>
    <m/>
    <m/>
    <m/>
    <m/>
    <m/>
    <m/>
    <m/>
    <m/>
    <m/>
    <m/>
    <m/>
    <m/>
    <m/>
    <m/>
    <m/>
    <m/>
    <m/>
    <m/>
    <m/>
    <m/>
    <m/>
    <m/>
  </r>
  <r>
    <n v="6"/>
    <s v="GRUPOS POBLACIONALES"/>
    <m/>
    <m/>
    <x v="28"/>
    <x v="28"/>
    <m/>
    <m/>
    <x v="88"/>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8 Espacios de capacitación y /o formación para mujeres Afro"/>
    <s v="Espacios de capacitación y /o formación para mujeres Afro"/>
    <s v="ND"/>
    <n v="8"/>
    <s v="Incremento"/>
    <s v="NO"/>
    <s v="GESTIÓN"/>
    <n v="41"/>
    <s v="ODS 5 "/>
    <s v="SECRETARÍA DE LA MUJER"/>
    <n v="1"/>
    <n v="1"/>
    <n v="3"/>
    <n v="3"/>
    <n v="8"/>
    <b v="1"/>
    <n v="0"/>
    <n v="1"/>
    <n v="1"/>
    <n v="1"/>
    <n v="0.125"/>
    <n v="1"/>
    <n v="0"/>
    <n v="1"/>
    <m/>
    <n v="1"/>
    <n v="1"/>
    <n v="1"/>
    <m/>
    <m/>
    <m/>
    <n v="0.125"/>
    <n v="1"/>
    <n v="0"/>
    <m/>
    <m/>
    <m/>
    <n v="0"/>
    <m/>
    <m/>
    <m/>
    <m/>
    <m/>
    <m/>
    <m/>
    <m/>
    <m/>
    <m/>
    <m/>
    <m/>
    <m/>
    <m/>
    <m/>
    <m/>
    <m/>
    <m/>
    <m/>
    <m/>
    <m/>
    <m/>
    <m/>
    <m/>
    <m/>
  </r>
  <r>
    <n v="6"/>
    <s v="GRUPOS POBLACIONALES"/>
    <m/>
    <m/>
    <x v="28"/>
    <x v="28"/>
    <m/>
    <m/>
    <x v="89"/>
    <x v="88"/>
    <n v="0"/>
    <n v="0"/>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ND"/>
    <n v="4"/>
    <s v="Incremento"/>
    <m/>
    <m/>
    <m/>
    <m/>
    <s v="ICULTUR"/>
    <m/>
    <n v="1"/>
    <m/>
    <m/>
    <n v="1"/>
    <b v="0"/>
    <m/>
    <m/>
    <m/>
    <m/>
    <n v="0"/>
    <m/>
    <m/>
    <m/>
    <m/>
    <m/>
    <s v="NP"/>
    <n v="0"/>
    <m/>
    <m/>
    <m/>
    <n v="0"/>
    <n v="1"/>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Municipios población negra, afrocolombiana, raizal, palenquera, indígena y rom asistidos en la implementación de acciones de protección y salvaguarda del Patrimonio material e inmaterial bolivarense"/>
    <s v="Municipios población negra, afrocolombiana, raizal, palenquera, indígena y rom asistidos en la implementación de acciones de protección y salvaguarda del Patrimonio material e inmaterial bolivarense"/>
    <s v="N.D"/>
    <n v="100"/>
    <s v="Incremento"/>
    <m/>
    <m/>
    <m/>
    <m/>
    <s v="ICULTUR"/>
    <m/>
    <n v="0.25"/>
    <m/>
    <m/>
    <n v="0.25"/>
    <b v="0"/>
    <m/>
    <m/>
    <m/>
    <m/>
    <n v="0"/>
    <m/>
    <m/>
    <m/>
    <m/>
    <m/>
    <s v="NP"/>
    <n v="0"/>
    <m/>
    <m/>
    <m/>
    <n v="0"/>
    <n v="0.25"/>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para la visibilizarían de las manifestaciones artísticas y culturales de población negra, afrocolombiana, raizal, palenquera, indígena y rom en el departamento de Bolívar"/>
    <s v="Eventos para la visibilizarían de las manifestaciones artísticas y culturales de población negra, afrocolombiana, raizal, palenquera, indígena y rom en el departamento de Bolívar"/>
    <s v="ND"/>
    <n v="4"/>
    <s v="Incremento"/>
    <m/>
    <m/>
    <m/>
    <m/>
    <s v="ICULTUR"/>
    <m/>
    <n v="1"/>
    <m/>
    <m/>
    <n v="1"/>
    <b v="0"/>
    <m/>
    <m/>
    <m/>
    <m/>
    <n v="0"/>
    <m/>
    <m/>
    <m/>
    <m/>
    <m/>
    <s v="NP"/>
    <n v="0"/>
    <m/>
    <m/>
    <m/>
    <n v="0"/>
    <n v="1"/>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spacios institucionales en medios de comunicación apoyados para difundir las manifestaciones socioculturales de la población negra, afrocolombiana, raizal, palenquera, indígena y rom"/>
    <s v="espacios institucionales en medios de comunicación apoyados para difundir las manifestaciones socioculturales de la población negra, afrocolombiana, raizal, palenquera, indígena y rom"/>
    <s v="N.D "/>
    <n v="2"/>
    <s v="Incremento"/>
    <m/>
    <m/>
    <m/>
    <m/>
    <s v="SECRETARIA PRIVADA"/>
    <m/>
    <m/>
    <m/>
    <m/>
    <n v="0"/>
    <b v="0"/>
    <m/>
    <m/>
    <m/>
    <m/>
    <n v="0"/>
    <m/>
    <m/>
    <m/>
    <m/>
    <m/>
    <s v="NP"/>
    <n v="0"/>
    <m/>
    <m/>
    <m/>
    <n v="0"/>
    <s v="NP"/>
    <m/>
    <m/>
    <m/>
    <m/>
    <s v="NP"/>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Convocatorias de estímulos a artistas, creadores y Gestores culturales población negra, afrocolombiana, raizal, palenquera, indígena y rom realizadas"/>
    <s v="Convocatorias de estímulos a artistas, creadores y Gestores culturales población negra, afrocolombiana, raizal, palenquera, indígena y rom realizadas"/>
    <s v="N.D "/>
    <n v="2"/>
    <s v="Incremento"/>
    <m/>
    <m/>
    <m/>
    <m/>
    <s v="ICULTUR"/>
    <m/>
    <n v="1"/>
    <m/>
    <m/>
    <n v="1"/>
    <b v="0"/>
    <m/>
    <m/>
    <m/>
    <m/>
    <n v="0"/>
    <m/>
    <m/>
    <m/>
    <m/>
    <m/>
    <s v="NP"/>
    <n v="0"/>
    <m/>
    <m/>
    <m/>
    <n v="0"/>
    <n v="1"/>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artísticos y culturales apoyados para promover e incentivar la participación de niños, niñas, adolescentes y jóvenes población negra, afrocolombiana, raizal,_x000a_palenquera, indígena y rom"/>
    <s v="Eventos artísticos y culturales apoyados para promover e incentivar la participación de niños, niñas, adolescentes y jóvenes población negra, afrocolombiana, raizal,_x000a_palenquera, indígena y rom"/>
    <s v="ND"/>
    <n v="8"/>
    <s v="Incremento"/>
    <m/>
    <m/>
    <m/>
    <m/>
    <s v="ICULTUR"/>
    <m/>
    <n v="2"/>
    <m/>
    <m/>
    <n v="2"/>
    <b v="0"/>
    <m/>
    <m/>
    <m/>
    <m/>
    <n v="0"/>
    <m/>
    <m/>
    <m/>
    <m/>
    <m/>
    <s v="NP"/>
    <n v="0"/>
    <m/>
    <m/>
    <m/>
    <n v="0"/>
    <n v="2"/>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Artistas, creadores y Gestores culturales población negra, afrocolombiana, raizal, palenquera, indígena y rom capacitados"/>
    <s v="Artistas, creadores y Gestores culturales población negra, afrocolombiana, raizal, palenquera, indígena y rom capacitados"/>
    <s v="ND"/>
    <n v="100"/>
    <s v="Incremento"/>
    <m/>
    <m/>
    <m/>
    <m/>
    <s v="ICULTUR"/>
    <m/>
    <n v="20"/>
    <m/>
    <m/>
    <n v="20"/>
    <b v="0"/>
    <m/>
    <m/>
    <m/>
    <m/>
    <n v="0"/>
    <m/>
    <m/>
    <m/>
    <m/>
    <m/>
    <s v="NP"/>
    <n v="0"/>
    <m/>
    <m/>
    <m/>
    <n v="0"/>
    <n v="20"/>
    <n v="0"/>
    <m/>
    <m/>
    <m/>
    <n v="0"/>
    <m/>
    <m/>
    <m/>
    <m/>
    <m/>
    <m/>
    <m/>
    <m/>
    <m/>
    <m/>
    <m/>
    <m/>
    <m/>
    <m/>
    <m/>
    <m/>
    <m/>
    <m/>
    <m/>
    <m/>
    <m/>
    <m/>
    <m/>
    <m/>
    <m/>
  </r>
  <r>
    <n v="6"/>
    <s v="GRUPOS POBLACIONALES"/>
    <m/>
    <m/>
    <x v="28"/>
    <x v="28"/>
    <m/>
    <m/>
    <x v="90"/>
    <x v="89"/>
    <n v="0"/>
    <n v="0"/>
    <m/>
    <s v="Municipios de Bolívar con población negra,_x000a_afrocolombiana, raizal, palenquera, indígena y_x000a_rom organizada, apoyados en sus actividades deportivas dirigidas a población negra,_x000a_afrocolombiana, raizal, palenquera, indígena y_x000a_rom._x000a_"/>
    <s v="% Municipios de Bolívar con población negra,_x000a_afrocolombiana, raizal, palenquera, indígena y_x000a_rom organizada, apoyados en sus actividades deportivas dirigidas a población negra,_x000a_afrocolombiana, raizal, palenquera, indígena y_x000a_rom._x000a_"/>
    <s v="ND"/>
    <n v="100"/>
    <m/>
    <s v="Eventos deportivos y recreativos_x000a_organizados y realizados con la_x000a_participación de población negra,_x000a_afrocolombiana, raizal,_x000a_palenquera, indígena y rom"/>
    <s v="No. de eventos deportivos y recreativos_x000a_organizados y realizados con la_x000a_participación de población negra,_x000a_afrocolombiana, raizal,_x000a_palenquera, indígena y rom"/>
    <s v="ND"/>
    <n v="4"/>
    <s v="Incremento"/>
    <s v="Deporte Social Comunitario"/>
    <s v="Deporte y Recreación"/>
    <s v="A.4"/>
    <s v="Salud  y Bienestar"/>
    <s v="IDERBOL/SECRETARÍA DEL INTERIOR/SECRETARÍA PRIVADA"/>
    <m/>
    <n v="1"/>
    <m/>
    <m/>
    <n v="1"/>
    <b v="0"/>
    <m/>
    <m/>
    <m/>
    <m/>
    <n v="0"/>
    <m/>
    <m/>
    <m/>
    <m/>
    <m/>
    <s v="NP"/>
    <n v="0"/>
    <m/>
    <m/>
    <m/>
    <n v="0"/>
    <n v="1"/>
    <m/>
    <m/>
    <m/>
    <m/>
    <n v="0"/>
    <m/>
    <m/>
    <m/>
    <m/>
    <m/>
    <m/>
    <m/>
    <m/>
    <m/>
    <m/>
    <m/>
    <m/>
    <m/>
    <m/>
    <m/>
    <m/>
    <m/>
    <m/>
    <m/>
    <m/>
    <m/>
    <m/>
    <m/>
    <m/>
    <m/>
  </r>
  <r>
    <n v="6"/>
    <s v="GRUPOS POBLACIONALES"/>
    <m/>
    <m/>
    <x v="28"/>
    <x v="28"/>
    <m/>
    <m/>
    <x v="91"/>
    <x v="90"/>
    <n v="7.1428571428571425E-2"/>
    <n v="0.16666666666666666"/>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s v="Incremento"/>
    <m/>
    <s v="Atención a grupos vulnerables - Promoción Social"/>
    <s v="A.14"/>
    <s v="Promover el crecimiento económico sostenido, inclusivo y sostenible, el empleo pleno y productivo y el trabajo decente para todos"/>
    <s v="SECRETARÍA DE PLANEACIÓN"/>
    <n v="1"/>
    <m/>
    <m/>
    <m/>
    <n v="1"/>
    <b v="0"/>
    <n v="1"/>
    <n v="1"/>
    <n v="1"/>
    <n v="1"/>
    <n v="0.25"/>
    <n v="1"/>
    <n v="1"/>
    <n v="1"/>
    <m/>
    <n v="1"/>
    <n v="1"/>
    <n v="1"/>
    <m/>
    <m/>
    <m/>
    <n v="0.25"/>
    <s v="NP"/>
    <m/>
    <m/>
    <m/>
    <m/>
    <s v="NP"/>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Desarrollar 4 iniciativas productivas en cabeza de la mujer población negra, afrocolombiana, raizal, palenquera, indígena y rom"/>
    <s v="iniciativas productivas en cabeza de la mujer población negra, afrocolombiana, raizal, palenquera, indígena y rom"/>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0"/>
    <m/>
    <m/>
    <m/>
    <n v="0"/>
    <n v="1"/>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Emprendimientos culturales de población negra, afrocolombiana, raizal, palenquera, indígena y rom apoyados "/>
    <s v="Emprendimientos culturales de población negra, afrocolombiana, raizal, palenquera, indígena y rom apoyados "/>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0"/>
    <m/>
    <m/>
    <m/>
    <n v="0"/>
    <n v="1"/>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delantar 4 procesos de formación y capacitación empresarial para población negra, afrocolombiana, raizal, palenquera, indígena y rom"/>
    <s v="procesos de formación y capacitación empresarial para población negra, afrocolombiana, raizal, palenquera, indígena y rom"/>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1"/>
    <m/>
    <m/>
    <m/>
    <n v="0.25"/>
    <n v="1"/>
    <n v="1"/>
    <m/>
    <m/>
    <m/>
    <n v="1"/>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100%de losMunicipios con población negra, afrocolombiana, raizal, palenquera, indígena y rom organizada con asistencia técnica para la formulación y presentación de proyectos a la cooperación nacional e internacional, en el marco del Decenio Afro"/>
    <s v="Municipios con población negra, afrocolombiana, raizal, palenquera, indígena y rom organizada con asistencia técnica para la formulación y presentación de proyectos a la cooperación nacional e internacional, en el marco del Decenio Afro"/>
    <s v="ND"/>
    <n v="1"/>
    <s v="Incremento"/>
    <n v="10"/>
    <s v="Atencion a grupos vulnerables - Promocion Social"/>
    <s v="A.14"/>
    <s v="Promover el crecimiento económico sostenido, inclusivo y sostenible, el empleo pleno y productivo y el trabajo decente para todos"/>
    <s v="SECRETARÍA DE PLANEACIÓN"/>
    <m/>
    <n v="10"/>
    <n v="70"/>
    <n v="20"/>
    <n v="100"/>
    <b v="0"/>
    <m/>
    <m/>
    <m/>
    <m/>
    <n v="0"/>
    <m/>
    <m/>
    <m/>
    <m/>
    <m/>
    <s v="NP"/>
    <n v="0"/>
    <m/>
    <m/>
    <m/>
    <n v="0"/>
    <n v="10"/>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sesorarías, procesos de asistencia técnica y acompañamiento   a micros, pequeños y medianos empresarios población negra, afrocolombiana, raizal, palenquera, indígena y rom"/>
    <s v="Asesorarías, procesos de asistencia técnica y acompañamiento   a micros, pequeños y medianos empresarios población negra, afrocolombiana, raizal, palenquera, indígena y rom"/>
    <s v="ND"/>
    <n v="40"/>
    <s v="Incremento"/>
    <n v="10"/>
    <s v="Atencion a grupos vulnerables - Promocion Social"/>
    <s v="A.14"/>
    <s v="Promover el crecimiento económico sostenido, inclusivo y sostenible, el empleo pleno y productivo y el trabajo decente para todos"/>
    <s v="SECRETARÍA DE PLANEACIÓN"/>
    <m/>
    <n v="10"/>
    <n v="20"/>
    <n v="10"/>
    <n v="40"/>
    <b v="1"/>
    <m/>
    <m/>
    <m/>
    <m/>
    <n v="0"/>
    <m/>
    <m/>
    <m/>
    <m/>
    <m/>
    <s v="NP"/>
    <n v="0"/>
    <m/>
    <m/>
    <m/>
    <n v="0"/>
    <n v="10"/>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0"/>
    <m/>
    <m/>
    <m/>
    <n v="0"/>
    <n v="1"/>
    <m/>
    <m/>
    <m/>
    <m/>
    <n v="0"/>
    <m/>
    <m/>
    <m/>
    <m/>
    <m/>
    <m/>
    <m/>
    <m/>
    <m/>
    <m/>
    <m/>
    <m/>
    <m/>
    <m/>
    <m/>
    <m/>
    <m/>
    <m/>
    <m/>
    <m/>
    <m/>
    <m/>
    <m/>
    <m/>
    <m/>
  </r>
  <r>
    <n v="6"/>
    <s v="GRUPOS POBLACIONALES"/>
    <m/>
    <m/>
    <x v="28"/>
    <x v="28"/>
    <m/>
    <m/>
    <x v="92"/>
    <x v="91"/>
    <n v="0"/>
    <n v="0"/>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Programas etno educativos_x000a_implementados"/>
    <s v="Programas etno educativos_x000a_implementados"/>
    <s v="ND"/>
    <n v="4"/>
    <s v="Incremento"/>
    <m/>
    <m/>
    <m/>
    <m/>
    <s v="SECRETARÍA DE EDUCACIÓN"/>
    <n v="0"/>
    <n v="1"/>
    <n v="2"/>
    <n v="1"/>
    <n v="4"/>
    <b v="1"/>
    <m/>
    <n v="0"/>
    <m/>
    <m/>
    <n v="0"/>
    <m/>
    <m/>
    <m/>
    <m/>
    <m/>
    <s v="NP"/>
    <n v="0"/>
    <m/>
    <m/>
    <m/>
    <n v="0"/>
    <n v="1"/>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Foros y encuentros Para socializar experiencias e iniciativas relacionadas con la implementación de los Estudios_x000a_Afrocolombianos"/>
    <s v="Foros y encuentros Para socializar experiencias e iniciativas relacionadas con la implementación de los Estudios_x000a_Afrocolombianos"/>
    <s v="ND"/>
    <n v="4"/>
    <s v="Incremento"/>
    <m/>
    <m/>
    <m/>
    <m/>
    <s v="SECRETARÍA DE EDUCACIÓN"/>
    <n v="1"/>
    <n v="1"/>
    <n v="1"/>
    <n v="1"/>
    <n v="4"/>
    <b v="1"/>
    <m/>
    <m/>
    <m/>
    <m/>
    <n v="0"/>
    <m/>
    <m/>
    <m/>
    <m/>
    <m/>
    <s v="NP"/>
    <n v="0"/>
    <m/>
    <m/>
    <m/>
    <n v="0"/>
    <n v="1"/>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Docentes y directivos docentes, vinculados a la planta de personal que se auto reconocen población negra, afrocolombiana, raizal, palenquera, indígena y rom, en programas de alto nivel"/>
    <s v="Docentes y directivos docentes, vinculados a la planta de personal que se auto reconocen población negra, afrocolombiana, raizal, palenquera, indígena y rom, en programas de alto nivel"/>
    <s v="ND"/>
    <n v="30"/>
    <s v="Incremento"/>
    <m/>
    <m/>
    <m/>
    <m/>
    <s v="SECRETARÍA DE EDUCACIÓN"/>
    <m/>
    <n v="20"/>
    <n v="10"/>
    <m/>
    <n v="30"/>
    <b v="1"/>
    <m/>
    <m/>
    <m/>
    <m/>
    <n v="0"/>
    <m/>
    <m/>
    <m/>
    <m/>
    <m/>
    <s v="NP"/>
    <n v="0"/>
    <m/>
    <m/>
    <m/>
    <n v="0"/>
    <n v="20"/>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Sistema de estímulos creado para estimular a las I.E. oficiales que desarrollen experiencias significativas y exitosas en la implementación de la Afrocolombianidad."/>
    <s v="Sistema de estímulos creado para estimular a las I.E. oficiales que desarrollen experiencias significativas y exitosas en la implementación de la Afrocolombianidad."/>
    <n v="1"/>
    <n v="1"/>
    <s v="Mantenimiento"/>
    <m/>
    <m/>
    <m/>
    <m/>
    <s v="SECRETARÍA DE EDUCACIÓN"/>
    <m/>
    <n v="1"/>
    <m/>
    <m/>
    <n v="1"/>
    <b v="1"/>
    <m/>
    <m/>
    <m/>
    <m/>
    <n v="0"/>
    <m/>
    <m/>
    <m/>
    <m/>
    <m/>
    <s v="NP"/>
    <n v="0"/>
    <m/>
    <m/>
    <m/>
    <n v="0"/>
    <n v="1"/>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Estudiantes que se reconocen población negra, afrocolombiana, raizal, palenquera, indígena y rom apadrinados para cursar estudios de Educación Superior"/>
    <s v="Estudiantes que se reconocen población negra, afrocolombiana, raizal, palenquera, indígena y rom apadrinados para cursar estudios de Educación Superior"/>
    <s v="N.D "/>
    <n v="200"/>
    <s v="Incremento"/>
    <m/>
    <m/>
    <m/>
    <m/>
    <s v="SECRETARÍA DE EDUCACIÓN"/>
    <m/>
    <n v="40"/>
    <n v="80"/>
    <n v="80"/>
    <n v="200"/>
    <b v="1"/>
    <m/>
    <m/>
    <m/>
    <m/>
    <n v="0"/>
    <m/>
    <m/>
    <m/>
    <m/>
    <m/>
    <s v="NP"/>
    <n v="0"/>
    <m/>
    <m/>
    <m/>
    <n v="0"/>
    <n v="40"/>
    <n v="0"/>
    <m/>
    <m/>
    <m/>
    <n v="0"/>
    <m/>
    <m/>
    <m/>
    <m/>
    <m/>
    <m/>
    <m/>
    <m/>
    <m/>
    <m/>
    <m/>
    <m/>
    <m/>
    <m/>
    <m/>
    <m/>
    <m/>
    <m/>
    <m/>
    <m/>
    <m/>
    <m/>
    <m/>
    <m/>
    <m/>
  </r>
  <r>
    <n v="6"/>
    <s v="GRUPOS POBLACIONALES"/>
    <m/>
    <m/>
    <x v="28"/>
    <x v="28"/>
    <m/>
    <m/>
    <x v="92"/>
    <x v="91"/>
    <m/>
    <m/>
    <m/>
    <s v="Municipios con población negra, afrocolombiana, raizal, palenquera, indígena y rom organizada, que mejoran la cobertura y calidad educativa de los estudiantes pertenecientes a la población negra, afrocolombiana, raizal, palenquera, indígena y rom"/>
    <s v="Municipios con población negra, afrocolombiana, raizal, palenquera, indígena y rom organizada, que mejoran la cobertura y calidad educativa de los estudiantes pertenecientes a la población negra, afrocolombiana, raizal, palenquera, indígena y rom"/>
    <s v="ND"/>
    <n v="1"/>
    <m/>
    <s v="Personas con título de pregrado, apoyados para cursar estudios de posgrados"/>
    <s v="Personas con título de pregrado, apoyados para cursar estudios de posgrados"/>
    <s v="N.D"/>
    <n v="0.2"/>
    <s v="Incremento"/>
    <m/>
    <m/>
    <m/>
    <m/>
    <s v="SECRETARÍA DE EDUCACIÓN"/>
    <m/>
    <m/>
    <m/>
    <m/>
    <n v="0"/>
    <b v="0"/>
    <m/>
    <m/>
    <m/>
    <m/>
    <n v="0"/>
    <m/>
    <m/>
    <m/>
    <m/>
    <m/>
    <s v="NP"/>
    <n v="0"/>
    <m/>
    <m/>
    <m/>
    <n v="0"/>
    <s v="NP"/>
    <n v="0"/>
    <m/>
    <m/>
    <m/>
    <s v="NP"/>
    <m/>
    <m/>
    <m/>
    <m/>
    <m/>
    <m/>
    <m/>
    <m/>
    <m/>
    <m/>
    <m/>
    <m/>
    <m/>
    <m/>
    <m/>
    <m/>
    <m/>
    <m/>
    <m/>
    <m/>
    <m/>
    <m/>
    <m/>
    <m/>
    <m/>
  </r>
  <r>
    <n v="6"/>
    <s v="GRUPOS POBLACIONALES"/>
    <m/>
    <m/>
    <x v="28"/>
    <x v="28"/>
    <m/>
    <m/>
    <x v="93"/>
    <x v="92"/>
    <n v="0.16666666666666666"/>
    <n v="0"/>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ciones de atención y tratamiento especial a la población negra, afrocolombiana, raizal,  palenquera, indígena y rom asentada en Bolívar, víctima del conflicto armado"/>
    <s v="Acciones de atención y tratamiento especial a la población negra, afrocolombiana, raizal,  palenquera, indígena y rom asentada en Bolívar, víctima del conflicto armado"/>
    <s v="N.D"/>
    <n v="8"/>
    <s v="Incremento"/>
    <m/>
    <m/>
    <m/>
    <m/>
    <s v="SECRETARÍA DE VÍCTIMAS"/>
    <m/>
    <m/>
    <m/>
    <m/>
    <n v="0"/>
    <b v="0"/>
    <m/>
    <m/>
    <m/>
    <m/>
    <n v="0"/>
    <m/>
    <m/>
    <m/>
    <m/>
    <m/>
    <s v="NP"/>
    <n v="0"/>
    <m/>
    <m/>
    <m/>
    <n v="0"/>
    <s v="NP"/>
    <m/>
    <m/>
    <m/>
    <m/>
    <s v="NP"/>
    <m/>
    <m/>
    <m/>
    <m/>
    <m/>
    <m/>
    <m/>
    <m/>
    <m/>
    <m/>
    <m/>
    <m/>
    <m/>
    <m/>
    <m/>
    <m/>
    <m/>
    <m/>
    <m/>
    <m/>
    <m/>
    <m/>
    <m/>
    <m/>
    <m/>
  </r>
  <r>
    <n v="6"/>
    <s v="GRUPOS POBLACIONALES"/>
    <m/>
    <m/>
    <x v="28"/>
    <x v="28"/>
    <m/>
    <m/>
    <x v="93"/>
    <x v="92"/>
    <m/>
    <m/>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tividades para propiciar la inclusión y participación de la población negra, afrocolombiana, raizal, palenquera, indígena y rom, asentada en Bolívar, en el sistema departamental de justicia. "/>
    <s v="Actividades para propiciar la inclusión y participación de la población negra, afrocolombiana, raizal, palenquera, indígena y rom, asentada en Bolívar, en el sistema departamental de justicia. "/>
    <s v="N.D "/>
    <n v="4"/>
    <s v="Incremento"/>
    <m/>
    <m/>
    <m/>
    <m/>
    <s v="SECRETARÍA DEL INTERIOR"/>
    <m/>
    <m/>
    <m/>
    <m/>
    <n v="0"/>
    <b v="0"/>
    <m/>
    <m/>
    <m/>
    <m/>
    <n v="0"/>
    <m/>
    <m/>
    <m/>
    <m/>
    <m/>
    <s v="NP"/>
    <n v="0"/>
    <m/>
    <m/>
    <m/>
    <n v="0"/>
    <s v="NP"/>
    <m/>
    <m/>
    <m/>
    <m/>
    <s v="NP"/>
    <m/>
    <m/>
    <m/>
    <m/>
    <m/>
    <m/>
    <m/>
    <m/>
    <m/>
    <m/>
    <m/>
    <m/>
    <m/>
    <m/>
    <m/>
    <m/>
    <m/>
    <m/>
    <m/>
    <m/>
    <m/>
    <m/>
    <m/>
    <m/>
    <m/>
  </r>
  <r>
    <n v="6"/>
    <s v="GRUPOS POBLACIONALES"/>
    <m/>
    <m/>
    <x v="28"/>
    <x v="28"/>
    <m/>
    <m/>
    <x v="93"/>
    <x v="92"/>
    <m/>
    <m/>
    <m/>
    <s v="Municipios de Bolívar en los que se garantiza la protección y respecto de los derechos humanos de la población negra, afrocolombiana, raizal, palenquera, indígena y rom en el marco del derecho internacional Humanitario"/>
    <s v="PORCENTAJE"/>
    <s v="ND"/>
    <n v="100"/>
    <m/>
    <s v="Observatorio para el control, seguimiento y vigilancia de los derechos humanos de la población negra, afrocolombiana, raizal, palenquera, indígena y rom"/>
    <s v="Observatorio para el control, seguimiento y vigilancia de los derechos humanos de la población negra, afrocolombiana, raizal, palenquera, indígena y rom"/>
    <s v="ND"/>
    <n v="1"/>
    <s v="Incremento"/>
    <m/>
    <s v="Gobierno territorial"/>
    <n v="45"/>
    <n v="16"/>
    <s v="SECRETARÍA DEL INTERIOR"/>
    <n v="0.5"/>
    <n v="1"/>
    <m/>
    <m/>
    <n v="1.5"/>
    <b v="0"/>
    <n v="0"/>
    <n v="0.5"/>
    <n v="0.5"/>
    <n v="0.5"/>
    <n v="0.5"/>
    <n v="0.5"/>
    <n v="0"/>
    <n v="0.5"/>
    <m/>
    <n v="0.5"/>
    <n v="1"/>
    <n v="0.5"/>
    <m/>
    <m/>
    <m/>
    <n v="0.5"/>
    <n v="1"/>
    <n v="0"/>
    <m/>
    <m/>
    <m/>
    <n v="0"/>
    <m/>
    <m/>
    <m/>
    <m/>
    <m/>
    <m/>
    <m/>
    <m/>
    <m/>
    <m/>
    <m/>
    <m/>
    <m/>
    <m/>
    <m/>
    <m/>
    <m/>
    <m/>
    <m/>
    <m/>
    <m/>
    <m/>
    <m/>
    <m/>
    <m/>
  </r>
  <r>
    <n v="6"/>
    <s v="GRUPOS POBLACIONALES"/>
    <m/>
    <m/>
    <x v="28"/>
    <x v="28"/>
    <m/>
    <m/>
    <x v="94"/>
    <x v="93"/>
    <n v="0.25"/>
    <n v="0.33333333333333331"/>
    <m/>
    <s v="Comunidades indígenas asentadas en territorio bolivarense que mejoran sus condiciones de vida al tiempo que fortalecen su identidad y cultura"/>
    <s v="porcentaje"/>
    <s v="ND"/>
    <n v="100"/>
    <m/>
    <s v="Política pública indígena formulada"/>
    <s v="Política pública indígena formulada"/>
    <s v="ND"/>
    <n v="1"/>
    <s v="Incremento"/>
    <m/>
    <s v="Gobierno territorial"/>
    <n v="45"/>
    <n v="10"/>
    <s v="SECRETARÍA DEL INTERIOR"/>
    <n v="0.5"/>
    <n v="1"/>
    <m/>
    <m/>
    <n v="1.5"/>
    <b v="0"/>
    <n v="0"/>
    <n v="0.5"/>
    <n v="0.5"/>
    <n v="0.5"/>
    <n v="0.5"/>
    <n v="0.5"/>
    <n v="0"/>
    <n v="0.5"/>
    <m/>
    <n v="0.5"/>
    <n v="1"/>
    <n v="1"/>
    <m/>
    <m/>
    <m/>
    <n v="1"/>
    <n v="1"/>
    <n v="0.5"/>
    <m/>
    <m/>
    <m/>
    <n v="0.5"/>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spacios de capacitación y/o formación para representantes legales de población indígena (cabildos y otros reconocidos legalmente y registrados ante el Ministerio del Interior)."/>
    <s v="Espacios de capacitación y/o formación para representantes legales de población indígena (cabildos y otros reconocidos legalmente y registrados ante el Ministerio del Interior)."/>
    <s v="ND"/>
    <n v="8"/>
    <s v="Incremento"/>
    <m/>
    <s v="Gobierno territorial"/>
    <n v="45"/>
    <n v="10"/>
    <s v="SECRETARÍA DEL INTERIOR"/>
    <n v="1"/>
    <n v="2"/>
    <m/>
    <m/>
    <n v="3"/>
    <b v="0"/>
    <n v="0"/>
    <n v="1"/>
    <n v="1"/>
    <n v="1"/>
    <n v="0.125"/>
    <n v="1"/>
    <n v="0"/>
    <n v="1"/>
    <m/>
    <n v="1"/>
    <n v="1"/>
    <n v="2"/>
    <m/>
    <m/>
    <m/>
    <n v="0.25"/>
    <n v="2"/>
    <n v="1"/>
    <m/>
    <m/>
    <m/>
    <n v="0.5"/>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iniciativas productivas de población indígena bolivarense apoyadas"/>
    <s v="iniciativas productivas de población indígena bolivarense apoyadas"/>
    <s v="ND"/>
    <n v="16"/>
    <s v="Incremento"/>
    <m/>
    <s v="Gobierno territorial"/>
    <n v="45"/>
    <n v="10"/>
    <s v="SECRETARÍA DEL INTERIOR"/>
    <m/>
    <m/>
    <m/>
    <m/>
    <n v="0"/>
    <b v="0"/>
    <m/>
    <m/>
    <m/>
    <m/>
    <n v="0"/>
    <m/>
    <m/>
    <m/>
    <m/>
    <m/>
    <s v="NP"/>
    <n v="0"/>
    <m/>
    <m/>
    <m/>
    <n v="0"/>
    <s v="NP"/>
    <m/>
    <m/>
    <m/>
    <m/>
    <s v="NP"/>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mprendimientos culturales de población indígena apoyados"/>
    <s v="Emprendimientos culturales de población indígena apoyados"/>
    <s v="ND"/>
    <n v="20"/>
    <s v="Incremento"/>
    <m/>
    <m/>
    <m/>
    <m/>
    <s v="SECRETARÍA DEL INTERIOR"/>
    <m/>
    <m/>
    <m/>
    <m/>
    <n v="0"/>
    <b v="0"/>
    <m/>
    <m/>
    <m/>
    <m/>
    <n v="0"/>
    <m/>
    <m/>
    <m/>
    <m/>
    <m/>
    <s v="NP"/>
    <n v="0"/>
    <m/>
    <m/>
    <m/>
    <n v="0"/>
    <s v="NP"/>
    <m/>
    <m/>
    <m/>
    <m/>
    <s v="NP"/>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ventos apoyados para la visibilizarían de las manifestaciones artísticas y culturales de población indígena en el departamento de Bolívar "/>
    <s v="Eventos apoyados para la visibilizarían de las manifestaciones artísticas y culturales de población indígena en el departamento de Bolívar "/>
    <s v="ND"/>
    <n v="8"/>
    <s v="Incremento"/>
    <m/>
    <m/>
    <m/>
    <m/>
    <s v="ICULTUR"/>
    <m/>
    <n v="2"/>
    <m/>
    <m/>
    <n v="2"/>
    <b v="0"/>
    <m/>
    <m/>
    <m/>
    <m/>
    <n v="0.02"/>
    <m/>
    <m/>
    <m/>
    <m/>
    <m/>
    <s v="NP"/>
    <n v="0"/>
    <m/>
    <m/>
    <m/>
    <n v="0"/>
    <n v="2"/>
    <n v="0"/>
    <m/>
    <m/>
    <m/>
    <n v="0"/>
    <m/>
    <m/>
    <m/>
    <m/>
    <m/>
    <m/>
    <m/>
    <m/>
    <m/>
    <m/>
    <m/>
    <m/>
    <m/>
    <m/>
    <m/>
    <m/>
    <m/>
    <m/>
    <m/>
    <m/>
    <m/>
    <m/>
    <m/>
    <m/>
    <m/>
  </r>
  <r>
    <n v="6"/>
    <s v="GRUPOS POBLACIONALES"/>
    <m/>
    <m/>
    <x v="29"/>
    <x v="29"/>
    <n v="0.86790123456790136"/>
    <n v="0.25"/>
    <x v="95"/>
    <x v="94"/>
    <n v="0.86790123456790136"/>
    <n v="0.25"/>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50.000 Niños, niñas y adolescentes beneficiarios de Proyectos realizados para la Celebración del Día de la Niñez."/>
    <s v="Niños, niñas y adolescentes beneficiarios de Proyectos realizados para la Celebración del Día de la Niñez."/>
    <n v="30000"/>
    <n v="50000"/>
    <s v="Incremento"/>
    <s v="NO"/>
    <s v="GESTIÓN"/>
    <n v="41"/>
    <s v="ODS 3"/>
    <s v="SECRETARÍA DE LA MUJER"/>
    <n v="5000"/>
    <n v="5000"/>
    <n v="20000"/>
    <n v="20000"/>
    <n v="50000"/>
    <b v="1"/>
    <n v="5000"/>
    <n v="5000"/>
    <n v="5000"/>
    <n v="5000"/>
    <n v="0.1"/>
    <n v="5000"/>
    <n v="5000"/>
    <n v="5000"/>
    <m/>
    <n v="5000"/>
    <n v="1"/>
    <n v="10000"/>
    <m/>
    <m/>
    <m/>
    <n v="0.2"/>
    <n v="5000"/>
    <n v="5000"/>
    <m/>
    <m/>
    <m/>
    <n v="1"/>
    <m/>
    <m/>
    <m/>
    <m/>
    <m/>
    <m/>
    <m/>
    <m/>
    <m/>
    <m/>
    <m/>
    <m/>
    <m/>
    <m/>
    <m/>
    <m/>
    <m/>
    <m/>
    <m/>
    <m/>
    <m/>
    <m/>
    <m/>
    <m/>
    <m/>
  </r>
  <r>
    <n v="6"/>
    <s v="GRUPOS POBLACIONALES"/>
    <m/>
    <m/>
    <x v="29"/>
    <x v="29"/>
    <m/>
    <m/>
    <x v="95"/>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1 Programa implementado para la prevención del trabajo infantil dirigido a los niños y niñas con familias afectadas económicamente por el COVID-19"/>
    <s v="implementado para la prevención del trabajo infantil dirigido a los niños y niñas con familias afectadas económicamente por el COVID-19"/>
    <n v="0"/>
    <n v="1"/>
    <s v="Incremento"/>
    <s v="SI"/>
    <s v="NA"/>
    <n v="41"/>
    <s v="ODS 3"/>
    <s v="SECRETARÍA DE LA MUJER"/>
    <n v="1"/>
    <n v="1"/>
    <m/>
    <m/>
    <n v="2"/>
    <b v="0"/>
    <n v="1"/>
    <n v="1"/>
    <n v="1"/>
    <n v="1"/>
    <n v="1"/>
    <n v="1"/>
    <n v="1"/>
    <n v="1"/>
    <m/>
    <n v="1"/>
    <n v="1"/>
    <n v="1"/>
    <m/>
    <m/>
    <m/>
    <n v="1"/>
    <n v="1"/>
    <n v="0"/>
    <m/>
    <m/>
    <m/>
    <n v="0"/>
    <m/>
    <m/>
    <m/>
    <m/>
    <m/>
    <m/>
    <m/>
    <m/>
    <m/>
    <m/>
    <m/>
    <m/>
    <m/>
    <m/>
    <m/>
    <m/>
    <m/>
    <m/>
    <m/>
    <m/>
    <m/>
    <m/>
    <m/>
    <m/>
    <m/>
  </r>
  <r>
    <n v="6"/>
    <s v="GRUPOS POBLACIONALES"/>
    <m/>
    <m/>
    <x v="29"/>
    <x v="29"/>
    <m/>
    <m/>
    <x v="95"/>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8 espacios adecuados y/o construidos y dotados para su funcionamiento como ludotecas en zonas urbanas y rurales de Bolívar "/>
    <s v="Número de espacios adecuados y/o construidos y dotados para su funcionamiento como ludotecas en zonas urbanas y rurales de Bolívar "/>
    <n v="5"/>
    <n v="8"/>
    <s v="Incremento"/>
    <s v="NA"/>
    <s v="NA"/>
    <n v="41"/>
    <s v="ODS 3"/>
    <s v="SECRETARÍA DE LA MUJER"/>
    <m/>
    <m/>
    <n v="4"/>
    <n v="4"/>
    <n v="8"/>
    <b v="1"/>
    <m/>
    <m/>
    <m/>
    <m/>
    <n v="0"/>
    <m/>
    <m/>
    <m/>
    <m/>
    <m/>
    <s v="NP"/>
    <n v="0"/>
    <m/>
    <m/>
    <m/>
    <n v="0"/>
    <s v="NP"/>
    <n v="0"/>
    <m/>
    <m/>
    <m/>
    <s v="NP"/>
    <m/>
    <m/>
    <m/>
    <m/>
    <m/>
    <m/>
    <m/>
    <m/>
    <m/>
    <m/>
    <m/>
    <m/>
    <m/>
    <m/>
    <m/>
    <m/>
    <m/>
    <m/>
    <m/>
    <m/>
    <m/>
    <m/>
    <m/>
    <m/>
    <m/>
  </r>
  <r>
    <n v="6"/>
    <s v="GRUPOS POBLACIONALES"/>
    <m/>
    <m/>
    <x v="29"/>
    <x v="29"/>
    <m/>
    <m/>
    <x v="95"/>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24000"/>
    <n v="26000"/>
    <m/>
    <s v="12Agentes educativos formados y cualificados en la atención a la primera infancia"/>
    <s v="Agentes educativos formados y cualificados en la atención a la primera infancia"/>
    <n v="12"/>
    <n v="18"/>
    <s v="Incremento"/>
    <s v="NO"/>
    <m/>
    <n v="41"/>
    <s v="ODS 3"/>
    <s v="SECRETARÍA DE LA MUJER"/>
    <n v="5"/>
    <n v="5"/>
    <n v="2"/>
    <m/>
    <n v="12"/>
    <b v="0"/>
    <n v="0"/>
    <n v="0"/>
    <n v="18"/>
    <n v="18"/>
    <n v="1"/>
    <n v="5"/>
    <n v="0"/>
    <n v="0"/>
    <m/>
    <n v="18"/>
    <n v="1"/>
    <n v="18"/>
    <m/>
    <m/>
    <m/>
    <n v="1"/>
    <n v="5"/>
    <n v="0"/>
    <m/>
    <m/>
    <m/>
    <n v="0"/>
    <m/>
    <m/>
    <m/>
    <m/>
    <m/>
    <m/>
    <m/>
    <m/>
    <m/>
    <m/>
    <m/>
    <m/>
    <m/>
    <m/>
    <m/>
    <m/>
    <m/>
    <m/>
    <m/>
    <m/>
    <m/>
    <m/>
    <m/>
    <m/>
    <m/>
  </r>
  <r>
    <n v="6"/>
    <s v="GRUPOS POBLACIONALES"/>
    <m/>
    <m/>
    <x v="29"/>
    <x v="29"/>
    <m/>
    <m/>
    <x v="95"/>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24000"/>
    <n v="26000"/>
    <m/>
    <s v="8 sedes para la educación inicial de niños y niñas que cuentan con dotación para el fortalecimiento de ambientes pedagógicos en la primera infancia"/>
    <s v="Número de sedes para la educación inicial de niños y niñas que cuentan con dotación para el fortalecimiento de ambientes pedagógicos en la primera infancia"/>
    <n v="5"/>
    <n v="8"/>
    <s v="Incremento"/>
    <s v="no"/>
    <m/>
    <n v="41"/>
    <s v="ODS 5"/>
    <s v="SECRETARÍA DE LA MUJER"/>
    <m/>
    <n v="3"/>
    <n v="4"/>
    <n v="4"/>
    <n v="11"/>
    <b v="0"/>
    <m/>
    <m/>
    <m/>
    <m/>
    <n v="0"/>
    <m/>
    <m/>
    <m/>
    <m/>
    <m/>
    <s v="NP"/>
    <n v="0"/>
    <m/>
    <m/>
    <m/>
    <n v="0"/>
    <n v="3"/>
    <n v="0"/>
    <m/>
    <m/>
    <m/>
    <n v="0"/>
    <m/>
    <m/>
    <m/>
    <m/>
    <m/>
    <m/>
    <m/>
    <m/>
    <m/>
    <m/>
    <m/>
    <m/>
    <m/>
    <m/>
    <m/>
    <m/>
    <m/>
    <m/>
    <m/>
    <m/>
    <m/>
    <m/>
    <m/>
    <m/>
    <m/>
  </r>
  <r>
    <n v="6"/>
    <s v="GRUPOS POBLACIONALES"/>
    <m/>
    <m/>
    <x v="29"/>
    <x v="29"/>
    <m/>
    <m/>
    <x v="95"/>
    <x v="94"/>
    <m/>
    <m/>
    <m/>
    <s v="26.000 adolescentes sensibilizados a través de estrategia para la prevención de embarazo en adolescente"/>
    <s v="Número de adolescentes sensibilizados a través de estrategia para la prevención de embarazo en adolescente"/>
    <n v="24000"/>
    <n v="26000"/>
    <m/>
    <s v="18 actividades y/o proyectos realizados en zonas urbanas y rurales en el marco de la implementación de la Política Pública de Infancia, Adolescencia y Familia del departamento de Bolívar"/>
    <s v="Número de actividades y/o proyectos realizados en zonas urbanas y rurales en el marco de la implementación de la Política Pública de Infancia, Adolescencia y Familia del departamento de Bolívar"/>
    <n v="12"/>
    <n v="18"/>
    <s v="Incremento"/>
    <s v="no"/>
    <m/>
    <n v="41"/>
    <s v="ods3"/>
    <s v="SECRETARÍA DE LA MUJER"/>
    <n v="5"/>
    <n v="5"/>
    <n v="5"/>
    <n v="3"/>
    <n v="18"/>
    <b v="1"/>
    <n v="3"/>
    <n v="3"/>
    <n v="6"/>
    <n v="6"/>
    <n v="0.33333333333333331"/>
    <n v="5"/>
    <n v="3"/>
    <n v="3"/>
    <m/>
    <n v="6"/>
    <n v="1"/>
    <n v="11"/>
    <m/>
    <m/>
    <m/>
    <n v="0.61111111111111116"/>
    <n v="5"/>
    <n v="5"/>
    <m/>
    <m/>
    <m/>
    <n v="1"/>
    <m/>
    <m/>
    <m/>
    <m/>
    <m/>
    <m/>
    <m/>
    <m/>
    <m/>
    <m/>
    <m/>
    <m/>
    <m/>
    <m/>
    <m/>
    <m/>
    <m/>
    <m/>
    <m/>
    <m/>
    <m/>
    <m/>
    <m/>
    <m/>
    <m/>
  </r>
  <r>
    <n v="6"/>
    <s v="GRUPOS POBLACIONALES"/>
    <m/>
    <m/>
    <x v="29"/>
    <x v="29"/>
    <m/>
    <m/>
    <x v="95"/>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ón del embarazo en adolescentes y matrimonio infantil, precoz y/o forzado"/>
    <s v="Programa creado e implementado para la prevención del embarazo en adolescentes y matrimonio infantil, precoz y/o forzado"/>
    <n v="1"/>
    <n v="1"/>
    <s v="Incremento"/>
    <s v="SI"/>
    <s v="NA"/>
    <n v="41"/>
    <s v="ODS 5 "/>
    <s v="SECRETARÍA DE LA MUJER"/>
    <n v="1"/>
    <n v="1"/>
    <n v="1"/>
    <n v="1"/>
    <n v="4"/>
    <b v="0"/>
    <n v="1"/>
    <n v="1"/>
    <n v="2"/>
    <n v="2"/>
    <n v="1"/>
    <n v="1"/>
    <n v="1"/>
    <n v="1"/>
    <m/>
    <n v="2"/>
    <n v="1"/>
    <n v="2"/>
    <m/>
    <m/>
    <m/>
    <n v="2"/>
    <n v="1"/>
    <n v="0"/>
    <m/>
    <m/>
    <m/>
    <n v="0"/>
    <m/>
    <m/>
    <m/>
    <m/>
    <m/>
    <m/>
    <m/>
    <m/>
    <m/>
    <m/>
    <m/>
    <m/>
    <m/>
    <m/>
    <m/>
    <m/>
    <m/>
    <m/>
    <m/>
    <m/>
    <m/>
    <m/>
    <m/>
    <m/>
    <m/>
  </r>
  <r>
    <n v="6"/>
    <s v="GRUPOS POBLACIONALES"/>
    <m/>
    <m/>
    <x v="29"/>
    <x v="29"/>
    <m/>
    <m/>
    <x v="95"/>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ón abuso y explotación sexual y comercial en NNA "/>
    <s v="Programa creado e implementado para la prevención abuso y explotación sexual y comercial en NNA "/>
    <n v="1"/>
    <n v="1"/>
    <s v="Incremento"/>
    <s v="si"/>
    <s v="NA"/>
    <n v="41"/>
    <s v="ODS5"/>
    <s v="SECRETARÍA DE LA MUJER"/>
    <n v="1"/>
    <n v="1"/>
    <n v="1"/>
    <n v="1"/>
    <n v="4"/>
    <b v="0"/>
    <n v="1"/>
    <n v="1"/>
    <n v="1"/>
    <n v="3"/>
    <n v="1"/>
    <n v="1"/>
    <n v="1"/>
    <n v="1"/>
    <m/>
    <n v="1"/>
    <n v="1"/>
    <n v="3"/>
    <m/>
    <m/>
    <m/>
    <n v="3"/>
    <n v="1"/>
    <n v="0"/>
    <m/>
    <m/>
    <m/>
    <n v="0"/>
    <m/>
    <m/>
    <m/>
    <m/>
    <m/>
    <m/>
    <m/>
    <m/>
    <m/>
    <m/>
    <m/>
    <m/>
    <m/>
    <m/>
    <m/>
    <m/>
    <m/>
    <m/>
    <m/>
    <m/>
    <m/>
    <m/>
    <m/>
    <m/>
    <m/>
  </r>
  <r>
    <n v="6"/>
    <s v="GRUPOS POBLACIONALES"/>
    <m/>
    <m/>
    <x v="29"/>
    <x v="29"/>
    <m/>
    <m/>
    <x v="95"/>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0"/>
    <n v="20"/>
    <m/>
    <s v="45 municipios con estrategias implementadas para la prevención de la vulneración de los derechos de los niños, las niñas y los adolescentes durante y posterior al COVID - 19"/>
    <s v="Número de sedes para la educación inicial de niños y niñas que cuentan con dotación para el fortalecimiento de ambientes pedagógicos en la primera infancia"/>
    <n v="5"/>
    <n v="8"/>
    <s v="Incremento"/>
    <s v="SI"/>
    <s v="BA"/>
    <n v="41"/>
    <s v="ODS 3"/>
    <s v="SECRETARÍA DE LA MUJER"/>
    <n v="1"/>
    <n v="3"/>
    <m/>
    <m/>
    <n v="4"/>
    <b v="0"/>
    <n v="0"/>
    <n v="0"/>
    <m/>
    <m/>
    <n v="0"/>
    <n v="1"/>
    <n v="0"/>
    <n v="0"/>
    <m/>
    <n v="0"/>
    <n v="0"/>
    <n v="0"/>
    <m/>
    <m/>
    <m/>
    <n v="0"/>
    <n v="3"/>
    <n v="0"/>
    <m/>
    <m/>
    <m/>
    <n v="0"/>
    <m/>
    <m/>
    <m/>
    <m/>
    <m/>
    <m/>
    <m/>
    <m/>
    <m/>
    <m/>
    <m/>
    <m/>
    <m/>
    <m/>
    <m/>
    <m/>
    <m/>
    <m/>
    <m/>
    <m/>
    <m/>
    <m/>
    <m/>
    <m/>
    <m/>
  </r>
  <r>
    <n v="6"/>
    <s v="GRUPOS POBLACIONALES"/>
    <m/>
    <m/>
    <x v="30"/>
    <x v="30"/>
    <n v="0.54481382978723403"/>
    <n v="0.35638297872340424"/>
    <x v="96"/>
    <x v="95"/>
    <n v="0.54481382978723403"/>
    <n v="0.35638297872340424"/>
    <m/>
    <s v="Organizaciones sociales de jóvenes participando del sistema departamental de juventud"/>
    <s v="Organizaciones sociales de jóvenes participando del sistema departamental de juventud"/>
    <n v="264"/>
    <n v="350"/>
    <m/>
    <s v="Política Pública Departamental de juventud elaborada e implementada (con seguimiento)"/>
    <s v="porcentaje"/>
    <n v="0"/>
    <n v="50"/>
    <s v="Incremento"/>
    <m/>
    <s v="Gobierno territorial"/>
    <n v="45"/>
    <n v="10"/>
    <s v="SECRETARÍA DEL INTERIOR"/>
    <n v="10"/>
    <n v="10"/>
    <n v="15"/>
    <n v="15"/>
    <n v="50"/>
    <b v="1"/>
    <n v="0"/>
    <n v="10"/>
    <n v="15"/>
    <n v="15"/>
    <n v="0.3"/>
    <n v="10"/>
    <n v="0"/>
    <n v="10"/>
    <m/>
    <n v="15"/>
    <n v="1"/>
    <n v="20"/>
    <m/>
    <m/>
    <m/>
    <n v="0.4"/>
    <n v="10"/>
    <n v="5"/>
    <m/>
    <m/>
    <m/>
    <n v="0.5"/>
    <m/>
    <m/>
    <m/>
    <m/>
    <m/>
    <m/>
    <m/>
    <m/>
    <m/>
    <m/>
    <m/>
    <m/>
    <m/>
    <m/>
    <m/>
    <m/>
    <m/>
    <m/>
    <m/>
    <m/>
    <m/>
    <m/>
    <m/>
    <m/>
    <m/>
  </r>
  <r>
    <n v="6"/>
    <s v="GRUPOS POBLACIONALES"/>
    <m/>
    <m/>
    <x v="30"/>
    <x v="30"/>
    <m/>
    <m/>
    <x v="96"/>
    <x v="95"/>
    <m/>
    <m/>
    <m/>
    <s v="Organizaciones sociales de jóvenes participando del sistema departamental de juventud"/>
    <s v="Organizaciones sociales de jóvenes participando del sistema departamental de juventud"/>
    <n v="264"/>
    <n v="350"/>
    <m/>
    <s v="Plataformas municipales y departamental de juventud constituidas y activas"/>
    <s v="Plataformas municipales y departamental de juventud constituidas y activas"/>
    <n v="0"/>
    <n v="47"/>
    <s v="Incremento"/>
    <m/>
    <s v="Gobierno territorial"/>
    <n v="45"/>
    <n v="10"/>
    <s v="SECRETARÍA DEL INTERIOR"/>
    <n v="47"/>
    <n v="47"/>
    <n v="47"/>
    <n v="47"/>
    <n v="188"/>
    <b v="0"/>
    <n v="0"/>
    <n v="20"/>
    <n v="46"/>
    <n v="46"/>
    <n v="0.97872340425531912"/>
    <n v="47"/>
    <n v="0"/>
    <n v="20"/>
    <m/>
    <n v="46"/>
    <n v="0.97872340425531912"/>
    <n v="66"/>
    <m/>
    <m/>
    <m/>
    <n v="1.4042553191489362"/>
    <n v="47"/>
    <n v="20"/>
    <m/>
    <m/>
    <m/>
    <n v="0.42553191489361702"/>
    <m/>
    <m/>
    <m/>
    <m/>
    <m/>
    <m/>
    <m/>
    <m/>
    <m/>
    <m/>
    <m/>
    <m/>
    <m/>
    <m/>
    <m/>
    <m/>
    <m/>
    <m/>
    <m/>
    <m/>
    <m/>
    <m/>
    <m/>
    <m/>
    <m/>
  </r>
  <r>
    <n v="6"/>
    <s v="GRUPOS POBLACIONALES"/>
    <m/>
    <m/>
    <x v="30"/>
    <x v="30"/>
    <m/>
    <m/>
    <x v="96"/>
    <x v="95"/>
    <m/>
    <m/>
    <m/>
    <s v="Organizaciones sociales de jóvenes participando del sistema departamental de juventud"/>
    <s v="Organizaciones sociales de jóvenes participando del sistema departamental de juventud"/>
    <n v="264"/>
    <n v="350"/>
    <m/>
    <s v="Municipios con Consejos Municipales de Juventud elegidos."/>
    <s v="Municipios con Consejos Municipales de Juventud elegidos."/>
    <n v="0"/>
    <n v="46"/>
    <s v="Incremento"/>
    <m/>
    <s v="Gobierno territorial"/>
    <n v="45"/>
    <n v="10"/>
    <s v="SECRETARÍA DEL INTERIOR"/>
    <n v="45"/>
    <n v="46"/>
    <m/>
    <m/>
    <n v="91"/>
    <b v="0"/>
    <n v="0"/>
    <n v="45"/>
    <m/>
    <m/>
    <n v="0"/>
    <n v="45"/>
    <n v="0"/>
    <n v="45"/>
    <m/>
    <n v="0"/>
    <n v="0"/>
    <n v="0"/>
    <m/>
    <m/>
    <m/>
    <n v="0"/>
    <n v="46"/>
    <n v="0"/>
    <m/>
    <m/>
    <m/>
    <n v="0"/>
    <m/>
    <m/>
    <m/>
    <m/>
    <m/>
    <m/>
    <m/>
    <m/>
    <m/>
    <m/>
    <m/>
    <m/>
    <m/>
    <m/>
    <m/>
    <m/>
    <m/>
    <m/>
    <m/>
    <m/>
    <m/>
    <m/>
    <m/>
    <m/>
    <m/>
  </r>
  <r>
    <n v="6"/>
    <s v="GRUPOS POBLACIONALES"/>
    <m/>
    <m/>
    <x v="30"/>
    <x v="30"/>
    <m/>
    <m/>
    <x v="96"/>
    <x v="95"/>
    <m/>
    <m/>
    <m/>
    <s v="Jóvenes infractores en el SRPA con medidas protectoras, educativas y restaurativas"/>
    <s v="Jóvenes infractores en el SRPA con medidas protectoras, educativas y restaurativas"/>
    <n v="287"/>
    <n v="287"/>
    <m/>
    <s v="Apoyo al restablecimiento en administración de justicia de jóvenes infractores (acompañamiento técnico, inversión directa departamento, APP)"/>
    <s v="Apoyo al restablecimiento en administración de justicia de jóvenes infractores (acompañamiento técnico, inversión directa departamento, APP)"/>
    <n v="1"/>
    <n v="1"/>
    <s v="Mantenimiento"/>
    <m/>
    <s v="Gobierno territorial"/>
    <n v="45"/>
    <n v="10"/>
    <s v="SECRETARÍA DEL INTERIOR"/>
    <n v="0.5"/>
    <n v="1"/>
    <m/>
    <m/>
    <n v="1.5"/>
    <b v="0"/>
    <n v="0"/>
    <n v="0.5"/>
    <n v="1"/>
    <n v="1"/>
    <n v="1"/>
    <n v="0.5"/>
    <n v="0"/>
    <n v="0.5"/>
    <m/>
    <n v="1"/>
    <n v="1"/>
    <n v="0.375"/>
    <m/>
    <m/>
    <m/>
    <n v="0.375"/>
    <n v="1"/>
    <n v="0.5"/>
    <m/>
    <m/>
    <m/>
    <n v="0.5"/>
    <m/>
    <m/>
    <m/>
    <m/>
    <m/>
    <m/>
    <m/>
    <m/>
    <m/>
    <m/>
    <m/>
    <m/>
    <m/>
    <m/>
    <m/>
    <m/>
    <m/>
    <m/>
    <m/>
    <m/>
    <m/>
    <m/>
    <m/>
    <m/>
    <m/>
  </r>
  <r>
    <n v="6"/>
    <s v="GRUPOS POBLACIONALES"/>
    <m/>
    <m/>
    <x v="31"/>
    <x v="31"/>
    <n v="0.51388888888888895"/>
    <n v="0"/>
    <x v="97"/>
    <x v="96"/>
    <n v="0.51388888888888895"/>
    <n v="0"/>
    <m/>
    <s v="7200 Adultos Mayores beneficiados a través de los recursos de estampilla para el Bienestar del Adulto Mayor"/>
    <s v="Número de Adultos Mayores beneficiados a través de los recursos de estampilla para el Bienestar del Adulto Mayor"/>
    <n v="7000"/>
    <n v="7200"/>
    <m/>
    <s v="45 Centros de Vida Municipal apoyados a través de los recursos de estampilla para el Bienestar del Adulto Mayor"/>
    <s v="Número de Centros de Vida Municipal apoyados a través de los recursos de estampilla para el Bienestar del Adulto Mayor"/>
    <n v="45"/>
    <n v="45"/>
    <s v="Mantenimiento"/>
    <s v="NA"/>
    <s v="NA"/>
    <n v="41"/>
    <s v="ODS10"/>
    <s v="SECRETARÍA DE LA MUJER"/>
    <n v="45"/>
    <n v="45"/>
    <n v="45"/>
    <n v="45"/>
    <n v="45"/>
    <b v="1"/>
    <n v="45"/>
    <n v="45"/>
    <n v="45"/>
    <n v="46"/>
    <n v="1"/>
    <n v="45"/>
    <n v="45"/>
    <n v="45"/>
    <m/>
    <n v="46"/>
    <n v="1"/>
    <n v="11.5"/>
    <m/>
    <m/>
    <m/>
    <n v="0.25555555555555554"/>
    <n v="45"/>
    <n v="0"/>
    <m/>
    <m/>
    <m/>
    <n v="0"/>
    <m/>
    <m/>
    <m/>
    <m/>
    <m/>
    <m/>
    <m/>
    <m/>
    <m/>
    <m/>
    <m/>
    <m/>
    <m/>
    <m/>
    <m/>
    <m/>
    <m/>
    <m/>
    <m/>
    <m/>
    <m/>
    <m/>
    <m/>
    <m/>
    <m/>
  </r>
  <r>
    <n v="6"/>
    <s v="GRUPOS POBLACIONALES"/>
    <m/>
    <m/>
    <x v="31"/>
    <x v="31"/>
    <m/>
    <m/>
    <x v="97"/>
    <x v="96"/>
    <m/>
    <m/>
    <m/>
    <s v="7200 Adultos Mayores beneficiados a través de los recursos de estampilla para el Bienestar del Adulto Mayor"/>
    <s v="Número de Adultos Mayores beneficiados a través de los recursos de estampilla para el Bienestar del Adulto Mayor"/>
    <n v="7000"/>
    <n v="7200"/>
    <m/>
    <s v="40 Centros de Vida Municipal ubicados en zona rural apoyados a través de los recursos de estampilla para el Bienestar del Adulto Mayor"/>
    <s v="Número de Centros de Vida Municipal ubicados en zona rural apoyados a través de los recursos de estampilla para el Bienestar del Adulto Mayor"/>
    <n v="36"/>
    <n v="40"/>
    <s v="Incremento"/>
    <s v="NA"/>
    <s v="NA"/>
    <n v="41"/>
    <s v="ODS10"/>
    <s v="SECRETARÍA DE LA MUJER"/>
    <n v="36"/>
    <n v="40"/>
    <n v="38"/>
    <n v="40"/>
    <n v="154"/>
    <b v="0"/>
    <n v="36"/>
    <n v="40"/>
    <n v="40"/>
    <n v="77"/>
    <n v="1"/>
    <n v="36"/>
    <n v="36"/>
    <n v="36"/>
    <m/>
    <n v="77"/>
    <n v="1"/>
    <n v="77"/>
    <m/>
    <m/>
    <m/>
    <n v="1.925"/>
    <n v="40"/>
    <n v="0"/>
    <m/>
    <m/>
    <m/>
    <n v="0"/>
    <m/>
    <m/>
    <m/>
    <m/>
    <m/>
    <m/>
    <m/>
    <m/>
    <m/>
    <m/>
    <m/>
    <m/>
    <m/>
    <m/>
    <m/>
    <m/>
    <m/>
    <m/>
    <m/>
    <m/>
    <m/>
    <m/>
    <m/>
    <m/>
    <m/>
  </r>
  <r>
    <n v="6"/>
    <s v="GRUPOS POBLACIONALES"/>
    <m/>
    <m/>
    <x v="31"/>
    <x v="31"/>
    <m/>
    <m/>
    <x v="97"/>
    <x v="96"/>
    <m/>
    <m/>
    <m/>
    <s v="7200 Adultos Mayores beneficiados a través de los recursos de estampilla para el Bienestar del Adulto Mayor"/>
    <s v="Número de Adultos Mayores beneficiados a través de los recursos de estampilla para el Bienestar del Adulto Mayor"/>
    <n v="7000"/>
    <n v="7200"/>
    <m/>
    <s v="8 Centros de Protección apoyados a través de los recursos de estampilla para el Bienestar del Adulto Mayor"/>
    <s v="Número de Centros de Protección apoyados a través de los recursos de estampilla para el Bienestar del Adulto Mayor"/>
    <n v="5"/>
    <n v="8"/>
    <s v="Incremento"/>
    <s v="NA"/>
    <s v="NA"/>
    <n v="41"/>
    <s v="ODS10"/>
    <s v="SECRETARÍA DE LA MUJER"/>
    <n v="8"/>
    <n v="8"/>
    <n v="8"/>
    <n v="8"/>
    <n v="32"/>
    <b v="0"/>
    <n v="8"/>
    <n v="8"/>
    <n v="8"/>
    <n v="8"/>
    <n v="1"/>
    <n v="8"/>
    <n v="8"/>
    <n v="8"/>
    <m/>
    <n v="8"/>
    <n v="1"/>
    <n v="8"/>
    <m/>
    <m/>
    <m/>
    <n v="1"/>
    <n v="8"/>
    <n v="0"/>
    <m/>
    <m/>
    <m/>
    <n v="0"/>
    <m/>
    <m/>
    <m/>
    <m/>
    <m/>
    <m/>
    <m/>
    <m/>
    <m/>
    <m/>
    <m/>
    <m/>
    <m/>
    <m/>
    <m/>
    <m/>
    <m/>
    <m/>
    <m/>
    <m/>
    <m/>
    <m/>
    <m/>
    <m/>
    <m/>
  </r>
  <r>
    <n v="6"/>
    <s v="GRUPOS POBLACIONALES"/>
    <m/>
    <m/>
    <x v="31"/>
    <x v="31"/>
    <m/>
    <m/>
    <x v="97"/>
    <x v="96"/>
    <m/>
    <m/>
    <m/>
    <s v="600 Adultos Mayores alfabetizados"/>
    <s v="Número de Adultos Mayores alfabetizados"/>
    <n v="400"/>
    <n v="600"/>
    <m/>
    <s v="100  hogares y cuidadores de adultos mayores con acompañamiento familiar y psicosocial, rutinas de autocuidados"/>
    <s v="Número de hogares y cuidadores de adultos mayores con acompañamiento familiar y psicosocial, rutinas de autocuidados"/>
    <s v="ND"/>
    <n v="100"/>
    <s v="Incremento"/>
    <s v="NA"/>
    <s v="NA"/>
    <n v="41"/>
    <s v="ODS10"/>
    <s v="SECRETARÍA DE LA MUJER"/>
    <n v="8"/>
    <n v="50"/>
    <n v="42"/>
    <n v="42"/>
    <n v="142"/>
    <b v="0"/>
    <n v="0"/>
    <n v="100"/>
    <m/>
    <m/>
    <n v="0"/>
    <n v="8"/>
    <n v="0"/>
    <n v="8"/>
    <m/>
    <n v="0"/>
    <n v="0"/>
    <n v="0"/>
    <m/>
    <m/>
    <m/>
    <n v="0"/>
    <n v="50"/>
    <n v="0"/>
    <m/>
    <m/>
    <m/>
    <n v="0"/>
    <m/>
    <m/>
    <m/>
    <m/>
    <m/>
    <m/>
    <m/>
    <m/>
    <m/>
    <m/>
    <m/>
    <m/>
    <m/>
    <m/>
    <m/>
    <m/>
    <m/>
    <m/>
    <m/>
    <m/>
    <m/>
    <m/>
    <m/>
    <m/>
    <m/>
  </r>
  <r>
    <n v="6"/>
    <s v="GRUPOS POBLACIONALES"/>
    <m/>
    <m/>
    <x v="31"/>
    <x v="31"/>
    <m/>
    <m/>
    <x v="97"/>
    <x v="96"/>
    <m/>
    <m/>
    <m/>
    <s v="600 Adultos Mayores alfabetizados"/>
    <s v="Número de Adultos Mayores alfabetizados"/>
    <n v="400"/>
    <n v="600"/>
    <m/>
    <s v="3 Encuentros Departamental de Adulto Mayor realizados"/>
    <s v="Número de Encuentros Departamental de Adulto Mayor realizados"/>
    <n v="4"/>
    <n v="3"/>
    <s v="Disminución"/>
    <s v="NA"/>
    <s v="NA"/>
    <n v="41"/>
    <s v="ODS10"/>
    <s v="SECRETARÍA DE LA MUJER"/>
    <m/>
    <n v="1"/>
    <n v="2"/>
    <n v="1"/>
    <n v="4"/>
    <b v="0"/>
    <n v="0"/>
    <n v="1"/>
    <m/>
    <m/>
    <n v="0"/>
    <m/>
    <m/>
    <m/>
    <m/>
    <m/>
    <s v="NP"/>
    <n v="0"/>
    <m/>
    <m/>
    <m/>
    <n v="0"/>
    <n v="1"/>
    <n v="0"/>
    <m/>
    <m/>
    <m/>
    <n v="0"/>
    <m/>
    <m/>
    <m/>
    <m/>
    <m/>
    <m/>
    <m/>
    <m/>
    <m/>
    <m/>
    <m/>
    <m/>
    <m/>
    <m/>
    <m/>
    <m/>
    <m/>
    <m/>
    <m/>
    <m/>
    <m/>
    <m/>
    <m/>
    <m/>
    <m/>
  </r>
  <r>
    <n v="6"/>
    <s v="GRUPOS POBLACIONALES"/>
    <m/>
    <m/>
    <x v="31"/>
    <x v="31"/>
    <m/>
    <m/>
    <x v="97"/>
    <x v="96"/>
    <m/>
    <m/>
    <m/>
    <s v="600 Adultos Mayores alfabetizados"/>
    <s v="Número de Adultos Mayores alfabetizados"/>
    <n v="400"/>
    <n v="600"/>
    <m/>
    <s v="3 Proyectos de Alfabetización para el Adulto Mayor realizados"/>
    <s v="Número de Proyectos de Alfabetización para el Adulto Mayor realizados"/>
    <n v="2"/>
    <n v="3"/>
    <s v="Incremento"/>
    <s v="SI"/>
    <s v="NA"/>
    <n v="41"/>
    <s v="ODS10"/>
    <s v="SECRETARÍA DE LA MUJER"/>
    <n v="1"/>
    <n v="1"/>
    <n v="0"/>
    <n v="1"/>
    <n v="3"/>
    <b v="1"/>
    <n v="0"/>
    <n v="0"/>
    <n v="0"/>
    <n v="1"/>
    <n v="0.33333333333333331"/>
    <n v="1"/>
    <n v="0"/>
    <n v="0"/>
    <m/>
    <n v="1"/>
    <n v="1"/>
    <n v="1"/>
    <m/>
    <m/>
    <m/>
    <n v="0.33333333333333331"/>
    <n v="1"/>
    <n v="0"/>
    <m/>
    <m/>
    <m/>
    <n v="0"/>
    <m/>
    <m/>
    <m/>
    <m/>
    <m/>
    <m/>
    <m/>
    <m/>
    <m/>
    <m/>
    <m/>
    <m/>
    <m/>
    <m/>
    <m/>
    <m/>
    <m/>
    <m/>
    <m/>
    <m/>
    <m/>
    <m/>
    <m/>
    <m/>
    <m/>
  </r>
  <r>
    <n v="6"/>
    <s v="GRUPOS POBLACIONALES"/>
    <m/>
    <m/>
    <x v="31"/>
    <x v="31"/>
    <m/>
    <m/>
    <x v="97"/>
    <x v="96"/>
    <m/>
    <m/>
    <m/>
    <s v="600 Adultos Mayores alfabetizados"/>
    <s v="Número de Adultos Mayores alfabetizados"/>
    <n v="400"/>
    <n v="600"/>
    <m/>
    <s v="3 Proyectos para la Dignificación del Adulto Mayor ejecutado"/>
    <s v="Número de Proyectos para la Dignificación del Adulto Mayor ejecutado"/>
    <n v="3"/>
    <n v="3"/>
    <s v="Mantenimiento"/>
    <s v="NA"/>
    <s v="NA"/>
    <n v="41"/>
    <s v="ODS10"/>
    <s v="SECRETARÍA DE LA MUJER"/>
    <n v="1"/>
    <n v="1"/>
    <n v="1"/>
    <m/>
    <n v="3"/>
    <b v="1"/>
    <n v="0"/>
    <n v="0"/>
    <n v="1"/>
    <n v="1"/>
    <n v="0.33333333333333331"/>
    <n v="1"/>
    <n v="0"/>
    <n v="0"/>
    <m/>
    <n v="1"/>
    <n v="1"/>
    <n v="0.25"/>
    <m/>
    <m/>
    <m/>
    <n v="8.3333333333333329E-2"/>
    <n v="1"/>
    <n v="0"/>
    <m/>
    <m/>
    <m/>
    <n v="0"/>
    <m/>
    <m/>
    <m/>
    <m/>
    <m/>
    <m/>
    <m/>
    <m/>
    <m/>
    <m/>
    <m/>
    <m/>
    <m/>
    <m/>
    <m/>
    <m/>
    <m/>
    <m/>
    <m/>
    <m/>
    <m/>
    <m/>
    <m/>
    <m/>
    <m/>
  </r>
  <r>
    <n v="6"/>
    <s v="GRUPOS POBLACIONALES"/>
    <m/>
    <m/>
    <x v="32"/>
    <x v="32"/>
    <n v="0.59259259259259256"/>
    <n v="0.25"/>
    <x v="98"/>
    <x v="97"/>
    <n v="0.59259259259259256"/>
    <n v="0.25"/>
    <m/>
    <s v="1 Política Pública para la Equidad de Género y Autonomía de la Mujer Bolivarense implementada y actualizada"/>
    <s v="Política Pública para la Equidad de Género y Autonomía de la Mujer Bolivarense implementada y actualizada"/>
    <n v="1"/>
    <n v="1"/>
    <m/>
    <s v="8 actividades y/o proyectos realizados en zonas urbanas y rurales para la implementación de la Política Pública para la Equidad de Género y Autonomía de la Mujer Bolivarense"/>
    <s v="Número de actividades y/o proyectos realizados en zonas urbanas y rurales para la implementación de la Política Pública para la Equidad de Género y Autonomía de la Mujer Bolivarense"/>
    <n v="3"/>
    <n v="8"/>
    <s v="Incremento"/>
    <s v="SI"/>
    <s v="NA"/>
    <n v="41"/>
    <s v="ODS5"/>
    <s v="SECRETARÍA DE LA MUJER"/>
    <n v="3"/>
    <n v="5"/>
    <n v="1"/>
    <n v="1"/>
    <n v="10"/>
    <b v="0"/>
    <n v="2"/>
    <n v="3"/>
    <n v="6"/>
    <n v="6"/>
    <n v="0.75"/>
    <n v="3"/>
    <n v="2"/>
    <n v="3"/>
    <m/>
    <n v="6"/>
    <n v="1"/>
    <n v="6"/>
    <m/>
    <m/>
    <m/>
    <n v="0.75"/>
    <n v="5"/>
    <n v="0"/>
    <m/>
    <m/>
    <m/>
    <n v="0"/>
    <m/>
    <m/>
    <m/>
    <m/>
    <m/>
    <m/>
    <m/>
    <m/>
    <m/>
    <m/>
    <m/>
    <m/>
    <m/>
    <m/>
    <m/>
    <m/>
    <m/>
    <m/>
    <m/>
    <m/>
    <m/>
    <m/>
    <m/>
    <m/>
    <m/>
  </r>
  <r>
    <n v="6"/>
    <s v="GRUPOS POBLACIONALES"/>
    <m/>
    <m/>
    <x v="32"/>
    <x v="32"/>
    <m/>
    <m/>
    <x v="98"/>
    <x v="97"/>
    <m/>
    <m/>
    <m/>
    <s v="1 Política Pública para la Equidad de Género y Autonomía de la Mujer Bolivarense implementada y actualizada"/>
    <s v="Política Pública para la Equidad de Género y Autonomía de la Mujer Bolivarense implementada y actualizada"/>
    <n v="1"/>
    <n v="1"/>
    <m/>
    <s v="1 Documento actualizado de Política Pública para la Equidad de Género y Autonomía de la Mujer Bolivarense"/>
    <s v="Documento actualizado de Política Pública para la Equidad de Género y Autonomía de la Mujer Bolivarense"/>
    <n v="0"/>
    <n v="1"/>
    <s v="Incremento"/>
    <s v="NA"/>
    <s v="NA"/>
    <n v="41"/>
    <s v="ODS5"/>
    <s v="SECRETARÍA DE LA MUJER"/>
    <m/>
    <m/>
    <m/>
    <n v="1"/>
    <n v="1"/>
    <b v="1"/>
    <m/>
    <m/>
    <m/>
    <m/>
    <n v="0"/>
    <m/>
    <m/>
    <m/>
    <m/>
    <m/>
    <s v="NP"/>
    <n v="0"/>
    <m/>
    <m/>
    <m/>
    <n v="0"/>
    <s v="np"/>
    <m/>
    <m/>
    <m/>
    <m/>
    <s v="NP"/>
    <m/>
    <m/>
    <m/>
    <m/>
    <m/>
    <m/>
    <m/>
    <m/>
    <m/>
    <m/>
    <m/>
    <m/>
    <m/>
    <m/>
    <m/>
    <m/>
    <m/>
    <m/>
    <m/>
    <m/>
    <m/>
    <m/>
    <m/>
    <m/>
    <m/>
  </r>
  <r>
    <n v="6"/>
    <s v="GRUPOS POBLACIONALES"/>
    <m/>
    <m/>
    <x v="32"/>
    <x v="32"/>
    <m/>
    <m/>
    <x v="99"/>
    <x v="97"/>
    <m/>
    <m/>
    <m/>
    <s v="1 Política Pública para la Equidad de Género y Autonomía de la Mujer Bolivarense implementada y actualizada"/>
    <s v="Política Pública para la Equidad de Género y Autonomía de la Mujer Bolivarense implementada y actualizada"/>
    <n v="1"/>
    <n v="1"/>
    <m/>
    <s v="4 actividades y/o proyectos realizados para el fortalecimiento de las autoridades municipales en la atención de las Violencias basadas en el Género (VBG)"/>
    <s v="Número de actividades y/o_x000a_proyectos realizados para el_x000a_fortalecimiento de las autoridades_x000a_municipales en la atención de las_x000a_Violencias basadas en el Género_x000a_(VBG)"/>
    <n v="1"/>
    <n v="4"/>
    <s v="Incremento"/>
    <m/>
    <m/>
    <n v="41"/>
    <s v="ODS5"/>
    <s v="SECRETARÍA DE LA MUJER"/>
    <m/>
    <n v="1"/>
    <m/>
    <m/>
    <m/>
    <m/>
    <m/>
    <m/>
    <m/>
    <m/>
    <n v="0"/>
    <n v="1"/>
    <m/>
    <m/>
    <m/>
    <m/>
    <m/>
    <n v="1"/>
    <m/>
    <m/>
    <m/>
    <n v="0.25"/>
    <n v="1"/>
    <n v="1"/>
    <m/>
    <m/>
    <m/>
    <n v="1"/>
    <m/>
    <m/>
    <m/>
    <m/>
    <m/>
    <m/>
    <m/>
    <m/>
    <m/>
    <m/>
    <m/>
    <m/>
    <m/>
    <m/>
    <m/>
    <m/>
    <m/>
    <m/>
    <m/>
    <m/>
    <m/>
    <m/>
    <m/>
    <m/>
    <m/>
  </r>
  <r>
    <n v="6"/>
    <s v="GRUPOS POBLACIONALES"/>
    <m/>
    <m/>
    <x v="32"/>
    <x v="32"/>
    <m/>
    <m/>
    <x v="98"/>
    <x v="97"/>
    <m/>
    <m/>
    <m/>
    <s v="6000 personas sensibilizadas en_x000a_rechazo al maltrato a la mujer y las_x000a_violencias de género_x000a_"/>
    <s v="Número de personas sensibilizadas en_x000a_rechazo al maltrato a la mujer y las_x000a_violencias de género_x000a_"/>
    <n v="3400"/>
    <n v="6000"/>
    <m/>
    <s v="3 actividades y/o proyectos realizados para el empoderamiento en derechos de la mujer bolivarense y la prevención de las VBG"/>
    <s v="Número de actividades y/o proyectos realizados para el empoderamiento en derechos de la mujer bolivarense y la prevención de las VBG"/>
    <s v="ND"/>
    <n v="3"/>
    <s v="Incremento"/>
    <s v="NA"/>
    <s v="NA"/>
    <n v="41"/>
    <s v="ODS5"/>
    <s v="SECRETARÍA DE LA MUJER"/>
    <n v="1"/>
    <n v="1"/>
    <n v="1"/>
    <m/>
    <n v="3"/>
    <b v="1"/>
    <n v="1"/>
    <n v="2"/>
    <n v="3"/>
    <n v="3"/>
    <n v="1"/>
    <n v="1"/>
    <n v="1"/>
    <n v="1"/>
    <m/>
    <n v="3"/>
    <n v="1"/>
    <n v="4"/>
    <m/>
    <m/>
    <m/>
    <n v="1.3333333333333333"/>
    <n v="1"/>
    <n v="1"/>
    <m/>
    <m/>
    <m/>
    <n v="1"/>
    <m/>
    <m/>
    <m/>
    <m/>
    <m/>
    <m/>
    <m/>
    <m/>
    <m/>
    <m/>
    <m/>
    <m/>
    <m/>
    <m/>
    <m/>
    <m/>
    <m/>
    <m/>
    <m/>
    <m/>
    <m/>
    <m/>
    <m/>
    <m/>
    <m/>
  </r>
  <r>
    <n v="6"/>
    <s v="GRUPOS POBLACIONALES"/>
    <m/>
    <m/>
    <x v="32"/>
    <x v="32"/>
    <m/>
    <m/>
    <x v="98"/>
    <x v="97"/>
    <m/>
    <m/>
    <m/>
    <s v="1 Política Pública para la Equidad de Género y Autonomía de la Mujer Bolivarense implementada y actualizada"/>
    <s v="Política Pública para la Equidad de Género y Autonomía de la Mujer Bolivarense implementada y actualizada"/>
    <n v="1"/>
    <n v="1"/>
    <m/>
    <s v="Creación y Puesta en Marcha de 1 Escuela de Participación Política y/o Control Político para Mujeres itinerante en el departamento de Bolívar"/>
    <s v="Creación y Puesta en Marcha de Escuela de Participación Política y/o Control Político para Mujeres itinerante en el departamento de Bolívar"/>
    <n v="0"/>
    <n v="1"/>
    <s v="Incremento"/>
    <s v="NA"/>
    <s v="NA"/>
    <n v="41"/>
    <s v="ODS5"/>
    <s v="SECRETARÍA DE LA MUJER"/>
    <n v="1"/>
    <n v="1"/>
    <m/>
    <m/>
    <n v="2"/>
    <b v="0"/>
    <n v="0"/>
    <n v="0"/>
    <m/>
    <m/>
    <n v="0"/>
    <n v="1"/>
    <n v="0"/>
    <n v="0"/>
    <m/>
    <n v="0"/>
    <n v="0"/>
    <n v="0"/>
    <m/>
    <m/>
    <m/>
    <n v="0"/>
    <n v="1"/>
    <n v="0"/>
    <m/>
    <m/>
    <m/>
    <n v="0"/>
    <m/>
    <m/>
    <m/>
    <m/>
    <m/>
    <m/>
    <m/>
    <m/>
    <m/>
    <m/>
    <m/>
    <m/>
    <m/>
    <m/>
    <m/>
    <m/>
    <m/>
    <m/>
    <m/>
    <m/>
    <m/>
    <m/>
    <m/>
    <m/>
    <m/>
  </r>
  <r>
    <n v="6"/>
    <s v="GRUPOS POBLACIONALES"/>
    <m/>
    <m/>
    <x v="32"/>
    <x v="32"/>
    <m/>
    <m/>
    <x v="98"/>
    <x v="97"/>
    <m/>
    <m/>
    <m/>
    <s v="1 Política Pública para la Equidad de Género y Autonomía de la Mujer Bolivarense implementada y actualizada"/>
    <s v="Política Pública para la Equidad de Género y Autonomía de la Mujer Bolivarense implementada y actualizada"/>
    <n v="1"/>
    <n v="1"/>
    <m/>
    <s v="1 espacio construido para la protección y restablecimiento de derechos de mujeres víctimas de VBG y víctimas del conflicto armado"/>
    <s v="Número de espacios construidos para la protección y restablecimiento de derechos de mujeres víctimas de VBG y víctimas del conflicto armado"/>
    <n v="0"/>
    <n v="1"/>
    <s v="Incremento"/>
    <s v="NA"/>
    <s v="NA"/>
    <n v="41"/>
    <s v="ODS5"/>
    <s v="SECRETARÍA DE LA MUJER"/>
    <n v="1"/>
    <n v="1"/>
    <m/>
    <m/>
    <n v="2"/>
    <b v="0"/>
    <n v="0"/>
    <n v="0"/>
    <m/>
    <m/>
    <n v="0"/>
    <n v="1"/>
    <n v="0"/>
    <n v="0"/>
    <m/>
    <n v="0"/>
    <n v="0"/>
    <n v="0"/>
    <m/>
    <m/>
    <m/>
    <n v="0"/>
    <n v="1"/>
    <n v="0"/>
    <m/>
    <m/>
    <m/>
    <n v="0"/>
    <m/>
    <m/>
    <m/>
    <m/>
    <m/>
    <m/>
    <m/>
    <m/>
    <m/>
    <m/>
    <m/>
    <m/>
    <m/>
    <m/>
    <m/>
    <m/>
    <m/>
    <m/>
    <m/>
    <m/>
    <m/>
    <m/>
    <m/>
    <m/>
    <m/>
  </r>
  <r>
    <n v="6"/>
    <s v="GRUPOS POBLACIONALES"/>
    <m/>
    <m/>
    <x v="32"/>
    <x v="32"/>
    <m/>
    <m/>
    <x v="98"/>
    <x v="97"/>
    <m/>
    <m/>
    <m/>
    <s v="500 iniciativas productivas de mujeres apoyadas"/>
    <s v="Número de iniciativas productivas de mujeres apoyadas"/>
    <n v="300"/>
    <n v="500"/>
    <m/>
    <s v="1 estrategia implementadas el empoderamiento productivo de la mujer bolivarense"/>
    <s v="Número de estrategias implementadas el empoderamiento productivo de la mujer bolivarense"/>
    <n v="1"/>
    <n v="1"/>
    <s v="Incremento"/>
    <s v="SI"/>
    <m/>
    <n v="41"/>
    <s v="ODS5"/>
    <s v="SECRETARÍA DE LA MUJER"/>
    <n v="1"/>
    <n v="1"/>
    <n v="1"/>
    <n v="1"/>
    <n v="4"/>
    <b v="0"/>
    <n v="0"/>
    <n v="0"/>
    <m/>
    <m/>
    <n v="0"/>
    <n v="1"/>
    <n v="0"/>
    <n v="0"/>
    <m/>
    <n v="0"/>
    <n v="0"/>
    <n v="0"/>
    <m/>
    <m/>
    <m/>
    <n v="0"/>
    <n v="1"/>
    <n v="0"/>
    <m/>
    <m/>
    <m/>
    <n v="0"/>
    <m/>
    <m/>
    <m/>
    <m/>
    <m/>
    <m/>
    <m/>
    <m/>
    <m/>
    <m/>
    <m/>
    <m/>
    <m/>
    <m/>
    <m/>
    <m/>
    <m/>
    <m/>
    <m/>
    <m/>
    <m/>
    <m/>
    <m/>
    <m/>
    <m/>
  </r>
  <r>
    <n v="6"/>
    <s v="GRUPOS POBLACIONALES"/>
    <m/>
    <m/>
    <x v="32"/>
    <x v="32"/>
    <m/>
    <m/>
    <x v="98"/>
    <x v="97"/>
    <m/>
    <m/>
    <m/>
    <s v="1 Programa para el bienestar de la Mujer Rural Bolivarense implementado"/>
    <s v="Programa para el bienestar de la Mujer Rural Bolivarense implementado"/>
    <n v="0"/>
    <n v="1"/>
    <m/>
    <s v="1 alianzas estratégicas consolidadas para la rehabilitación en salud mental de mujeres afectadas por la emergencia sanitaria COVID-19 y sus consecuencias"/>
    <s v="Número de alianzas estratégicas consolidadas para la rehabilitación en salud mental de mujeres afectadas por la emergencia sanitaria COVID-19 y sus consecuencias"/>
    <n v="0"/>
    <n v="1"/>
    <s v="Incremento"/>
    <s v="SI"/>
    <s v="GESTIÓN, REALIZADO DE MANERA VIRTUAL"/>
    <n v="41"/>
    <s v="ODS5"/>
    <s v="SECRETARÍA DE LA MUJER"/>
    <n v="1"/>
    <n v="1"/>
    <m/>
    <m/>
    <n v="2"/>
    <b v="0"/>
    <n v="0"/>
    <n v="0"/>
    <n v="1"/>
    <n v="1"/>
    <n v="1"/>
    <n v="1"/>
    <n v="0"/>
    <n v="0"/>
    <m/>
    <n v="1"/>
    <n v="1"/>
    <n v="1"/>
    <m/>
    <m/>
    <m/>
    <n v="1"/>
    <n v="1"/>
    <n v="0"/>
    <m/>
    <m/>
    <m/>
    <n v="0"/>
    <m/>
    <m/>
    <m/>
    <m/>
    <m/>
    <m/>
    <m/>
    <m/>
    <m/>
    <m/>
    <m/>
    <m/>
    <m/>
    <m/>
    <m/>
    <m/>
    <m/>
    <m/>
    <m/>
    <m/>
    <m/>
    <m/>
    <m/>
    <m/>
    <m/>
  </r>
  <r>
    <n v="6"/>
    <s v="GRUPOS POBLACIONALES"/>
    <m/>
    <m/>
    <x v="32"/>
    <x v="32"/>
    <m/>
    <m/>
    <x v="98"/>
    <x v="97"/>
    <m/>
    <m/>
    <m/>
    <s v="6000 personas sensibilizadas en rechazo al maltrato a la mujer y las violencias de género"/>
    <s v="Número de personas sensibilizadas en rechazo al maltrato a la mujer y las violencias de género"/>
    <n v="3400"/>
    <n v="6000"/>
    <m/>
    <s v="1 campaña informativa_x000a_y educativas realizadas para la_x000a_sensibilización de la participación_x000a_masculina en el trabajo doméstico_x000a_y la lucha contra el maltrato a la_x000a_mujer y la violencia intrafamiliar"/>
    <s v="Número de campañas informativas y educativas realizadas para la sensibilización de la participación masculina en el trabajo doméstico y la lucha contra el maltrato a la mujer y la violencia intrafamiliar"/>
    <n v="0"/>
    <n v="1"/>
    <s v="Incremento"/>
    <s v="NA"/>
    <s v="NA"/>
    <n v="41"/>
    <s v="ODS5"/>
    <s v="SECRETARÍA DE LA MUJER"/>
    <n v="1"/>
    <n v="1"/>
    <n v="1"/>
    <n v="1"/>
    <n v="4"/>
    <b v="0"/>
    <n v="1"/>
    <n v="1"/>
    <n v="2"/>
    <n v="2"/>
    <n v="1"/>
    <n v="1"/>
    <n v="1"/>
    <n v="1"/>
    <m/>
    <n v="2"/>
    <n v="1"/>
    <n v="2"/>
    <m/>
    <m/>
    <m/>
    <n v="2"/>
    <n v="1"/>
    <n v="0"/>
    <m/>
    <m/>
    <m/>
    <n v="0"/>
    <m/>
    <m/>
    <m/>
    <m/>
    <m/>
    <m/>
    <m/>
    <m/>
    <m/>
    <m/>
    <m/>
    <m/>
    <m/>
    <m/>
    <m/>
    <m/>
    <m/>
    <m/>
    <m/>
    <m/>
    <m/>
    <m/>
    <m/>
    <m/>
    <m/>
  </r>
  <r>
    <n v="6"/>
    <s v="GRUPOS POBLACIONALES"/>
    <m/>
    <m/>
    <x v="33"/>
    <x v="33"/>
    <n v="0.47291666666666665"/>
    <n v="0.14583333333333331"/>
    <x v="100"/>
    <x v="98"/>
    <n v="0.47291666666666665"/>
    <n v="0.14583333333333331"/>
    <m/>
    <s v="Municipios fortalecidos con organizaciones sociales LGBTIQ constituidas y activas"/>
    <s v="Municipios fortalecidos con organizaciones sociales LGBTIQ constituidas y activas"/>
    <n v="15"/>
    <n v="35"/>
    <m/>
    <s v="Política Pública de género y diversidad sexual Departamental formulada e implementada (con seguimiento)"/>
    <s v="porcentaje"/>
    <n v="50"/>
    <n v="100"/>
    <s v="Incremento"/>
    <m/>
    <s v="Gobierno territorial"/>
    <n v="45"/>
    <n v="10"/>
    <s v="SECRETARÍA DEL INTERIOR"/>
    <n v="10"/>
    <n v="15"/>
    <m/>
    <m/>
    <n v="25"/>
    <b v="0"/>
    <n v="0"/>
    <n v="10"/>
    <n v="20"/>
    <n v="20"/>
    <n v="0.2"/>
    <n v="10"/>
    <n v="0"/>
    <n v="10"/>
    <m/>
    <n v="20"/>
    <n v="1"/>
    <n v="25"/>
    <m/>
    <m/>
    <m/>
    <n v="0.25"/>
    <n v="15"/>
    <n v="5"/>
    <m/>
    <m/>
    <m/>
    <n v="0.33333333333333331"/>
    <m/>
    <m/>
    <m/>
    <m/>
    <m/>
    <m/>
    <m/>
    <m/>
    <m/>
    <m/>
    <m/>
    <m/>
    <m/>
    <m/>
    <m/>
    <m/>
    <m/>
    <m/>
    <m/>
    <m/>
    <m/>
    <m/>
    <m/>
    <m/>
    <m/>
  </r>
  <r>
    <n v="6"/>
    <s v="GRUPOS POBLACIONALES"/>
    <m/>
    <m/>
    <x v="33"/>
    <x v="33"/>
    <m/>
    <m/>
    <x v="100"/>
    <x v="98"/>
    <m/>
    <m/>
    <m/>
    <s v="Municipios fortalecidos con organizaciones sociales LGBTIQ constituidas y activas"/>
    <s v="Municipios fortalecidos con organizaciones sociales LGBTIQ constituidas y activas"/>
    <n v="15"/>
    <n v="35"/>
    <m/>
    <s v="Mesas municipales y departamental activas"/>
    <s v="Mesas municipales y departamental activas"/>
    <n v="25"/>
    <n v="40"/>
    <s v="Incremento"/>
    <m/>
    <s v="Gobierno territorial"/>
    <n v="45"/>
    <n v="10"/>
    <s v="SECRETARÍA DEL INTERIOR"/>
    <n v="5"/>
    <n v="15"/>
    <m/>
    <m/>
    <n v="20"/>
    <b v="0"/>
    <s v="2.5%"/>
    <n v="5"/>
    <n v="5"/>
    <n v="25"/>
    <n v="0.625"/>
    <n v="5"/>
    <n v="0"/>
    <n v="5"/>
    <m/>
    <n v="25"/>
    <n v="1"/>
    <n v="25"/>
    <m/>
    <m/>
    <m/>
    <n v="0.625"/>
    <n v="15"/>
    <n v="0"/>
    <m/>
    <m/>
    <m/>
    <n v="0"/>
    <m/>
    <m/>
    <m/>
    <m/>
    <m/>
    <m/>
    <m/>
    <m/>
    <m/>
    <m/>
    <m/>
    <m/>
    <m/>
    <m/>
    <m/>
    <m/>
    <m/>
    <m/>
    <m/>
    <m/>
    <m/>
    <m/>
    <m/>
    <m/>
    <m/>
  </r>
  <r>
    <n v="6"/>
    <s v="GRUPOS POBLACIONALES"/>
    <m/>
    <m/>
    <x v="33"/>
    <x v="33"/>
    <m/>
    <m/>
    <x v="100"/>
    <x v="98"/>
    <m/>
    <m/>
    <m/>
    <s v="Municipios fortalecidos con organizaciones sociales LGBTIQ constituidas y activas"/>
    <s v="Municipios fortalecidos con organizaciones sociales LGBTIQ constituidas y activas"/>
    <n v="15"/>
    <n v="35"/>
    <m/>
    <s v="Acciones afirmativas hacia la población LGBTIQ en el departamento de Bolívar"/>
    <s v="Acciones afirmativas hacia la población LGBTIQ en el departamento de Bolívar"/>
    <n v="0"/>
    <n v="6"/>
    <s v="Incremento"/>
    <m/>
    <s v="Gobierno territorial"/>
    <n v="45"/>
    <n v="10"/>
    <s v="SECRETARÍA DEL INTERIOR "/>
    <n v="1"/>
    <n v="2"/>
    <n v="2"/>
    <n v="1"/>
    <n v="6"/>
    <b v="1"/>
    <n v="0"/>
    <n v="1"/>
    <n v="2"/>
    <n v="2"/>
    <n v="0.33333333333333331"/>
    <n v="1"/>
    <n v="0"/>
    <n v="1"/>
    <m/>
    <n v="2"/>
    <n v="1"/>
    <n v="2.5"/>
    <m/>
    <m/>
    <m/>
    <n v="0.41666666666666669"/>
    <n v="2"/>
    <n v="0.5"/>
    <m/>
    <m/>
    <m/>
    <n v="0.25"/>
    <m/>
    <m/>
    <m/>
    <m/>
    <m/>
    <m/>
    <m/>
    <m/>
    <m/>
    <m/>
    <m/>
    <m/>
    <m/>
    <m/>
    <m/>
    <m/>
    <m/>
    <m/>
    <m/>
    <m/>
    <m/>
    <m/>
    <m/>
    <m/>
    <m/>
  </r>
  <r>
    <n v="6"/>
    <s v="GRUPOS POBLACIONALES"/>
    <m/>
    <m/>
    <x v="33"/>
    <x v="33"/>
    <m/>
    <m/>
    <x v="100"/>
    <x v="98"/>
    <m/>
    <m/>
    <m/>
    <s v="Municipios fortalecidos con organizaciones sociales LGBTIQ constituidas y activas"/>
    <s v="Municipios fortalecidos con organizaciones sociales LGBTIQ constituidas y activas"/>
    <n v="15"/>
    <n v="35"/>
    <m/>
    <s v="Organizaciones sociales LGBTIQ apoyando la implementación de un Programa departamental integral de sensibilización sobre el libre desarrollo de la personalidad"/>
    <s v="Organizaciones sociales LGBTIQ apoyando la implementación de un Programa departamental integral de sensibilización sobre el libre desarrollo de la personalidad"/>
    <n v="0"/>
    <n v="50"/>
    <s v="Incremento"/>
    <m/>
    <s v="Gobierno territorial"/>
    <n v="45"/>
    <n v="10"/>
    <s v="SECRETARÍA DEL INTERIOR"/>
    <n v="5"/>
    <n v="25"/>
    <n v="10"/>
    <n v="10"/>
    <n v="50"/>
    <b v="1"/>
    <n v="0"/>
    <n v="5"/>
    <n v="30"/>
    <n v="30"/>
    <n v="0.6"/>
    <n v="5"/>
    <n v="0"/>
    <n v="5"/>
    <m/>
    <n v="30"/>
    <n v="1"/>
    <n v="30"/>
    <m/>
    <m/>
    <m/>
    <n v="0.6"/>
    <n v="25"/>
    <n v="0"/>
    <m/>
    <m/>
    <m/>
    <n v="0"/>
    <m/>
    <m/>
    <m/>
    <m/>
    <m/>
    <m/>
    <m/>
    <m/>
    <m/>
    <m/>
    <m/>
    <m/>
    <m/>
    <m/>
    <m/>
    <m/>
    <m/>
    <m/>
    <m/>
    <m/>
    <m/>
    <m/>
    <m/>
    <m/>
    <m/>
  </r>
  <r>
    <n v="6"/>
    <s v="GRUPOS POBLACIONALES"/>
    <m/>
    <m/>
    <x v="34"/>
    <x v="34"/>
    <n v="0.2"/>
    <n v="0.31666666666666665"/>
    <x v="101"/>
    <x v="99"/>
    <n v="0.2"/>
    <n v="0.31666666666666665"/>
    <m/>
    <s v="Organizaciones sociales de discapacidad constituidas y activas en Municipios de Bolívar"/>
    <s v="Organizaciones sociales de discapacidad constituidas y activas en Municipios de Bolívar"/>
    <n v="5"/>
    <n v="45"/>
    <m/>
    <s v="Política Publica de discapacidad Departamental actualizada e implementada (con seguimiento)"/>
    <s v="Política Publica de discapacidad Departamental actualizada e implementada (con seguimiento)"/>
    <n v="50"/>
    <n v="100"/>
    <s v="Incremento"/>
    <m/>
    <s v="Gobierno territorial"/>
    <n v="45"/>
    <n v="10"/>
    <s v="SECRETARÍA DEL INTERIOR"/>
    <n v="10"/>
    <n v="15"/>
    <n v="15"/>
    <n v="10"/>
    <n v="50"/>
    <b v="0"/>
    <n v="0.1"/>
    <n v="10"/>
    <n v="20"/>
    <n v="20"/>
    <n v="0.2"/>
    <n v="10"/>
    <n v="5"/>
    <n v="10"/>
    <m/>
    <n v="20"/>
    <n v="1"/>
    <n v="25"/>
    <m/>
    <m/>
    <m/>
    <n v="0.25"/>
    <n v="15"/>
    <n v="5"/>
    <m/>
    <m/>
    <m/>
    <n v="0.33333333333333331"/>
    <m/>
    <m/>
    <m/>
    <m/>
    <m/>
    <m/>
    <m/>
    <m/>
    <m/>
    <m/>
    <m/>
    <m/>
    <m/>
    <m/>
    <m/>
    <m/>
    <m/>
    <m/>
    <m/>
    <m/>
    <m/>
    <m/>
    <m/>
    <m/>
    <m/>
  </r>
  <r>
    <n v="6"/>
    <s v="GRUPOS POBLACIONALES"/>
    <m/>
    <m/>
    <x v="34"/>
    <x v="34"/>
    <m/>
    <m/>
    <x v="101"/>
    <x v="99"/>
    <m/>
    <m/>
    <m/>
    <s v="Organizaciones sociales de discapacidad constituidas y activas en Municipios de Bolívar"/>
    <s v="Organizaciones sociales de discapacidad constituidas y activas en Municipios de Bolívar"/>
    <n v="5"/>
    <n v="45"/>
    <m/>
    <s v="Comités municipales y departamental activos y operando en el marco del sistema nacional de discapacidad"/>
    <s v="Comités municipales y departamental activos y operando en el marco del sistema nacional de discapacidad"/>
    <n v="100"/>
    <n v="100"/>
    <s v="Mantenimiento"/>
    <m/>
    <s v="Gobierno territorial"/>
    <n v="45"/>
    <n v="10"/>
    <s v="SECRETARÍA DEL INTERIOR"/>
    <n v="25"/>
    <n v="100"/>
    <n v="100"/>
    <n v="100"/>
    <n v="325"/>
    <b v="0"/>
    <n v="0"/>
    <n v="25"/>
    <n v="30"/>
    <n v="30"/>
    <n v="0.3"/>
    <n v="25"/>
    <n v="1"/>
    <n v="25"/>
    <m/>
    <n v="30"/>
    <n v="1"/>
    <n v="15"/>
    <m/>
    <m/>
    <m/>
    <n v="0.15"/>
    <n v="100"/>
    <n v="30"/>
    <m/>
    <m/>
    <m/>
    <n v="0.3"/>
    <m/>
    <m/>
    <m/>
    <m/>
    <m/>
    <m/>
    <m/>
    <m/>
    <m/>
    <m/>
    <m/>
    <m/>
    <m/>
    <m/>
    <m/>
    <m/>
    <m/>
    <m/>
    <m/>
    <m/>
    <m/>
    <m/>
    <m/>
    <m/>
    <m/>
  </r>
  <r>
    <n v="6"/>
    <s v="GRUPOS POBLACIONALES"/>
    <m/>
    <m/>
    <x v="35"/>
    <x v="35"/>
    <n v="0.15"/>
    <n v="0.16666666666666666"/>
    <x v="102"/>
    <x v="100"/>
    <n v="0.15"/>
    <n v="0.16666666666666666"/>
    <m/>
    <s v="Entidades religiosas participantes de la elaboración e implementación de la política pública de asuntos religiosos"/>
    <s v="Entidades religiosas participantes de la elaboración e implementación de la política pública de asuntos religiosos"/>
    <n v="416"/>
    <n v="120"/>
    <m/>
    <s v="Política Publica Departamental asuntos religiosos elaborada e implementada (con seguimiento)"/>
    <s v="Política Publica Departamental asuntos religiosos elaborada e implementada (con seguimiento)"/>
    <n v="0"/>
    <n v="50"/>
    <s v="Incremento"/>
    <m/>
    <s v="Gobierno territorial"/>
    <n v="45"/>
    <n v="10"/>
    <s v="SECRETARÍA DEL INTERIOR"/>
    <n v="5"/>
    <n v="15"/>
    <n v="20"/>
    <n v="10"/>
    <n v="50"/>
    <b v="1"/>
    <n v="0"/>
    <n v="4"/>
    <n v="10"/>
    <n v="10"/>
    <n v="0.2"/>
    <n v="5"/>
    <n v="0"/>
    <n v="5"/>
    <m/>
    <n v="10"/>
    <n v="1"/>
    <n v="15"/>
    <m/>
    <m/>
    <m/>
    <n v="0.3"/>
    <n v="15"/>
    <n v="5"/>
    <m/>
    <m/>
    <m/>
    <n v="0.33333333333333331"/>
    <m/>
    <m/>
    <m/>
    <m/>
    <m/>
    <m/>
    <m/>
    <m/>
    <m/>
    <m/>
    <m/>
    <m/>
    <m/>
    <m/>
    <m/>
    <m/>
    <m/>
    <m/>
    <m/>
    <m/>
    <m/>
    <m/>
    <m/>
    <m/>
    <m/>
  </r>
  <r>
    <n v="6"/>
    <s v="GRUPOS POBLACIONALES"/>
    <m/>
    <m/>
    <x v="35"/>
    <x v="35"/>
    <m/>
    <m/>
    <x v="102"/>
    <x v="100"/>
    <m/>
    <m/>
    <m/>
    <s v="Entidades religiosas participantes de la elaboración e implementación de la política pública de asuntos religiosos"/>
    <s v="Entidades religiosas participantes de la elaboración e implementación de la política pública de asuntos religiosos"/>
    <n v="416"/>
    <n v="120"/>
    <m/>
    <s v="Municipios impactados por una estrategia de difusión y socialización del respeto a la libertad de cultos"/>
    <s v="Municipios impactados por una estrategia de difusión y socialización del respeto a la libertad de cultos"/>
    <n v="0"/>
    <n v="100"/>
    <s v="Incremento"/>
    <m/>
    <s v="Gobierno territorial"/>
    <n v="45"/>
    <n v="10"/>
    <s v="SECRETARÍA DEL INTERIOR"/>
    <n v="5"/>
    <n v="45"/>
    <n v="25"/>
    <n v="25"/>
    <n v="100"/>
    <b v="1"/>
    <n v="0"/>
    <n v="5"/>
    <m/>
    <m/>
    <n v="0"/>
    <n v="5"/>
    <n v="0"/>
    <n v="5"/>
    <m/>
    <n v="0"/>
    <n v="0"/>
    <n v="0"/>
    <m/>
    <m/>
    <m/>
    <n v="0"/>
    <n v="45"/>
    <n v="0"/>
    <m/>
    <m/>
    <m/>
    <n v="0"/>
    <m/>
    <m/>
    <m/>
    <m/>
    <m/>
    <m/>
    <m/>
    <m/>
    <m/>
    <m/>
    <m/>
    <m/>
    <m/>
    <m/>
    <m/>
    <m/>
    <m/>
    <m/>
    <m/>
    <m/>
    <m/>
    <m/>
    <m/>
    <m/>
    <m/>
  </r>
  <r>
    <n v="6"/>
    <s v="GRUPOS POBLACIONALES"/>
    <m/>
    <m/>
    <x v="36"/>
    <x v="36"/>
    <n v="0"/>
    <n v="0"/>
    <x v="103"/>
    <x v="101"/>
    <n v="0"/>
    <n v="0"/>
    <m/>
    <s v="Personas sindicadas oriundas de Bolívar participes de beneficio de acciones institucionales"/>
    <s v="Personas sindicadas oriundas de Bolívar participes de beneficio de acciones institucionales"/>
    <n v="0"/>
    <n v="30"/>
    <m/>
    <s v="Construcción y/o adecuación de cárcel para sindicados mediante inversión directa del departamento y municipios, o en convenio APP"/>
    <s v="Construcción y/o adecuación de cárcel para sindicados mediante inversión directa del departamento y municipios, o en convenio APP"/>
    <n v="0"/>
    <n v="1"/>
    <s v="Incremento"/>
    <m/>
    <s v="Gobierno territorial"/>
    <n v="45"/>
    <n v="16"/>
    <s v="SECRETARÍA DEL INTERIOR"/>
    <n v="0.5"/>
    <n v="1"/>
    <m/>
    <m/>
    <n v="1.5"/>
    <b v="0"/>
    <n v="0"/>
    <n v="0.5"/>
    <m/>
    <m/>
    <n v="0"/>
    <n v="0.5"/>
    <n v="0"/>
    <n v="0.5"/>
    <m/>
    <n v="0"/>
    <n v="0"/>
    <n v="0"/>
    <m/>
    <m/>
    <m/>
    <n v="0"/>
    <n v="1"/>
    <n v="0"/>
    <m/>
    <m/>
    <m/>
    <n v="0"/>
    <m/>
    <m/>
    <m/>
    <m/>
    <m/>
    <m/>
    <m/>
    <m/>
    <m/>
    <m/>
    <m/>
    <m/>
    <m/>
    <m/>
    <m/>
    <m/>
    <m/>
    <m/>
    <m/>
    <m/>
    <m/>
    <m/>
    <m/>
    <m/>
    <m/>
  </r>
  <r>
    <n v="6"/>
    <s v="GRUPOS POBLACIONALES"/>
    <m/>
    <m/>
    <x v="36"/>
    <x v="36"/>
    <m/>
    <m/>
    <x v="103"/>
    <x v="101"/>
    <m/>
    <m/>
    <m/>
    <s v="Personas sindicadas oriundas de Bolívar participes de beneficio de acciones institucionales"/>
    <s v="Personas sindicadas oriundas de Bolívar participes de beneficio de acciones institucionales"/>
    <n v="0"/>
    <n v="30"/>
    <m/>
    <s v="Personas atendidas con apoyo directo con abastecimiento de elementos y artículos personales para aseo personal, alojamiento."/>
    <s v="Personas atendidas con apoyo directo con abastecimiento de elementos y artículos personales para aseo personal, alojamiento."/>
    <n v="0"/>
    <n v="400"/>
    <s v="Incremento"/>
    <m/>
    <s v="Gobierno territorial"/>
    <n v="45"/>
    <n v="16"/>
    <s v="SECRETARÍA DEL INTERIOR"/>
    <n v="0.5"/>
    <n v="150"/>
    <n v="1"/>
    <n v="1"/>
    <n v="152.5"/>
    <b v="0"/>
    <n v="0"/>
    <n v="0"/>
    <m/>
    <m/>
    <n v="0"/>
    <n v="0.5"/>
    <n v="0"/>
    <n v="0"/>
    <m/>
    <n v="0"/>
    <n v="0"/>
    <n v="0"/>
    <m/>
    <m/>
    <m/>
    <n v="0"/>
    <n v="150"/>
    <n v="0"/>
    <m/>
    <m/>
    <m/>
    <n v="0"/>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DD7731B-5E8F-4B2B-B844-AD19CFD6161B}" name="TablaDinámica1" cacheId="0" applyNumberFormats="0" applyBorderFormats="0" applyFontFormats="0" applyPatternFormats="0" applyAlignmentFormats="0" applyWidthHeightFormats="1" dataCaption="Valores" updatedVersion="6" minRefreshableVersion="3" useAutoFormatting="1" colGrandTotals="0" itemPrintTitles="1" createdVersion="6" indent="0" compact="0" compactData="0" multipleFieldFilters="0">
  <location ref="B4:K151" firstHeaderRow="0" firstDataRow="1" firstDataCol="6"/>
  <pivotFields count="38">
    <pivotField axis="axisRow" compact="0" outline="0" showAll="0" defaultSubtotal="0">
      <items count="6">
        <item x="0"/>
        <item x="1"/>
        <item x="2"/>
        <item x="3"/>
        <item x="4"/>
        <item x="5"/>
      </items>
    </pivotField>
    <pivotField axis="axisRow" compact="0" outline="0" showAll="0">
      <items count="7">
        <item x="1"/>
        <item x="3"/>
        <item x="4"/>
        <item x="0"/>
        <item x="2"/>
        <item x="5"/>
        <item t="default"/>
      </items>
    </pivotField>
    <pivotField compact="0" outline="0" showAll="0"/>
    <pivotField compact="0" outline="0" showAll="0"/>
    <pivotField axis="axisRow" compact="0" outline="0" showAll="0" defaultSubtotal="0">
      <items count="38">
        <item x="0"/>
        <item x="1"/>
        <item x="2"/>
        <item x="3"/>
        <item x="4"/>
        <item x="5"/>
        <item x="6"/>
        <item x="7"/>
        <item x="8"/>
        <item x="9"/>
        <item x="10"/>
        <item x="11"/>
        <item x="12"/>
        <item x="13"/>
        <item x="14"/>
        <item x="16"/>
        <item x="17"/>
        <item x="18"/>
        <item x="19"/>
        <item x="20"/>
        <item x="21"/>
        <item x="22"/>
        <item x="23"/>
        <item x="24"/>
        <item x="25"/>
        <item x="26"/>
        <item x="27"/>
        <item x="36"/>
        <item x="28"/>
        <item x="29"/>
        <item x="30"/>
        <item x="31"/>
        <item x="32"/>
        <item x="33"/>
        <item x="34"/>
        <item x="35"/>
        <item m="1" x="37"/>
        <item x="15"/>
      </items>
    </pivotField>
    <pivotField axis="axisRow" compact="0" outline="0" showAll="0">
      <items count="54">
        <item m="1" x="47"/>
        <item m="1" x="42"/>
        <item m="1" x="43"/>
        <item m="1" x="45"/>
        <item m="1" x="50"/>
        <item x="25"/>
        <item x="26"/>
        <item m="1" x="40"/>
        <item m="1" x="38"/>
        <item m="1" x="46"/>
        <item m="1" x="48"/>
        <item m="1" x="52"/>
        <item m="1" x="41"/>
        <item m="1" x="44"/>
        <item m="1" x="39"/>
        <item m="1" x="51"/>
        <item x="23"/>
        <item x="31"/>
        <item x="0"/>
        <item x="1"/>
        <item x="18"/>
        <item x="10"/>
        <item x="14"/>
        <item x="17"/>
        <item x="9"/>
        <item x="6"/>
        <item x="7"/>
        <item x="11"/>
        <item x="4"/>
        <item x="2"/>
        <item x="8"/>
        <item x="12"/>
        <item x="16"/>
        <item x="5"/>
        <item x="20"/>
        <item x="27"/>
        <item m="1" x="49"/>
        <item x="15"/>
        <item x="19"/>
        <item x="3"/>
        <item x="13"/>
        <item m="1" x="37"/>
        <item x="21"/>
        <item x="22"/>
        <item x="24"/>
        <item x="28"/>
        <item x="29"/>
        <item x="30"/>
        <item x="32"/>
        <item x="33"/>
        <item x="34"/>
        <item x="35"/>
        <item x="36"/>
        <item t="default"/>
      </items>
    </pivotField>
    <pivotField compact="0" outline="0" showAll="0"/>
    <pivotField compact="0" outline="0" showAll="0"/>
    <pivotField axis="axisRow" compact="0" outline="0" showAll="0" defaultSubtotal="0">
      <items count="102">
        <item x="0"/>
        <item x="1"/>
        <item x="2"/>
        <item x="3"/>
        <item x="4"/>
        <item x="13"/>
        <item x="5"/>
        <item x="6"/>
        <item x="7"/>
        <item x="8"/>
        <item x="9"/>
        <item x="10"/>
        <item x="11"/>
        <item x="12"/>
        <item x="14"/>
        <item x="15"/>
        <item x="16"/>
        <item x="17"/>
        <item x="18"/>
        <item x="19"/>
        <item x="20"/>
        <item x="21"/>
        <item x="22"/>
        <item x="23"/>
        <item x="24"/>
        <item x="25"/>
        <item x="49"/>
        <item x="26"/>
        <item x="27"/>
        <item x="28"/>
        <item x="29"/>
        <item x="30"/>
        <item x="31"/>
        <item x="32"/>
        <item x="33"/>
        <item x="34"/>
        <item x="35"/>
        <item x="36"/>
        <item x="37"/>
        <item x="38"/>
        <item x="39"/>
        <item x="40"/>
        <item x="41"/>
        <item x="42"/>
        <item x="43"/>
        <item x="44"/>
        <item x="45"/>
        <item x="46"/>
        <item x="47"/>
        <item x="48"/>
        <item x="50"/>
        <item x="51"/>
        <item x="52"/>
        <item x="53"/>
        <item x="54"/>
        <item x="55"/>
        <item x="56"/>
        <item x="57"/>
        <item x="58"/>
        <item x="59"/>
        <item x="60"/>
        <item x="61"/>
        <item x="62"/>
        <item x="63"/>
        <item x="64"/>
        <item x="65"/>
        <item x="66"/>
        <item x="67"/>
        <item x="68"/>
        <item x="69"/>
        <item x="70"/>
        <item x="71"/>
        <item x="72"/>
        <item x="73"/>
        <item x="74"/>
        <item x="75"/>
        <item x="76"/>
        <item x="77"/>
        <item x="78"/>
        <item x="86"/>
        <item x="89"/>
        <item x="90"/>
        <item x="79"/>
        <item x="80"/>
        <item x="81"/>
        <item x="82"/>
        <item x="83"/>
        <item x="84"/>
        <item x="85"/>
        <item x="101"/>
        <item x="87"/>
        <item x="88"/>
        <item x="91"/>
        <item x="92"/>
        <item x="93"/>
        <item x="94"/>
        <item x="95"/>
        <item x="96"/>
        <item x="97"/>
        <item x="98"/>
        <item x="99"/>
        <item x="100"/>
      </items>
    </pivotField>
    <pivotField axis="axisRow" compact="0" outline="0" showAll="0">
      <items count="145">
        <item x="29"/>
        <item m="1" x="136"/>
        <item m="1" x="123"/>
        <item m="1" x="110"/>
        <item m="1" x="143"/>
        <item m="1" x="114"/>
        <item m="1" x="128"/>
        <item m="1" x="132"/>
        <item m="1" x="103"/>
        <item m="1" x="134"/>
        <item m="1" x="119"/>
        <item m="1" x="113"/>
        <item m="1" x="121"/>
        <item m="1" x="130"/>
        <item m="1" x="131"/>
        <item m="1" x="116"/>
        <item m="1" x="105"/>
        <item m="1" x="108"/>
        <item m="1" x="117"/>
        <item m="1" x="122"/>
        <item m="1" x="140"/>
        <item m="1" x="107"/>
        <item m="1" x="118"/>
        <item m="1" x="135"/>
        <item m="1" x="115"/>
        <item m="1" x="138"/>
        <item m="1" x="112"/>
        <item m="1" x="102"/>
        <item m="1" x="104"/>
        <item m="1" x="106"/>
        <item m="1" x="137"/>
        <item m="1" x="111"/>
        <item m="1" x="109"/>
        <item m="1" x="139"/>
        <item m="1" x="125"/>
        <item m="1" x="120"/>
        <item m="1" x="141"/>
        <item m="1" x="127"/>
        <item m="1" x="133"/>
        <item m="1" x="124"/>
        <item m="1" x="142"/>
        <item x="17"/>
        <item x="51"/>
        <item x="39"/>
        <item x="34"/>
        <item x="46"/>
        <item x="55"/>
        <item x="35"/>
        <item x="74"/>
        <item x="32"/>
        <item x="73"/>
        <item m="1" x="129"/>
        <item x="75"/>
        <item x="27"/>
        <item x="26"/>
        <item x="22"/>
        <item x="44"/>
        <item x="1"/>
        <item x="2"/>
        <item x="23"/>
        <item x="3"/>
        <item x="30"/>
        <item x="41"/>
        <item x="42"/>
        <item x="49"/>
        <item x="0"/>
        <item x="25"/>
        <item x="52"/>
        <item x="53"/>
        <item x="6"/>
        <item x="78"/>
        <item x="33"/>
        <item x="18"/>
        <item x="19"/>
        <item x="54"/>
        <item x="43"/>
        <item x="47"/>
        <item x="13"/>
        <item x="45"/>
        <item x="12"/>
        <item x="21"/>
        <item x="16"/>
        <item x="77"/>
        <item x="76"/>
        <item x="48"/>
        <item x="20"/>
        <item x="38"/>
        <item x="37"/>
        <item x="40"/>
        <item x="50"/>
        <item x="24"/>
        <item x="15"/>
        <item x="14"/>
        <item m="1" x="126"/>
        <item x="4"/>
        <item x="10"/>
        <item x="11"/>
        <item x="36"/>
        <item x="7"/>
        <item x="8"/>
        <item x="31"/>
        <item x="28"/>
        <item x="9"/>
        <item x="5"/>
        <item x="56"/>
        <item x="57"/>
        <item x="58"/>
        <item x="59"/>
        <item x="60"/>
        <item x="61"/>
        <item x="62"/>
        <item x="63"/>
        <item x="64"/>
        <item x="65"/>
        <item x="66"/>
        <item x="67"/>
        <item x="68"/>
        <item x="69"/>
        <item x="70"/>
        <item x="71"/>
        <item x="72"/>
        <item x="79"/>
        <item x="80"/>
        <item x="81"/>
        <item x="82"/>
        <item x="83"/>
        <item x="84"/>
        <item x="85"/>
        <item x="86"/>
        <item x="87"/>
        <item x="88"/>
        <item x="89"/>
        <item x="90"/>
        <item x="91"/>
        <item x="92"/>
        <item x="93"/>
        <item x="94"/>
        <item x="95"/>
        <item x="96"/>
        <item x="97"/>
        <item x="98"/>
        <item x="99"/>
        <item x="100"/>
        <item x="101"/>
        <item t="default"/>
      </items>
    </pivotField>
    <pivotField dataField="1"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 compact="0" outline="0" multipleItemSelectionAllowed="1" showAll="0"/>
    <pivotField compact="0" outline="0" showAll="0"/>
    <pivotField compact="0" outline="0" showAll="0"/>
    <pivotField compact="0" outline="0" showAll="0"/>
    <pivotField dataField="1" compact="0" outline="0" multipleItemSelectionAllowed="1"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6">
    <field x="0"/>
    <field x="1"/>
    <field x="4"/>
    <field x="5"/>
    <field x="8"/>
    <field x="9"/>
  </rowFields>
  <rowItems count="147">
    <i>
      <x/>
      <x v="3"/>
      <x/>
      <x v="18"/>
      <x/>
      <x v="65"/>
    </i>
    <i t="default" r="3">
      <x v="18"/>
    </i>
    <i r="2">
      <x v="1"/>
      <x v="19"/>
      <x v="1"/>
      <x v="57"/>
    </i>
    <i r="4">
      <x v="2"/>
      <x v="58"/>
    </i>
    <i r="4">
      <x v="3"/>
      <x v="60"/>
    </i>
    <i t="default" r="3">
      <x v="19"/>
    </i>
    <i r="2">
      <x v="2"/>
      <x v="29"/>
      <x v="4"/>
      <x v="94"/>
    </i>
    <i r="4">
      <x v="5"/>
      <x v="77"/>
    </i>
    <i r="4">
      <x v="6"/>
      <x v="103"/>
    </i>
    <i r="4">
      <x v="7"/>
      <x v="69"/>
    </i>
    <i r="4">
      <x v="8"/>
      <x v="98"/>
    </i>
    <i r="4">
      <x v="9"/>
      <x v="99"/>
    </i>
    <i r="4">
      <x v="10"/>
      <x v="102"/>
    </i>
    <i r="4">
      <x v="11"/>
      <x v="95"/>
    </i>
    <i r="4">
      <x v="12"/>
      <x v="96"/>
    </i>
    <i r="4">
      <x v="13"/>
      <x v="79"/>
    </i>
    <i t="default" r="3">
      <x v="29"/>
    </i>
    <i r="2">
      <x v="3"/>
      <x v="39"/>
      <x v="14"/>
      <x v="92"/>
    </i>
    <i r="4">
      <x v="15"/>
      <x v="91"/>
    </i>
    <i t="default" r="3">
      <x v="39"/>
    </i>
    <i r="2">
      <x v="4"/>
      <x v="28"/>
      <x v="16"/>
      <x v="81"/>
    </i>
    <i r="4">
      <x v="17"/>
      <x v="41"/>
    </i>
    <i r="4">
      <x v="18"/>
      <x v="72"/>
    </i>
    <i r="4">
      <x v="19"/>
      <x v="73"/>
    </i>
    <i r="4">
      <x v="20"/>
      <x v="85"/>
    </i>
    <i r="4">
      <x v="21"/>
      <x v="80"/>
    </i>
    <i t="default" r="3">
      <x v="28"/>
    </i>
    <i r="2">
      <x v="5"/>
      <x v="33"/>
      <x v="22"/>
      <x v="55"/>
    </i>
    <i r="4">
      <x v="23"/>
      <x v="59"/>
    </i>
    <i t="default" r="3">
      <x v="33"/>
    </i>
    <i t="default" r="1">
      <x v="3"/>
    </i>
    <i>
      <x v="1"/>
      <x/>
      <x v="6"/>
      <x v="25"/>
      <x v="24"/>
      <x v="90"/>
    </i>
    <i r="4">
      <x v="25"/>
      <x v="66"/>
    </i>
    <i t="default" r="3">
      <x v="25"/>
    </i>
    <i r="2">
      <x v="7"/>
      <x v="26"/>
      <x v="27"/>
      <x v="54"/>
    </i>
    <i r="4">
      <x v="28"/>
      <x v="53"/>
    </i>
    <i t="default" r="3">
      <x v="26"/>
    </i>
    <i r="2">
      <x v="8"/>
      <x v="30"/>
      <x v="29"/>
      <x v="101"/>
    </i>
    <i t="default" r="3">
      <x v="30"/>
    </i>
    <i r="2">
      <x v="9"/>
      <x v="24"/>
      <x v="30"/>
      <x/>
    </i>
    <i r="4">
      <x v="31"/>
      <x v="61"/>
    </i>
    <i t="default" r="3">
      <x v="24"/>
    </i>
    <i r="2">
      <x v="10"/>
      <x v="21"/>
      <x v="32"/>
      <x v="100"/>
    </i>
    <i r="4">
      <x v="33"/>
      <x v="49"/>
    </i>
    <i r="4">
      <x v="34"/>
      <x v="71"/>
    </i>
    <i r="4">
      <x v="35"/>
      <x v="44"/>
    </i>
    <i r="4">
      <x v="36"/>
      <x v="47"/>
    </i>
    <i r="4">
      <x v="37"/>
      <x v="97"/>
    </i>
    <i t="default" r="3">
      <x v="21"/>
    </i>
    <i r="2">
      <x v="11"/>
      <x v="27"/>
      <x v="38"/>
      <x v="87"/>
    </i>
    <i r="4">
      <x v="39"/>
      <x v="86"/>
    </i>
    <i r="4">
      <x v="40"/>
      <x v="43"/>
    </i>
    <i r="4">
      <x v="41"/>
      <x v="88"/>
    </i>
    <i r="4">
      <x v="42"/>
      <x v="62"/>
    </i>
    <i t="default" r="3">
      <x v="27"/>
    </i>
    <i r="2">
      <x v="12"/>
      <x v="31"/>
      <x v="43"/>
      <x v="63"/>
    </i>
    <i t="default" r="3">
      <x v="31"/>
    </i>
    <i r="2">
      <x v="13"/>
      <x v="40"/>
      <x v="44"/>
      <x v="75"/>
    </i>
    <i r="4">
      <x v="45"/>
      <x v="56"/>
    </i>
    <i t="default" r="3">
      <x v="40"/>
    </i>
    <i r="2">
      <x v="14"/>
      <x v="22"/>
      <x v="46"/>
      <x v="78"/>
    </i>
    <i r="4">
      <x v="47"/>
      <x v="45"/>
    </i>
    <i r="4">
      <x v="48"/>
      <x v="76"/>
    </i>
    <i r="4">
      <x v="49"/>
      <x v="84"/>
    </i>
    <i t="default" r="3">
      <x v="22"/>
    </i>
    <i r="2">
      <x v="37"/>
      <x v="37"/>
      <x v="26"/>
      <x v="64"/>
    </i>
    <i t="default" r="3">
      <x v="37"/>
    </i>
    <i t="default" r="1">
      <x/>
    </i>
    <i>
      <x v="2"/>
      <x v="4"/>
      <x v="15"/>
      <x v="32"/>
      <x v="50"/>
      <x v="89"/>
    </i>
    <i t="default" r="3">
      <x v="32"/>
    </i>
    <i r="2">
      <x v="16"/>
      <x v="23"/>
      <x v="51"/>
      <x v="42"/>
    </i>
    <i t="default" r="3">
      <x v="23"/>
    </i>
    <i r="2">
      <x v="17"/>
      <x v="20"/>
      <x v="52"/>
      <x v="67"/>
    </i>
    <i t="default" r="3">
      <x v="20"/>
    </i>
    <i r="2">
      <x v="18"/>
      <x v="38"/>
      <x v="53"/>
      <x v="68"/>
    </i>
    <i r="4">
      <x v="54"/>
      <x v="74"/>
    </i>
    <i r="4">
      <x v="55"/>
      <x v="46"/>
    </i>
    <i t="default" r="3">
      <x v="38"/>
    </i>
    <i t="default" r="1">
      <x v="4"/>
    </i>
    <i>
      <x v="3"/>
      <x v="1"/>
      <x v="19"/>
      <x v="34"/>
      <x v="56"/>
      <x v="104"/>
    </i>
    <i t="default" r="3">
      <x v="34"/>
    </i>
    <i r="2">
      <x v="20"/>
      <x v="42"/>
      <x v="57"/>
      <x v="105"/>
    </i>
    <i t="default" r="3">
      <x v="42"/>
    </i>
    <i r="2">
      <x v="21"/>
      <x v="43"/>
      <x v="58"/>
      <x v="106"/>
    </i>
    <i r="4">
      <x v="59"/>
      <x v="107"/>
    </i>
    <i t="default" r="3">
      <x v="43"/>
    </i>
    <i r="2">
      <x v="22"/>
      <x v="16"/>
      <x v="60"/>
      <x v="108"/>
    </i>
    <i r="4">
      <x v="61"/>
      <x v="109"/>
    </i>
    <i r="4">
      <x v="62"/>
      <x v="110"/>
    </i>
    <i r="4">
      <x v="63"/>
      <x v="111"/>
    </i>
    <i r="4">
      <x v="64"/>
      <x v="112"/>
    </i>
    <i r="4">
      <x v="65"/>
      <x v="113"/>
    </i>
    <i r="4">
      <x v="66"/>
      <x v="114"/>
    </i>
    <i r="4">
      <x v="67"/>
      <x v="115"/>
    </i>
    <i t="default" r="3">
      <x v="16"/>
    </i>
    <i r="2">
      <x v="23"/>
      <x v="44"/>
      <x v="68"/>
      <x v="116"/>
    </i>
    <i t="default" r="3">
      <x v="44"/>
    </i>
    <i r="2">
      <x v="24"/>
      <x v="5"/>
      <x v="70"/>
      <x v="118"/>
    </i>
    <i r="4">
      <x v="71"/>
      <x v="119"/>
    </i>
    <i r="4">
      <x v="72"/>
      <x v="120"/>
    </i>
    <i t="default" r="3">
      <x v="5"/>
    </i>
    <i r="3">
      <x v="16"/>
      <x v="69"/>
      <x v="117"/>
    </i>
    <i t="default" r="3">
      <x v="16"/>
    </i>
    <i t="default" r="1">
      <x v="1"/>
    </i>
    <i>
      <x v="4"/>
      <x v="2"/>
      <x v="25"/>
      <x v="6"/>
      <x v="73"/>
      <x v="50"/>
    </i>
    <i r="4">
      <x v="74"/>
      <x v="48"/>
    </i>
    <i r="4">
      <x v="75"/>
      <x v="52"/>
    </i>
    <i r="4">
      <x v="76"/>
      <x v="83"/>
    </i>
    <i r="4">
      <x v="77"/>
      <x v="82"/>
    </i>
    <i r="4">
      <x v="78"/>
      <x v="70"/>
    </i>
    <i t="default" r="3">
      <x v="6"/>
    </i>
    <i t="default" r="1">
      <x v="2"/>
    </i>
    <i>
      <x v="5"/>
      <x v="5"/>
      <x v="26"/>
      <x v="35"/>
      <x v="82"/>
      <x v="121"/>
    </i>
    <i r="4">
      <x v="83"/>
      <x v="122"/>
    </i>
    <i r="4">
      <x v="84"/>
      <x v="123"/>
    </i>
    <i r="4">
      <x v="85"/>
      <x v="124"/>
    </i>
    <i r="4">
      <x v="86"/>
      <x v="125"/>
    </i>
    <i r="4">
      <x v="87"/>
      <x v="126"/>
    </i>
    <i r="4">
      <x v="88"/>
      <x v="127"/>
    </i>
    <i t="default" r="3">
      <x v="35"/>
    </i>
    <i r="2">
      <x v="27"/>
      <x v="52"/>
      <x v="89"/>
      <x v="143"/>
    </i>
    <i t="default" r="3">
      <x v="52"/>
    </i>
    <i r="2">
      <x v="28"/>
      <x v="45"/>
      <x v="79"/>
      <x v="128"/>
    </i>
    <i r="4">
      <x v="80"/>
      <x v="131"/>
    </i>
    <i r="4">
      <x v="81"/>
      <x v="132"/>
    </i>
    <i r="4">
      <x v="90"/>
      <x v="129"/>
    </i>
    <i r="4">
      <x v="91"/>
      <x v="130"/>
    </i>
    <i r="4">
      <x v="92"/>
      <x v="133"/>
    </i>
    <i r="4">
      <x v="93"/>
      <x v="134"/>
    </i>
    <i r="4">
      <x v="94"/>
      <x v="135"/>
    </i>
    <i t="default" r="3">
      <x v="45"/>
    </i>
    <i r="2">
      <x v="29"/>
      <x v="46"/>
      <x v="95"/>
      <x v="136"/>
    </i>
    <i t="default" r="3">
      <x v="46"/>
    </i>
    <i r="2">
      <x v="30"/>
      <x v="47"/>
      <x v="96"/>
      <x v="137"/>
    </i>
    <i t="default" r="3">
      <x v="47"/>
    </i>
    <i r="2">
      <x v="31"/>
      <x v="17"/>
      <x v="97"/>
      <x v="138"/>
    </i>
    <i t="default" r="3">
      <x v="17"/>
    </i>
    <i r="2">
      <x v="32"/>
      <x v="48"/>
      <x v="98"/>
      <x v="139"/>
    </i>
    <i t="default" r="3">
      <x v="48"/>
    </i>
    <i r="2">
      <x v="33"/>
      <x v="49"/>
      <x v="99"/>
      <x v="140"/>
    </i>
    <i t="default" r="3">
      <x v="49"/>
    </i>
    <i r="2">
      <x v="34"/>
      <x v="50"/>
      <x v="100"/>
      <x v="141"/>
    </i>
    <i t="default" r="3">
      <x v="50"/>
    </i>
    <i r="2">
      <x v="35"/>
      <x v="51"/>
      <x v="101"/>
      <x v="142"/>
    </i>
    <i t="default" r="3">
      <x v="51"/>
    </i>
    <i t="default" r="1">
      <x v="5"/>
    </i>
    <i t="grand">
      <x/>
    </i>
  </rowItems>
  <colFields count="1">
    <field x="-2"/>
  </colFields>
  <colItems count="4">
    <i>
      <x/>
    </i>
    <i i="1">
      <x v="1"/>
    </i>
    <i i="2">
      <x v="2"/>
    </i>
    <i i="3">
      <x v="3"/>
    </i>
  </colItems>
  <dataFields count="4">
    <dataField name="Cuenta de Indicador de Producto" fld="19" subtotal="count" baseField="0" baseItem="0"/>
    <dataField name="Cuenta de Valor esperado 2020" fld="25" subtotal="count" baseField="0" baseItem="0"/>
    <dataField name="% CUMPLIMIENTO CUATRENIO" fld="10" subtotal="product" baseField="9" baseItem="65" numFmtId="9"/>
    <dataField name="% CIMPLIMIENTO  AÑO 2020" fld="11" subtotal="product" baseField="9" baseItem="65" numFmtId="9"/>
  </dataFields>
  <formats count="284">
    <format dxfId="294">
      <pivotArea dataOnly="0" labelOnly="1" fieldPosition="0">
        <references count="1">
          <reference field="1" count="0"/>
        </references>
      </pivotArea>
    </format>
    <format dxfId="293">
      <pivotArea dataOnly="0" labelOnly="1" fieldPosition="0">
        <references count="1">
          <reference field="1" count="0"/>
        </references>
      </pivotArea>
    </format>
    <format dxfId="292">
      <pivotArea dataOnly="0" labelOnly="1" fieldPosition="0">
        <references count="1">
          <reference field="5" count="0"/>
        </references>
      </pivotArea>
    </format>
    <format dxfId="291">
      <pivotArea dataOnly="0" labelOnly="1" fieldPosition="0">
        <references count="1">
          <reference field="9" count="0"/>
        </references>
      </pivotArea>
    </format>
    <format dxfId="290">
      <pivotArea collapsedLevelsAreSubtotals="1" fieldPosition="0">
        <references count="2">
          <reference field="0" count="1" selected="0">
            <x v="0"/>
          </reference>
          <reference field="1" count="1">
            <x v="3"/>
          </reference>
        </references>
      </pivotArea>
    </format>
    <format dxfId="289">
      <pivotArea collapsedLevelsAreSubtotals="1" fieldPosition="0">
        <references count="2">
          <reference field="0" count="1" selected="0">
            <x v="0"/>
          </reference>
          <reference field="1" count="1">
            <x v="3"/>
          </reference>
        </references>
      </pivotArea>
    </format>
    <format dxfId="288">
      <pivotArea outline="0" collapsedLevelsAreSubtotals="1" fieldPosition="0"/>
    </format>
    <format dxfId="287">
      <pivotArea dataOnly="0" labelOnly="1" outline="0" axis="axisValues" fieldPosition="0"/>
    </format>
    <format dxfId="286">
      <pivotArea dataOnly="0" labelOnly="1" fieldPosition="0">
        <references count="1">
          <reference field="9" count="0"/>
        </references>
      </pivotArea>
    </format>
    <format dxfId="285">
      <pivotArea dataOnly="0" labelOnly="1" outline="0" axis="axisValues" fieldPosition="0"/>
    </format>
    <format dxfId="284">
      <pivotArea dataOnly="0" labelOnly="1" outline="0" fieldPosition="0">
        <references count="1">
          <reference field="4294967294" count="1">
            <x v="1"/>
          </reference>
        </references>
      </pivotArea>
    </format>
    <format dxfId="283">
      <pivotArea dataOnly="0" labelOnly="1" outline="0" fieldPosition="0">
        <references count="1">
          <reference field="4294967294" count="1">
            <x v="1"/>
          </reference>
        </references>
      </pivotArea>
    </format>
    <format dxfId="282">
      <pivotArea dataOnly="0" labelOnly="1" outline="0" fieldPosition="0">
        <references count="1">
          <reference field="4294967294" count="1">
            <x v="0"/>
          </reference>
        </references>
      </pivotArea>
    </format>
    <format dxfId="281">
      <pivotArea dataOnly="0" labelOnly="1" outline="0" fieldPosition="0">
        <references count="1">
          <reference field="1" count="0"/>
        </references>
      </pivotArea>
    </format>
    <format dxfId="280">
      <pivotArea dataOnly="0" labelOnly="1" outline="0" fieldPosition="0">
        <references count="4">
          <reference field="0" count="1" selected="0">
            <x v="0"/>
          </reference>
          <reference field="1" count="1" selected="0">
            <x v="3"/>
          </reference>
          <reference field="4" count="1" selected="0">
            <x v="0"/>
          </reference>
          <reference field="5" count="1">
            <x v="18"/>
          </reference>
        </references>
      </pivotArea>
    </format>
    <format dxfId="279">
      <pivotArea dataOnly="0" outline="0" fieldPosition="0">
        <references count="2">
          <reference field="4" count="1" selected="0">
            <x v="0"/>
          </reference>
          <reference field="5" count="1" defaultSubtotal="1">
            <x v="18"/>
          </reference>
        </references>
      </pivotArea>
    </format>
    <format dxfId="278">
      <pivotArea dataOnly="0" outline="0" fieldPosition="0">
        <references count="2">
          <reference field="4" count="1" selected="0">
            <x v="0"/>
          </reference>
          <reference field="5" count="1" defaultSubtotal="1">
            <x v="18"/>
          </reference>
        </references>
      </pivotArea>
    </format>
    <format dxfId="277">
      <pivotArea dataOnly="0" outline="0" fieldPosition="0">
        <references count="1">
          <reference field="1" count="0" defaultSubtotal="1"/>
        </references>
      </pivotArea>
    </format>
    <format dxfId="276">
      <pivotArea dataOnly="0" outline="0" fieldPosition="0">
        <references count="1">
          <reference field="1" count="0" defaultSubtotal="1"/>
        </references>
      </pivotArea>
    </format>
    <format dxfId="275">
      <pivotArea dataOnly="0" labelOnly="1" outline="0" fieldPosition="0">
        <references count="1">
          <reference field="9" count="0"/>
        </references>
      </pivotArea>
    </format>
    <format dxfId="274">
      <pivotArea dataOnly="0" outline="0" fieldPosition="0">
        <references count="1">
          <reference field="1" count="0" defaultSubtotal="1"/>
        </references>
      </pivotArea>
    </format>
    <format dxfId="273">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272">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71">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270">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69">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268">
      <pivotArea dataOnly="0" labelOnly="1" outline="0" offset="IV256" fieldPosition="0">
        <references count="3">
          <reference field="0" count="1" selected="0">
            <x v="0"/>
          </reference>
          <reference field="1" count="1" selected="0">
            <x v="3"/>
          </reference>
          <reference field="4" count="1">
            <x v="0"/>
          </reference>
        </references>
      </pivotArea>
    </format>
    <format dxfId="267">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66">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265">
      <pivotArea dataOnly="0" labelOnly="1" outline="0" fieldPosition="0">
        <references count="3">
          <reference field="0" count="1" selected="0">
            <x v="0"/>
          </reference>
          <reference field="1" count="1" selected="0">
            <x v="3"/>
          </reference>
          <reference field="4" count="1">
            <x v="0"/>
          </reference>
        </references>
      </pivotArea>
    </format>
    <format dxfId="264">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63">
      <pivotArea outline="0" fieldPosition="0">
        <references count="4">
          <reference field="0" count="1" selected="0">
            <x v="0"/>
          </reference>
          <reference field="1" count="1" selected="0">
            <x v="3"/>
          </reference>
          <reference field="4" count="1" selected="0">
            <x v="1"/>
          </reference>
          <reference field="5" count="1" selected="0" defaultSubtotal="1">
            <x v="19"/>
          </reference>
        </references>
      </pivotArea>
    </format>
    <format dxfId="262">
      <pivotArea dataOnly="0" labelOnly="1" outline="0" offset="IV256" fieldPosition="0">
        <references count="3">
          <reference field="0" count="1" selected="0">
            <x v="0"/>
          </reference>
          <reference field="1" count="1" selected="0">
            <x v="3"/>
          </reference>
          <reference field="4" count="1">
            <x v="1"/>
          </reference>
        </references>
      </pivotArea>
    </format>
    <format dxfId="261">
      <pivotArea dataOnly="0" labelOnly="1" outline="0" fieldPosition="0">
        <references count="4">
          <reference field="0" count="1" selected="0">
            <x v="0"/>
          </reference>
          <reference field="1" count="1" selected="0">
            <x v="3"/>
          </reference>
          <reference field="4" count="1" selected="0">
            <x v="1"/>
          </reference>
          <reference field="5" count="1" defaultSubtotal="1">
            <x v="19"/>
          </reference>
        </references>
      </pivotArea>
    </format>
    <format dxfId="260">
      <pivotArea dataOnly="0" labelOnly="1" outline="0" fieldPosition="0">
        <references count="5">
          <reference field="0" count="1" selected="0">
            <x v="0"/>
          </reference>
          <reference field="1" count="1" selected="0">
            <x v="3"/>
          </reference>
          <reference field="4" count="1" selected="0">
            <x v="1"/>
          </reference>
          <reference field="5" count="1" selected="0">
            <x v="19"/>
          </reference>
          <reference field="8" count="1">
            <x v="3"/>
          </reference>
        </references>
      </pivotArea>
    </format>
    <format dxfId="259">
      <pivotArea field="8" type="button" dataOnly="0" labelOnly="1" outline="0" axis="axisRow" fieldPosition="4"/>
    </format>
    <format dxfId="258">
      <pivotArea field="9" type="button" dataOnly="0" labelOnly="1" outline="0" axis="axisRow" fieldPosition="5"/>
    </format>
    <format dxfId="257">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56">
      <pivotArea dataOnly="0" labelOnly="1" outline="0" fieldPosition="0">
        <references count="4">
          <reference field="0" count="1" selected="0">
            <x v="0"/>
          </reference>
          <reference field="1" count="1" selected="0">
            <x v="3"/>
          </reference>
          <reference field="4" count="1" selected="0">
            <x v="1"/>
          </reference>
          <reference field="5" count="1" defaultSubtotal="1">
            <x v="19"/>
          </reference>
        </references>
      </pivotArea>
    </format>
    <format dxfId="255">
      <pivotArea dataOnly="0" labelOnly="1" outline="0" fieldPosition="0">
        <references count="4">
          <reference field="0" count="1" selected="0">
            <x v="0"/>
          </reference>
          <reference field="1" count="1" selected="0">
            <x v="3"/>
          </reference>
          <reference field="4" count="1" selected="0">
            <x v="2"/>
          </reference>
          <reference field="5" count="1" defaultSubtotal="1">
            <x v="29"/>
          </reference>
        </references>
      </pivotArea>
    </format>
    <format dxfId="254">
      <pivotArea dataOnly="0" labelOnly="1" outline="0" fieldPosition="0">
        <references count="4">
          <reference field="0" count="1" selected="0">
            <x v="0"/>
          </reference>
          <reference field="1" count="1" selected="0">
            <x v="3"/>
          </reference>
          <reference field="4" count="1" selected="0">
            <x v="3"/>
          </reference>
          <reference field="5" count="1" defaultSubtotal="1">
            <x v="39"/>
          </reference>
        </references>
      </pivotArea>
    </format>
    <format dxfId="253">
      <pivotArea dataOnly="0" labelOnly="1" outline="0" fieldPosition="0">
        <references count="4">
          <reference field="0" count="1" selected="0">
            <x v="0"/>
          </reference>
          <reference field="1" count="1" selected="0">
            <x v="3"/>
          </reference>
          <reference field="4" count="1" selected="0">
            <x v="4"/>
          </reference>
          <reference field="5" count="1" defaultSubtotal="1">
            <x v="28"/>
          </reference>
        </references>
      </pivotArea>
    </format>
    <format dxfId="252">
      <pivotArea dataOnly="0" labelOnly="1" outline="0" fieldPosition="0">
        <references count="4">
          <reference field="0" count="1" selected="0">
            <x v="0"/>
          </reference>
          <reference field="1" count="1" selected="0">
            <x v="3"/>
          </reference>
          <reference field="4" count="1" selected="0">
            <x v="5"/>
          </reference>
          <reference field="5" count="1" defaultSubtotal="1">
            <x v="33"/>
          </reference>
        </references>
      </pivotArea>
    </format>
    <format dxfId="251">
      <pivotArea dataOnly="0" labelOnly="1" outline="0" fieldPosition="0">
        <references count="4">
          <reference field="0" count="1" selected="0">
            <x v="1"/>
          </reference>
          <reference field="1" count="1" selected="0">
            <x v="0"/>
          </reference>
          <reference field="4" count="1" selected="0">
            <x v="6"/>
          </reference>
          <reference field="5" count="1" defaultSubtotal="1">
            <x v="25"/>
          </reference>
        </references>
      </pivotArea>
    </format>
    <format dxfId="250">
      <pivotArea dataOnly="0" labelOnly="1" outline="0" fieldPosition="0">
        <references count="4">
          <reference field="0" count="1" selected="0">
            <x v="1"/>
          </reference>
          <reference field="1" count="1" selected="0">
            <x v="0"/>
          </reference>
          <reference field="4" count="1" selected="0">
            <x v="7"/>
          </reference>
          <reference field="5" count="1" defaultSubtotal="1">
            <x v="26"/>
          </reference>
        </references>
      </pivotArea>
    </format>
    <format dxfId="249">
      <pivotArea dataOnly="0" labelOnly="1" outline="0" fieldPosition="0">
        <references count="4">
          <reference field="0" count="1" selected="0">
            <x v="1"/>
          </reference>
          <reference field="1" count="1" selected="0">
            <x v="0"/>
          </reference>
          <reference field="4" count="1" selected="0">
            <x v="8"/>
          </reference>
          <reference field="5" count="1" defaultSubtotal="1">
            <x v="30"/>
          </reference>
        </references>
      </pivotArea>
    </format>
    <format dxfId="248">
      <pivotArea dataOnly="0" labelOnly="1" outline="0" fieldPosition="0">
        <references count="4">
          <reference field="0" count="1" selected="0">
            <x v="1"/>
          </reference>
          <reference field="1" count="1" selected="0">
            <x v="0"/>
          </reference>
          <reference field="4" count="1" selected="0">
            <x v="9"/>
          </reference>
          <reference field="5" count="1" defaultSubtotal="1">
            <x v="24"/>
          </reference>
        </references>
      </pivotArea>
    </format>
    <format dxfId="247">
      <pivotArea dataOnly="0" labelOnly="1" outline="0" fieldPosition="0">
        <references count="4">
          <reference field="0" count="1" selected="0">
            <x v="1"/>
          </reference>
          <reference field="1" count="1" selected="0">
            <x v="0"/>
          </reference>
          <reference field="4" count="1" selected="0">
            <x v="10"/>
          </reference>
          <reference field="5" count="1" defaultSubtotal="1">
            <x v="21"/>
          </reference>
        </references>
      </pivotArea>
    </format>
    <format dxfId="246">
      <pivotArea dataOnly="0" labelOnly="1" outline="0" fieldPosition="0">
        <references count="4">
          <reference field="0" count="1" selected="0">
            <x v="1"/>
          </reference>
          <reference field="1" count="1" selected="0">
            <x v="0"/>
          </reference>
          <reference field="4" count="1" selected="0">
            <x v="11"/>
          </reference>
          <reference field="5" count="1" defaultSubtotal="1">
            <x v="27"/>
          </reference>
        </references>
      </pivotArea>
    </format>
    <format dxfId="245">
      <pivotArea dataOnly="0" labelOnly="1" outline="0" fieldPosition="0">
        <references count="4">
          <reference field="0" count="1" selected="0">
            <x v="1"/>
          </reference>
          <reference field="1" count="1" selected="0">
            <x v="0"/>
          </reference>
          <reference field="4" count="1" selected="0">
            <x v="12"/>
          </reference>
          <reference field="5" count="1" defaultSubtotal="1">
            <x v="31"/>
          </reference>
        </references>
      </pivotArea>
    </format>
    <format dxfId="244">
      <pivotArea dataOnly="0" labelOnly="1" outline="0" fieldPosition="0">
        <references count="4">
          <reference field="0" count="1" selected="0">
            <x v="1"/>
          </reference>
          <reference field="1" count="1" selected="0">
            <x v="0"/>
          </reference>
          <reference field="4" count="1" selected="0">
            <x v="13"/>
          </reference>
          <reference field="5" count="1" defaultSubtotal="1">
            <x v="40"/>
          </reference>
        </references>
      </pivotArea>
    </format>
    <format dxfId="243">
      <pivotArea dataOnly="0" labelOnly="1" outline="0" fieldPosition="0">
        <references count="4">
          <reference field="0" count="1" selected="0">
            <x v="1"/>
          </reference>
          <reference field="1" count="1" selected="0">
            <x v="0"/>
          </reference>
          <reference field="4" count="1" selected="0">
            <x v="14"/>
          </reference>
          <reference field="5" count="1" defaultSubtotal="1">
            <x v="22"/>
          </reference>
        </references>
      </pivotArea>
    </format>
    <format dxfId="242">
      <pivotArea dataOnly="0" labelOnly="1" outline="0" fieldPosition="0">
        <references count="4">
          <reference field="0" count="1" selected="0">
            <x v="1"/>
          </reference>
          <reference field="1" count="1" selected="0">
            <x v="0"/>
          </reference>
          <reference field="4" count="1" selected="0">
            <x v="37"/>
          </reference>
          <reference field="5" count="1" defaultSubtotal="1">
            <x v="37"/>
          </reference>
        </references>
      </pivotArea>
    </format>
    <format dxfId="241">
      <pivotArea dataOnly="0" labelOnly="1" outline="0" fieldPosition="0">
        <references count="4">
          <reference field="0" count="1" selected="0">
            <x v="2"/>
          </reference>
          <reference field="1" count="1" selected="0">
            <x v="4"/>
          </reference>
          <reference field="4" count="1" selected="0">
            <x v="15"/>
          </reference>
          <reference field="5" count="1" defaultSubtotal="1">
            <x v="32"/>
          </reference>
        </references>
      </pivotArea>
    </format>
    <format dxfId="240">
      <pivotArea dataOnly="0" labelOnly="1" outline="0" fieldPosition="0">
        <references count="4">
          <reference field="0" count="1" selected="0">
            <x v="2"/>
          </reference>
          <reference field="1" count="1" selected="0">
            <x v="4"/>
          </reference>
          <reference field="4" count="1" selected="0">
            <x v="16"/>
          </reference>
          <reference field="5" count="1" defaultSubtotal="1">
            <x v="23"/>
          </reference>
        </references>
      </pivotArea>
    </format>
    <format dxfId="239">
      <pivotArea dataOnly="0" labelOnly="1" outline="0" fieldPosition="0">
        <references count="4">
          <reference field="0" count="1" selected="0">
            <x v="2"/>
          </reference>
          <reference field="1" count="1" selected="0">
            <x v="4"/>
          </reference>
          <reference field="4" count="1" selected="0">
            <x v="17"/>
          </reference>
          <reference field="5" count="1" defaultSubtotal="1">
            <x v="20"/>
          </reference>
        </references>
      </pivotArea>
    </format>
    <format dxfId="238">
      <pivotArea dataOnly="0" labelOnly="1" outline="0" fieldPosition="0">
        <references count="4">
          <reference field="0" count="1" selected="0">
            <x v="2"/>
          </reference>
          <reference field="1" count="1" selected="0">
            <x v="4"/>
          </reference>
          <reference field="4" count="1" selected="0">
            <x v="18"/>
          </reference>
          <reference field="5" count="1" defaultSubtotal="1">
            <x v="38"/>
          </reference>
        </references>
      </pivotArea>
    </format>
    <format dxfId="237">
      <pivotArea dataOnly="0" labelOnly="1" outline="0" fieldPosition="0">
        <references count="4">
          <reference field="0" count="1" selected="0">
            <x v="3"/>
          </reference>
          <reference field="1" count="1" selected="0">
            <x v="1"/>
          </reference>
          <reference field="4" count="1" selected="0">
            <x v="19"/>
          </reference>
          <reference field="5" count="1" defaultSubtotal="1">
            <x v="34"/>
          </reference>
        </references>
      </pivotArea>
    </format>
    <format dxfId="236">
      <pivotArea dataOnly="0" labelOnly="1" outline="0" fieldPosition="0">
        <references count="4">
          <reference field="0" count="1" selected="0">
            <x v="3"/>
          </reference>
          <reference field="1" count="1" selected="0">
            <x v="1"/>
          </reference>
          <reference field="4" count="1" selected="0">
            <x v="20"/>
          </reference>
          <reference field="5" count="1" defaultSubtotal="1">
            <x v="0"/>
          </reference>
        </references>
      </pivotArea>
    </format>
    <format dxfId="235">
      <pivotArea dataOnly="0" labelOnly="1" outline="0" fieldPosition="0">
        <references count="4">
          <reference field="0" count="1" selected="0">
            <x v="3"/>
          </reference>
          <reference field="1" count="1" selected="0">
            <x v="1"/>
          </reference>
          <reference field="4" count="1" selected="0">
            <x v="21"/>
          </reference>
          <reference field="5" count="1" defaultSubtotal="1">
            <x v="1"/>
          </reference>
        </references>
      </pivotArea>
    </format>
    <format dxfId="234">
      <pivotArea dataOnly="0" labelOnly="1" outline="0" fieldPosition="0">
        <references count="4">
          <reference field="0" count="1" selected="0">
            <x v="3"/>
          </reference>
          <reference field="1" count="1" selected="0">
            <x v="1"/>
          </reference>
          <reference field="4" count="1" selected="0">
            <x v="21"/>
          </reference>
          <reference field="5" count="1" defaultSubtotal="1">
            <x v="2"/>
          </reference>
        </references>
      </pivotArea>
    </format>
    <format dxfId="233">
      <pivotArea dataOnly="0" labelOnly="1" outline="0" fieldPosition="0">
        <references count="4">
          <reference field="0" count="1" selected="0">
            <x v="3"/>
          </reference>
          <reference field="1" count="1" selected="0">
            <x v="1"/>
          </reference>
          <reference field="4" count="1" selected="0">
            <x v="22"/>
          </reference>
          <reference field="5" count="1" defaultSubtotal="1">
            <x v="3"/>
          </reference>
        </references>
      </pivotArea>
    </format>
    <format dxfId="232">
      <pivotArea dataOnly="0" labelOnly="1" outline="0" fieldPosition="0">
        <references count="4">
          <reference field="0" count="1" selected="0">
            <x v="3"/>
          </reference>
          <reference field="1" count="1" selected="0">
            <x v="1"/>
          </reference>
          <reference field="4" count="1" selected="0">
            <x v="23"/>
          </reference>
          <reference field="5" count="1" defaultSubtotal="1">
            <x v="4"/>
          </reference>
        </references>
      </pivotArea>
    </format>
    <format dxfId="231">
      <pivotArea dataOnly="0" labelOnly="1" outline="0" fieldPosition="0">
        <references count="4">
          <reference field="0" count="1" selected="0">
            <x v="3"/>
          </reference>
          <reference field="1" count="1" selected="0">
            <x v="1"/>
          </reference>
          <reference field="4" count="1" selected="0">
            <x v="24"/>
          </reference>
          <reference field="5" count="1" defaultSubtotal="1">
            <x v="5"/>
          </reference>
        </references>
      </pivotArea>
    </format>
    <format dxfId="230">
      <pivotArea dataOnly="0" labelOnly="1" outline="0" fieldPosition="0">
        <references count="4">
          <reference field="0" count="1" selected="0">
            <x v="3"/>
          </reference>
          <reference field="1" count="1" selected="0">
            <x v="1"/>
          </reference>
          <reference field="4" count="1" selected="0">
            <x v="24"/>
          </reference>
          <reference field="5" count="1" defaultSubtotal="1">
            <x v="16"/>
          </reference>
        </references>
      </pivotArea>
    </format>
    <format dxfId="229">
      <pivotArea dataOnly="0" labelOnly="1" outline="0" fieldPosition="0">
        <references count="4">
          <reference field="0" count="1" selected="0">
            <x v="4"/>
          </reference>
          <reference field="1" count="1" selected="0">
            <x v="2"/>
          </reference>
          <reference field="4" count="1" selected="0">
            <x v="25"/>
          </reference>
          <reference field="5" count="1" defaultSubtotal="1">
            <x v="6"/>
          </reference>
        </references>
      </pivotArea>
    </format>
    <format dxfId="228">
      <pivotArea dataOnly="0" labelOnly="1" outline="0" fieldPosition="0">
        <references count="4">
          <reference field="0" count="1" selected="0">
            <x v="5"/>
          </reference>
          <reference field="1" count="1" selected="0">
            <x v="5"/>
          </reference>
          <reference field="4" count="1" selected="0">
            <x v="26"/>
          </reference>
          <reference field="5" count="1" defaultSubtotal="1">
            <x v="7"/>
          </reference>
        </references>
      </pivotArea>
    </format>
    <format dxfId="227">
      <pivotArea dataOnly="0" labelOnly="1" outline="0" fieldPosition="0">
        <references count="4">
          <reference field="0" count="1" selected="0">
            <x v="5"/>
          </reference>
          <reference field="1" count="1" selected="0">
            <x v="5"/>
          </reference>
          <reference field="4" count="1" selected="0">
            <x v="26"/>
          </reference>
          <reference field="5" count="1" defaultSubtotal="1">
            <x v="35"/>
          </reference>
        </references>
      </pivotArea>
    </format>
    <format dxfId="226">
      <pivotArea dataOnly="0" labelOnly="1" outline="0" fieldPosition="0">
        <references count="4">
          <reference field="0" count="1" selected="0">
            <x v="5"/>
          </reference>
          <reference field="1" count="1" selected="0">
            <x v="5"/>
          </reference>
          <reference field="4" count="1" selected="0">
            <x v="27"/>
          </reference>
          <reference field="5" count="1" defaultSubtotal="1">
            <x v="8"/>
          </reference>
        </references>
      </pivotArea>
    </format>
    <format dxfId="225">
      <pivotArea dataOnly="0" labelOnly="1" outline="0" fieldPosition="0">
        <references count="4">
          <reference field="0" count="1" selected="0">
            <x v="5"/>
          </reference>
          <reference field="1" count="1" selected="0">
            <x v="5"/>
          </reference>
          <reference field="4" count="1" selected="0">
            <x v="28"/>
          </reference>
          <reference field="5" count="1" defaultSubtotal="1">
            <x v="9"/>
          </reference>
        </references>
      </pivotArea>
    </format>
    <format dxfId="224">
      <pivotArea dataOnly="0" labelOnly="1" outline="0" fieldPosition="0">
        <references count="4">
          <reference field="0" count="1" selected="0">
            <x v="5"/>
          </reference>
          <reference field="1" count="1" selected="0">
            <x v="5"/>
          </reference>
          <reference field="4" count="1" selected="0">
            <x v="28"/>
          </reference>
          <reference field="5" count="1" defaultSubtotal="1">
            <x v="41"/>
          </reference>
        </references>
      </pivotArea>
    </format>
    <format dxfId="223">
      <pivotArea dataOnly="0" labelOnly="1" outline="0" fieldPosition="0">
        <references count="4">
          <reference field="0" count="1" selected="0">
            <x v="5"/>
          </reference>
          <reference field="1" count="1" selected="0">
            <x v="5"/>
          </reference>
          <reference field="4" count="1" selected="0">
            <x v="29"/>
          </reference>
          <reference field="5" count="1" defaultSubtotal="1">
            <x v="10"/>
          </reference>
        </references>
      </pivotArea>
    </format>
    <format dxfId="222">
      <pivotArea dataOnly="0" labelOnly="1" outline="0" fieldPosition="0">
        <references count="4">
          <reference field="0" count="1" selected="0">
            <x v="5"/>
          </reference>
          <reference field="1" count="1" selected="0">
            <x v="5"/>
          </reference>
          <reference field="4" count="1" selected="0">
            <x v="30"/>
          </reference>
          <reference field="5" count="1" defaultSubtotal="1">
            <x v="11"/>
          </reference>
        </references>
      </pivotArea>
    </format>
    <format dxfId="221">
      <pivotArea dataOnly="0" labelOnly="1" outline="0" fieldPosition="0">
        <references count="4">
          <reference field="0" count="1" selected="0">
            <x v="5"/>
          </reference>
          <reference field="1" count="1" selected="0">
            <x v="5"/>
          </reference>
          <reference field="4" count="1" selected="0">
            <x v="31"/>
          </reference>
          <reference field="5" count="1" defaultSubtotal="1">
            <x v="17"/>
          </reference>
        </references>
      </pivotArea>
    </format>
    <format dxfId="220">
      <pivotArea dataOnly="0" labelOnly="1" outline="0" fieldPosition="0">
        <references count="4">
          <reference field="0" count="1" selected="0">
            <x v="5"/>
          </reference>
          <reference field="1" count="1" selected="0">
            <x v="5"/>
          </reference>
          <reference field="4" count="1" selected="0">
            <x v="31"/>
          </reference>
          <reference field="5" count="1" defaultSubtotal="1">
            <x v="36"/>
          </reference>
        </references>
      </pivotArea>
    </format>
    <format dxfId="219">
      <pivotArea dataOnly="0" labelOnly="1" outline="0" fieldPosition="0">
        <references count="4">
          <reference field="0" count="1" selected="0">
            <x v="5"/>
          </reference>
          <reference field="1" count="1" selected="0">
            <x v="5"/>
          </reference>
          <reference field="4" count="1" selected="0">
            <x v="32"/>
          </reference>
          <reference field="5" count="1" defaultSubtotal="1">
            <x v="12"/>
          </reference>
        </references>
      </pivotArea>
    </format>
    <format dxfId="218">
      <pivotArea dataOnly="0" labelOnly="1" outline="0" fieldPosition="0">
        <references count="4">
          <reference field="0" count="1" selected="0">
            <x v="5"/>
          </reference>
          <reference field="1" count="1" selected="0">
            <x v="5"/>
          </reference>
          <reference field="4" count="1" selected="0">
            <x v="33"/>
          </reference>
          <reference field="5" count="1" defaultSubtotal="1">
            <x v="13"/>
          </reference>
        </references>
      </pivotArea>
    </format>
    <format dxfId="217">
      <pivotArea dataOnly="0" labelOnly="1" outline="0" fieldPosition="0">
        <references count="4">
          <reference field="0" count="1" selected="0">
            <x v="5"/>
          </reference>
          <reference field="1" count="1" selected="0">
            <x v="5"/>
          </reference>
          <reference field="4" count="1" selected="0">
            <x v="34"/>
          </reference>
          <reference field="5" count="1" defaultSubtotal="1">
            <x v="14"/>
          </reference>
        </references>
      </pivotArea>
    </format>
    <format dxfId="216">
      <pivotArea dataOnly="0" labelOnly="1" outline="0" fieldPosition="0">
        <references count="4">
          <reference field="0" count="1" selected="0">
            <x v="5"/>
          </reference>
          <reference field="1" count="1" selected="0">
            <x v="5"/>
          </reference>
          <reference field="4" count="1" selected="0">
            <x v="35"/>
          </reference>
          <reference field="5" count="1" defaultSubtotal="1">
            <x v="15"/>
          </reference>
        </references>
      </pivotArea>
    </format>
    <format dxfId="215">
      <pivotArea dataOnly="0" labelOnly="1" outline="0" fieldPosition="0">
        <references count="4">
          <reference field="0" count="1" selected="0">
            <x v="5"/>
          </reference>
          <reference field="1" count="1" selected="0">
            <x v="5"/>
          </reference>
          <reference field="4" count="1" selected="0">
            <x v="36"/>
          </reference>
          <reference field="5" count="1" defaultSubtotal="1">
            <x v="10"/>
          </reference>
        </references>
      </pivotArea>
    </format>
    <format dxfId="214">
      <pivotArea dataOnly="0" labelOnly="1" outline="0" fieldPosition="0">
        <references count="6">
          <reference field="0" count="1" selected="0">
            <x v="0"/>
          </reference>
          <reference field="1" count="1" selected="0">
            <x v="3"/>
          </reference>
          <reference field="4" count="1" selected="0">
            <x v="0"/>
          </reference>
          <reference field="5" count="1" selected="0">
            <x v="18"/>
          </reference>
          <reference field="8" count="1" selected="0">
            <x v="0"/>
          </reference>
          <reference field="9" count="1">
            <x v="65"/>
          </reference>
        </references>
      </pivotArea>
    </format>
    <format dxfId="213">
      <pivotArea dataOnly="0" labelOnly="1" outline="0" fieldPosition="0">
        <references count="6">
          <reference field="0" count="1" selected="0">
            <x v="0"/>
          </reference>
          <reference field="1" count="1" selected="0">
            <x v="3"/>
          </reference>
          <reference field="4" count="1" selected="0">
            <x v="1"/>
          </reference>
          <reference field="5" count="1" selected="0">
            <x v="19"/>
          </reference>
          <reference field="8" count="1" selected="0">
            <x v="1"/>
          </reference>
          <reference field="9" count="1">
            <x v="57"/>
          </reference>
        </references>
      </pivotArea>
    </format>
    <format dxfId="212">
      <pivotArea dataOnly="0" labelOnly="1" outline="0" fieldPosition="0">
        <references count="6">
          <reference field="0" count="1" selected="0">
            <x v="0"/>
          </reference>
          <reference field="1" count="1" selected="0">
            <x v="3"/>
          </reference>
          <reference field="4" count="1" selected="0">
            <x v="1"/>
          </reference>
          <reference field="5" count="1" selected="0">
            <x v="19"/>
          </reference>
          <reference field="8" count="1" selected="0">
            <x v="2"/>
          </reference>
          <reference field="9" count="1">
            <x v="58"/>
          </reference>
        </references>
      </pivotArea>
    </format>
    <format dxfId="211">
      <pivotArea dataOnly="0" labelOnly="1" outline="0" fieldPosition="0">
        <references count="6">
          <reference field="0" count="1" selected="0">
            <x v="0"/>
          </reference>
          <reference field="1" count="1" selected="0">
            <x v="3"/>
          </reference>
          <reference field="4" count="1" selected="0">
            <x v="1"/>
          </reference>
          <reference field="5" count="1" selected="0">
            <x v="19"/>
          </reference>
          <reference field="8" count="1" selected="0">
            <x v="3"/>
          </reference>
          <reference field="9" count="1">
            <x v="60"/>
          </reference>
        </references>
      </pivotArea>
    </format>
    <format dxfId="210">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4"/>
          </reference>
          <reference field="9" count="1">
            <x v="94"/>
          </reference>
        </references>
      </pivotArea>
    </format>
    <format dxfId="209">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5"/>
          </reference>
          <reference field="9" count="1">
            <x v="77"/>
          </reference>
        </references>
      </pivotArea>
    </format>
    <format dxfId="208">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6"/>
          </reference>
          <reference field="9" count="1">
            <x v="103"/>
          </reference>
        </references>
      </pivotArea>
    </format>
    <format dxfId="207">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7"/>
          </reference>
          <reference field="9" count="1">
            <x v="69"/>
          </reference>
        </references>
      </pivotArea>
    </format>
    <format dxfId="206">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8"/>
          </reference>
          <reference field="9" count="1">
            <x v="98"/>
          </reference>
        </references>
      </pivotArea>
    </format>
    <format dxfId="205">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9"/>
          </reference>
          <reference field="9" count="1">
            <x v="99"/>
          </reference>
        </references>
      </pivotArea>
    </format>
    <format dxfId="204">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0"/>
          </reference>
          <reference field="9" count="1">
            <x v="102"/>
          </reference>
        </references>
      </pivotArea>
    </format>
    <format dxfId="203">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1"/>
          </reference>
          <reference field="9" count="1">
            <x v="95"/>
          </reference>
        </references>
      </pivotArea>
    </format>
    <format dxfId="202">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2"/>
          </reference>
          <reference field="9" count="1">
            <x v="96"/>
          </reference>
        </references>
      </pivotArea>
    </format>
    <format dxfId="201">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3"/>
          </reference>
          <reference field="9" count="1">
            <x v="79"/>
          </reference>
        </references>
      </pivotArea>
    </format>
    <format dxfId="200">
      <pivotArea dataOnly="0" labelOnly="1" outline="0" fieldPosition="0">
        <references count="6">
          <reference field="0" count="1" selected="0">
            <x v="0"/>
          </reference>
          <reference field="1" count="1" selected="0">
            <x v="3"/>
          </reference>
          <reference field="4" count="1" selected="0">
            <x v="3"/>
          </reference>
          <reference field="5" count="1" selected="0">
            <x v="39"/>
          </reference>
          <reference field="8" count="1" selected="0">
            <x v="14"/>
          </reference>
          <reference field="9" count="1">
            <x v="92"/>
          </reference>
        </references>
      </pivotArea>
    </format>
    <format dxfId="199">
      <pivotArea dataOnly="0" labelOnly="1" outline="0" fieldPosition="0">
        <references count="6">
          <reference field="0" count="1" selected="0">
            <x v="0"/>
          </reference>
          <reference field="1" count="1" selected="0">
            <x v="3"/>
          </reference>
          <reference field="4" count="1" selected="0">
            <x v="3"/>
          </reference>
          <reference field="5" count="1" selected="0">
            <x v="39"/>
          </reference>
          <reference field="8" count="1" selected="0">
            <x v="15"/>
          </reference>
          <reference field="9" count="1">
            <x v="91"/>
          </reference>
        </references>
      </pivotArea>
    </format>
    <format dxfId="198">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6"/>
          </reference>
          <reference field="9" count="1">
            <x v="81"/>
          </reference>
        </references>
      </pivotArea>
    </format>
    <format dxfId="197">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7"/>
          </reference>
          <reference field="9" count="1">
            <x v="41"/>
          </reference>
        </references>
      </pivotArea>
    </format>
    <format dxfId="196">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8"/>
          </reference>
          <reference field="9" count="1">
            <x v="72"/>
          </reference>
        </references>
      </pivotArea>
    </format>
    <format dxfId="195">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9"/>
          </reference>
          <reference field="9" count="1">
            <x v="73"/>
          </reference>
        </references>
      </pivotArea>
    </format>
    <format dxfId="194">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20"/>
          </reference>
          <reference field="9" count="1">
            <x v="85"/>
          </reference>
        </references>
      </pivotArea>
    </format>
    <format dxfId="193">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21"/>
          </reference>
          <reference field="9" count="1">
            <x v="80"/>
          </reference>
        </references>
      </pivotArea>
    </format>
    <format dxfId="192">
      <pivotArea dataOnly="0" labelOnly="1" outline="0" fieldPosition="0">
        <references count="6">
          <reference field="0" count="1" selected="0">
            <x v="0"/>
          </reference>
          <reference field="1" count="1" selected="0">
            <x v="3"/>
          </reference>
          <reference field="4" count="1" selected="0">
            <x v="5"/>
          </reference>
          <reference field="5" count="1" selected="0">
            <x v="33"/>
          </reference>
          <reference field="8" count="1" selected="0">
            <x v="22"/>
          </reference>
          <reference field="9" count="1">
            <x v="55"/>
          </reference>
        </references>
      </pivotArea>
    </format>
    <format dxfId="191">
      <pivotArea dataOnly="0" labelOnly="1" outline="0" fieldPosition="0">
        <references count="6">
          <reference field="0" count="1" selected="0">
            <x v="0"/>
          </reference>
          <reference field="1" count="1" selected="0">
            <x v="3"/>
          </reference>
          <reference field="4" count="1" selected="0">
            <x v="5"/>
          </reference>
          <reference field="5" count="1" selected="0">
            <x v="33"/>
          </reference>
          <reference field="8" count="1" selected="0">
            <x v="23"/>
          </reference>
          <reference field="9" count="1">
            <x v="59"/>
          </reference>
        </references>
      </pivotArea>
    </format>
    <format dxfId="190">
      <pivotArea dataOnly="0" labelOnly="1" outline="0" fieldPosition="0">
        <references count="6">
          <reference field="0" count="1" selected="0">
            <x v="1"/>
          </reference>
          <reference field="1" count="1" selected="0">
            <x v="0"/>
          </reference>
          <reference field="4" count="1" selected="0">
            <x v="6"/>
          </reference>
          <reference field="5" count="1" selected="0">
            <x v="25"/>
          </reference>
          <reference field="8" count="1" selected="0">
            <x v="24"/>
          </reference>
          <reference field="9" count="1">
            <x v="90"/>
          </reference>
        </references>
      </pivotArea>
    </format>
    <format dxfId="189">
      <pivotArea dataOnly="0" labelOnly="1" outline="0" fieldPosition="0">
        <references count="6">
          <reference field="0" count="1" selected="0">
            <x v="1"/>
          </reference>
          <reference field="1" count="1" selected="0">
            <x v="0"/>
          </reference>
          <reference field="4" count="1" selected="0">
            <x v="6"/>
          </reference>
          <reference field="5" count="1" selected="0">
            <x v="25"/>
          </reference>
          <reference field="8" count="1" selected="0">
            <x v="25"/>
          </reference>
          <reference field="9" count="1">
            <x v="66"/>
          </reference>
        </references>
      </pivotArea>
    </format>
    <format dxfId="188">
      <pivotArea dataOnly="0" labelOnly="1" outline="0" fieldPosition="0">
        <references count="6">
          <reference field="0" count="1" selected="0">
            <x v="1"/>
          </reference>
          <reference field="1" count="1" selected="0">
            <x v="0"/>
          </reference>
          <reference field="4" count="1" selected="0">
            <x v="7"/>
          </reference>
          <reference field="5" count="1" selected="0">
            <x v="26"/>
          </reference>
          <reference field="8" count="1" selected="0">
            <x v="27"/>
          </reference>
          <reference field="9" count="1">
            <x v="54"/>
          </reference>
        </references>
      </pivotArea>
    </format>
    <format dxfId="187">
      <pivotArea dataOnly="0" labelOnly="1" outline="0" fieldPosition="0">
        <references count="6">
          <reference field="0" count="1" selected="0">
            <x v="1"/>
          </reference>
          <reference field="1" count="1" selected="0">
            <x v="0"/>
          </reference>
          <reference field="4" count="1" selected="0">
            <x v="7"/>
          </reference>
          <reference field="5" count="1" selected="0">
            <x v="26"/>
          </reference>
          <reference field="8" count="1" selected="0">
            <x v="28"/>
          </reference>
          <reference field="9" count="1">
            <x v="53"/>
          </reference>
        </references>
      </pivotArea>
    </format>
    <format dxfId="186">
      <pivotArea dataOnly="0" labelOnly="1" outline="0" fieldPosition="0">
        <references count="6">
          <reference field="0" count="1" selected="0">
            <x v="1"/>
          </reference>
          <reference field="1" count="1" selected="0">
            <x v="0"/>
          </reference>
          <reference field="4" count="1" selected="0">
            <x v="8"/>
          </reference>
          <reference field="5" count="1" selected="0">
            <x v="30"/>
          </reference>
          <reference field="8" count="1" selected="0">
            <x v="29"/>
          </reference>
          <reference field="9" count="1">
            <x v="101"/>
          </reference>
        </references>
      </pivotArea>
    </format>
    <format dxfId="185">
      <pivotArea dataOnly="0" labelOnly="1" outline="0" fieldPosition="0">
        <references count="6">
          <reference field="0" count="1" selected="0">
            <x v="1"/>
          </reference>
          <reference field="1" count="1" selected="0">
            <x v="0"/>
          </reference>
          <reference field="4" count="1" selected="0">
            <x v="9"/>
          </reference>
          <reference field="5" count="1" selected="0">
            <x v="24"/>
          </reference>
          <reference field="8" count="1" selected="0">
            <x v="30"/>
          </reference>
          <reference field="9" count="2">
            <x v="0"/>
            <x v="93"/>
          </reference>
        </references>
      </pivotArea>
    </format>
    <format dxfId="184">
      <pivotArea dataOnly="0" labelOnly="1" outline="0" fieldPosition="0">
        <references count="6">
          <reference field="0" count="1" selected="0">
            <x v="1"/>
          </reference>
          <reference field="1" count="1" selected="0">
            <x v="0"/>
          </reference>
          <reference field="4" count="1" selected="0">
            <x v="9"/>
          </reference>
          <reference field="5" count="1" selected="0">
            <x v="24"/>
          </reference>
          <reference field="8" count="1" selected="0">
            <x v="31"/>
          </reference>
          <reference field="9" count="1">
            <x v="61"/>
          </reference>
        </references>
      </pivotArea>
    </format>
    <format dxfId="183">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2"/>
          </reference>
          <reference field="9" count="1">
            <x v="100"/>
          </reference>
        </references>
      </pivotArea>
    </format>
    <format dxfId="182">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3"/>
          </reference>
          <reference field="9" count="1">
            <x v="49"/>
          </reference>
        </references>
      </pivotArea>
    </format>
    <format dxfId="181">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4"/>
          </reference>
          <reference field="9" count="1">
            <x v="71"/>
          </reference>
        </references>
      </pivotArea>
    </format>
    <format dxfId="180">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5"/>
          </reference>
          <reference field="9" count="1">
            <x v="44"/>
          </reference>
        </references>
      </pivotArea>
    </format>
    <format dxfId="179">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6"/>
          </reference>
          <reference field="9" count="1">
            <x v="47"/>
          </reference>
        </references>
      </pivotArea>
    </format>
    <format dxfId="178">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7"/>
          </reference>
          <reference field="9" count="1">
            <x v="97"/>
          </reference>
        </references>
      </pivotArea>
    </format>
    <format dxfId="177">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38"/>
          </reference>
          <reference field="9" count="1">
            <x v="87"/>
          </reference>
        </references>
      </pivotArea>
    </format>
    <format dxfId="176">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39"/>
          </reference>
          <reference field="9" count="1">
            <x v="86"/>
          </reference>
        </references>
      </pivotArea>
    </format>
    <format dxfId="175">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40"/>
          </reference>
          <reference field="9" count="1">
            <x v="43"/>
          </reference>
        </references>
      </pivotArea>
    </format>
    <format dxfId="174">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41"/>
          </reference>
          <reference field="9" count="1">
            <x v="88"/>
          </reference>
        </references>
      </pivotArea>
    </format>
    <format dxfId="173">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42"/>
          </reference>
          <reference field="9" count="1">
            <x v="62"/>
          </reference>
        </references>
      </pivotArea>
    </format>
    <format dxfId="172">
      <pivotArea dataOnly="0" labelOnly="1" outline="0" fieldPosition="0">
        <references count="6">
          <reference field="0" count="1" selected="0">
            <x v="1"/>
          </reference>
          <reference field="1" count="1" selected="0">
            <x v="0"/>
          </reference>
          <reference field="4" count="1" selected="0">
            <x v="12"/>
          </reference>
          <reference field="5" count="1" selected="0">
            <x v="31"/>
          </reference>
          <reference field="8" count="1" selected="0">
            <x v="43"/>
          </reference>
          <reference field="9" count="1">
            <x v="63"/>
          </reference>
        </references>
      </pivotArea>
    </format>
    <format dxfId="171">
      <pivotArea dataOnly="0" labelOnly="1" outline="0" fieldPosition="0">
        <references count="6">
          <reference field="0" count="1" selected="0">
            <x v="1"/>
          </reference>
          <reference field="1" count="1" selected="0">
            <x v="0"/>
          </reference>
          <reference field="4" count="1" selected="0">
            <x v="13"/>
          </reference>
          <reference field="5" count="1" selected="0">
            <x v="40"/>
          </reference>
          <reference field="8" count="1" selected="0">
            <x v="44"/>
          </reference>
          <reference field="9" count="1">
            <x v="75"/>
          </reference>
        </references>
      </pivotArea>
    </format>
    <format dxfId="170">
      <pivotArea dataOnly="0" labelOnly="1" outline="0" fieldPosition="0">
        <references count="6">
          <reference field="0" count="1" selected="0">
            <x v="1"/>
          </reference>
          <reference field="1" count="1" selected="0">
            <x v="0"/>
          </reference>
          <reference field="4" count="1" selected="0">
            <x v="13"/>
          </reference>
          <reference field="5" count="1" selected="0">
            <x v="40"/>
          </reference>
          <reference field="8" count="1" selected="0">
            <x v="45"/>
          </reference>
          <reference field="9" count="1">
            <x v="56"/>
          </reference>
        </references>
      </pivotArea>
    </format>
    <format dxfId="169">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6"/>
          </reference>
          <reference field="9" count="1">
            <x v="78"/>
          </reference>
        </references>
      </pivotArea>
    </format>
    <format dxfId="168">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7"/>
          </reference>
          <reference field="9" count="1">
            <x v="45"/>
          </reference>
        </references>
      </pivotArea>
    </format>
    <format dxfId="167">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8"/>
          </reference>
          <reference field="9" count="1">
            <x v="76"/>
          </reference>
        </references>
      </pivotArea>
    </format>
    <format dxfId="166">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9"/>
          </reference>
          <reference field="9" count="1">
            <x v="84"/>
          </reference>
        </references>
      </pivotArea>
    </format>
    <format dxfId="165">
      <pivotArea dataOnly="0" labelOnly="1" outline="0" fieldPosition="0">
        <references count="6">
          <reference field="0" count="1" selected="0">
            <x v="1"/>
          </reference>
          <reference field="1" count="1" selected="0">
            <x v="0"/>
          </reference>
          <reference field="4" count="1" selected="0">
            <x v="37"/>
          </reference>
          <reference field="5" count="1" selected="0">
            <x v="37"/>
          </reference>
          <reference field="8" count="1" selected="0">
            <x v="26"/>
          </reference>
          <reference field="9" count="1">
            <x v="64"/>
          </reference>
        </references>
      </pivotArea>
    </format>
    <format dxfId="164">
      <pivotArea dataOnly="0" labelOnly="1" outline="0" fieldPosition="0">
        <references count="6">
          <reference field="0" count="1" selected="0">
            <x v="2"/>
          </reference>
          <reference field="1" count="1" selected="0">
            <x v="4"/>
          </reference>
          <reference field="4" count="1" selected="0">
            <x v="15"/>
          </reference>
          <reference field="5" count="1" selected="0">
            <x v="32"/>
          </reference>
          <reference field="8" count="1" selected="0">
            <x v="50"/>
          </reference>
          <reference field="9" count="1">
            <x v="89"/>
          </reference>
        </references>
      </pivotArea>
    </format>
    <format dxfId="163">
      <pivotArea dataOnly="0" labelOnly="1" outline="0" fieldPosition="0">
        <references count="6">
          <reference field="0" count="1" selected="0">
            <x v="2"/>
          </reference>
          <reference field="1" count="1" selected="0">
            <x v="4"/>
          </reference>
          <reference field="4" count="1" selected="0">
            <x v="16"/>
          </reference>
          <reference field="5" count="1" selected="0">
            <x v="23"/>
          </reference>
          <reference field="8" count="1" selected="0">
            <x v="51"/>
          </reference>
          <reference field="9" count="1">
            <x v="42"/>
          </reference>
        </references>
      </pivotArea>
    </format>
    <format dxfId="162">
      <pivotArea dataOnly="0" labelOnly="1" outline="0" fieldPosition="0">
        <references count="6">
          <reference field="0" count="1" selected="0">
            <x v="2"/>
          </reference>
          <reference field="1" count="1" selected="0">
            <x v="4"/>
          </reference>
          <reference field="4" count="1" selected="0">
            <x v="17"/>
          </reference>
          <reference field="5" count="1" selected="0">
            <x v="20"/>
          </reference>
          <reference field="8" count="1" selected="0">
            <x v="52"/>
          </reference>
          <reference field="9" count="1">
            <x v="67"/>
          </reference>
        </references>
      </pivotArea>
    </format>
    <format dxfId="161">
      <pivotArea dataOnly="0" labelOnly="1" outline="0" fieldPosition="0">
        <references count="6">
          <reference field="0" count="1" selected="0">
            <x v="2"/>
          </reference>
          <reference field="1" count="1" selected="0">
            <x v="4"/>
          </reference>
          <reference field="4" count="1" selected="0">
            <x v="18"/>
          </reference>
          <reference field="5" count="1" selected="0">
            <x v="38"/>
          </reference>
          <reference field="8" count="1" selected="0">
            <x v="53"/>
          </reference>
          <reference field="9" count="1">
            <x v="68"/>
          </reference>
        </references>
      </pivotArea>
    </format>
    <format dxfId="160">
      <pivotArea dataOnly="0" labelOnly="1" outline="0" fieldPosition="0">
        <references count="6">
          <reference field="0" count="1" selected="0">
            <x v="2"/>
          </reference>
          <reference field="1" count="1" selected="0">
            <x v="4"/>
          </reference>
          <reference field="4" count="1" selected="0">
            <x v="18"/>
          </reference>
          <reference field="5" count="1" selected="0">
            <x v="38"/>
          </reference>
          <reference field="8" count="1" selected="0">
            <x v="54"/>
          </reference>
          <reference field="9" count="1">
            <x v="74"/>
          </reference>
        </references>
      </pivotArea>
    </format>
    <format dxfId="159">
      <pivotArea dataOnly="0" labelOnly="1" outline="0" fieldPosition="0">
        <references count="6">
          <reference field="0" count="1" selected="0">
            <x v="2"/>
          </reference>
          <reference field="1" count="1" selected="0">
            <x v="4"/>
          </reference>
          <reference field="4" count="1" selected="0">
            <x v="18"/>
          </reference>
          <reference field="5" count="1" selected="0">
            <x v="38"/>
          </reference>
          <reference field="8" count="1" selected="0">
            <x v="55"/>
          </reference>
          <reference field="9" count="1">
            <x v="46"/>
          </reference>
        </references>
      </pivotArea>
    </format>
    <format dxfId="158">
      <pivotArea dataOnly="0" labelOnly="1" outline="0" fieldPosition="0">
        <references count="6">
          <reference field="0" count="1" selected="0">
            <x v="3"/>
          </reference>
          <reference field="1" count="1" selected="0">
            <x v="1"/>
          </reference>
          <reference field="4" count="1" selected="0">
            <x v="19"/>
          </reference>
          <reference field="5" count="1" selected="0">
            <x v="34"/>
          </reference>
          <reference field="8" count="1" selected="0">
            <x v="56"/>
          </reference>
          <reference field="9" count="1">
            <x v="1"/>
          </reference>
        </references>
      </pivotArea>
    </format>
    <format dxfId="157">
      <pivotArea dataOnly="0" labelOnly="1" outline="0" fieldPosition="0">
        <references count="6">
          <reference field="0" count="1" selected="0">
            <x v="3"/>
          </reference>
          <reference field="1" count="1" selected="0">
            <x v="1"/>
          </reference>
          <reference field="4" count="1" selected="0">
            <x v="20"/>
          </reference>
          <reference field="5" count="1" selected="0">
            <x v="0"/>
          </reference>
          <reference field="8" count="1" selected="0">
            <x v="57"/>
          </reference>
          <reference field="9" count="1">
            <x v="2"/>
          </reference>
        </references>
      </pivotArea>
    </format>
    <format dxfId="156">
      <pivotArea dataOnly="0" labelOnly="1" outline="0" fieldPosition="0">
        <references count="6">
          <reference field="0" count="1" selected="0">
            <x v="3"/>
          </reference>
          <reference field="1" count="1" selected="0">
            <x v="1"/>
          </reference>
          <reference field="4" count="1" selected="0">
            <x v="21"/>
          </reference>
          <reference field="5" count="1" selected="0">
            <x v="1"/>
          </reference>
          <reference field="8" count="1" selected="0">
            <x v="58"/>
          </reference>
          <reference field="9" count="1">
            <x v="3"/>
          </reference>
        </references>
      </pivotArea>
    </format>
    <format dxfId="155">
      <pivotArea dataOnly="0" labelOnly="1" outline="0" fieldPosition="0">
        <references count="6">
          <reference field="0" count="1" selected="0">
            <x v="3"/>
          </reference>
          <reference field="1" count="1" selected="0">
            <x v="1"/>
          </reference>
          <reference field="4" count="1" selected="0">
            <x v="21"/>
          </reference>
          <reference field="5" count="1" selected="0">
            <x v="1"/>
          </reference>
          <reference field="8" count="1" selected="0">
            <x v="59"/>
          </reference>
          <reference field="9" count="1">
            <x v="4"/>
          </reference>
        </references>
      </pivotArea>
    </format>
    <format dxfId="154">
      <pivotArea dataOnly="0" labelOnly="1" outline="0" fieldPosition="0">
        <references count="6">
          <reference field="0" count="1" selected="0">
            <x v="3"/>
          </reference>
          <reference field="1" count="1" selected="0">
            <x v="1"/>
          </reference>
          <reference field="4" count="1" selected="0">
            <x v="21"/>
          </reference>
          <reference field="5" count="1" selected="0">
            <x v="2"/>
          </reference>
          <reference field="8" count="1" selected="0">
            <x v="58"/>
          </reference>
          <reference field="9" count="1">
            <x v="3"/>
          </reference>
        </references>
      </pivotArea>
    </format>
    <format dxfId="153">
      <pivotArea dataOnly="0" labelOnly="1" outline="0" fieldPosition="0">
        <references count="6">
          <reference field="0" count="1" selected="0">
            <x v="3"/>
          </reference>
          <reference field="1" count="1" selected="0">
            <x v="1"/>
          </reference>
          <reference field="4" count="1" selected="0">
            <x v="21"/>
          </reference>
          <reference field="5" count="1" selected="0">
            <x v="2"/>
          </reference>
          <reference field="8" count="1" selected="0">
            <x v="59"/>
          </reference>
          <reference field="9" count="1">
            <x v="4"/>
          </reference>
        </references>
      </pivotArea>
    </format>
    <format dxfId="152">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0"/>
          </reference>
          <reference field="9" count="1">
            <x v="5"/>
          </reference>
        </references>
      </pivotArea>
    </format>
    <format dxfId="151">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1"/>
          </reference>
          <reference field="9" count="1">
            <x v="6"/>
          </reference>
        </references>
      </pivotArea>
    </format>
    <format dxfId="150">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2"/>
          </reference>
          <reference field="9" count="1">
            <x v="7"/>
          </reference>
        </references>
      </pivotArea>
    </format>
    <format dxfId="149">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3"/>
          </reference>
          <reference field="9" count="1">
            <x v="8"/>
          </reference>
        </references>
      </pivotArea>
    </format>
    <format dxfId="148">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4"/>
          </reference>
          <reference field="9" count="1">
            <x v="9"/>
          </reference>
        </references>
      </pivotArea>
    </format>
    <format dxfId="147">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5"/>
          </reference>
          <reference field="9" count="1">
            <x v="10"/>
          </reference>
        </references>
      </pivotArea>
    </format>
    <format dxfId="146">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6"/>
          </reference>
          <reference field="9" count="1">
            <x v="11"/>
          </reference>
        </references>
      </pivotArea>
    </format>
    <format dxfId="145">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7"/>
          </reference>
          <reference field="9" count="1">
            <x v="12"/>
          </reference>
        </references>
      </pivotArea>
    </format>
    <format dxfId="144">
      <pivotArea dataOnly="0" labelOnly="1" outline="0" fieldPosition="0">
        <references count="6">
          <reference field="0" count="1" selected="0">
            <x v="3"/>
          </reference>
          <reference field="1" count="1" selected="0">
            <x v="1"/>
          </reference>
          <reference field="4" count="1" selected="0">
            <x v="23"/>
          </reference>
          <reference field="5" count="1" selected="0">
            <x v="4"/>
          </reference>
          <reference field="8" count="1" selected="0">
            <x v="68"/>
          </reference>
          <reference field="9" count="1">
            <x v="13"/>
          </reference>
        </references>
      </pivotArea>
    </format>
    <format dxfId="143">
      <pivotArea dataOnly="0" labelOnly="1" outline="0" fieldPosition="0">
        <references count="6">
          <reference field="0" count="1" selected="0">
            <x v="3"/>
          </reference>
          <reference field="1" count="1" selected="0">
            <x v="1"/>
          </reference>
          <reference field="4" count="1" selected="0">
            <x v="24"/>
          </reference>
          <reference field="5" count="1" selected="0">
            <x v="5"/>
          </reference>
          <reference field="8" count="1" selected="0">
            <x v="70"/>
          </reference>
          <reference field="9" count="1">
            <x v="15"/>
          </reference>
        </references>
      </pivotArea>
    </format>
    <format dxfId="142">
      <pivotArea dataOnly="0" labelOnly="1" outline="0" fieldPosition="0">
        <references count="6">
          <reference field="0" count="1" selected="0">
            <x v="3"/>
          </reference>
          <reference field="1" count="1" selected="0">
            <x v="1"/>
          </reference>
          <reference field="4" count="1" selected="0">
            <x v="24"/>
          </reference>
          <reference field="5" count="1" selected="0">
            <x v="5"/>
          </reference>
          <reference field="8" count="1" selected="0">
            <x v="71"/>
          </reference>
          <reference field="9" count="1">
            <x v="16"/>
          </reference>
        </references>
      </pivotArea>
    </format>
    <format dxfId="141">
      <pivotArea dataOnly="0" labelOnly="1" outline="0" fieldPosition="0">
        <references count="6">
          <reference field="0" count="1" selected="0">
            <x v="3"/>
          </reference>
          <reference field="1" count="1" selected="0">
            <x v="1"/>
          </reference>
          <reference field="4" count="1" selected="0">
            <x v="24"/>
          </reference>
          <reference field="5" count="1" selected="0">
            <x v="5"/>
          </reference>
          <reference field="8" count="1" selected="0">
            <x v="72"/>
          </reference>
          <reference field="9" count="1">
            <x v="17"/>
          </reference>
        </references>
      </pivotArea>
    </format>
    <format dxfId="140">
      <pivotArea dataOnly="0" labelOnly="1" outline="0" fieldPosition="0">
        <references count="6">
          <reference field="0" count="1" selected="0">
            <x v="3"/>
          </reference>
          <reference field="1" count="1" selected="0">
            <x v="1"/>
          </reference>
          <reference field="4" count="1" selected="0">
            <x v="24"/>
          </reference>
          <reference field="5" count="1" selected="0">
            <x v="16"/>
          </reference>
          <reference field="8" count="1" selected="0">
            <x v="69"/>
          </reference>
          <reference field="9" count="1">
            <x v="14"/>
          </reference>
        </references>
      </pivotArea>
    </format>
    <format dxfId="139">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3"/>
          </reference>
          <reference field="9" count="1">
            <x v="50"/>
          </reference>
        </references>
      </pivotArea>
    </format>
    <format dxfId="138">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4"/>
          </reference>
          <reference field="9" count="1">
            <x v="48"/>
          </reference>
        </references>
      </pivotArea>
    </format>
    <format dxfId="137">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5"/>
          </reference>
          <reference field="9" count="1">
            <x v="52"/>
          </reference>
        </references>
      </pivotArea>
    </format>
    <format dxfId="136">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6"/>
          </reference>
          <reference field="9" count="1">
            <x v="83"/>
          </reference>
        </references>
      </pivotArea>
    </format>
    <format dxfId="135">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7"/>
          </reference>
          <reference field="9" count="1">
            <x v="82"/>
          </reference>
        </references>
      </pivotArea>
    </format>
    <format dxfId="134">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8"/>
          </reference>
          <reference field="9" count="1">
            <x v="70"/>
          </reference>
        </references>
      </pivotArea>
    </format>
    <format dxfId="133">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4"/>
          </reference>
          <reference field="9" count="1">
            <x v="20"/>
          </reference>
        </references>
      </pivotArea>
    </format>
    <format dxfId="132">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5"/>
          </reference>
          <reference field="9" count="1">
            <x v="21"/>
          </reference>
        </references>
      </pivotArea>
    </format>
    <format dxfId="131">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6"/>
          </reference>
          <reference field="9" count="1">
            <x v="22"/>
          </reference>
        </references>
      </pivotArea>
    </format>
    <format dxfId="130">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7"/>
          </reference>
          <reference field="9" count="1">
            <x v="23"/>
          </reference>
        </references>
      </pivotArea>
    </format>
    <format dxfId="129">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8"/>
          </reference>
          <reference field="9" count="1">
            <x v="24"/>
          </reference>
        </references>
      </pivotArea>
    </format>
    <format dxfId="128">
      <pivotArea dataOnly="0" labelOnly="1" outline="0" fieldPosition="0">
        <references count="6">
          <reference field="0" count="1" selected="0">
            <x v="5"/>
          </reference>
          <reference field="1" count="1" selected="0">
            <x v="5"/>
          </reference>
          <reference field="4" count="1" selected="0">
            <x v="26"/>
          </reference>
          <reference field="5" count="1" selected="0">
            <x v="35"/>
          </reference>
          <reference field="8" count="1" selected="0">
            <x v="82"/>
          </reference>
          <reference field="9" count="1">
            <x v="18"/>
          </reference>
        </references>
      </pivotArea>
    </format>
    <format dxfId="127">
      <pivotArea dataOnly="0" labelOnly="1" outline="0" fieldPosition="0">
        <references count="6">
          <reference field="0" count="1" selected="0">
            <x v="5"/>
          </reference>
          <reference field="1" count="1" selected="0">
            <x v="5"/>
          </reference>
          <reference field="4" count="1" selected="0">
            <x v="26"/>
          </reference>
          <reference field="5" count="1" selected="0">
            <x v="35"/>
          </reference>
          <reference field="8" count="1" selected="0">
            <x v="83"/>
          </reference>
          <reference field="9" count="1">
            <x v="19"/>
          </reference>
        </references>
      </pivotArea>
    </format>
    <format dxfId="126">
      <pivotArea dataOnly="0" labelOnly="1" outline="0" fieldPosition="0">
        <references count="6">
          <reference field="0" count="1" selected="0">
            <x v="5"/>
          </reference>
          <reference field="1" count="1" selected="0">
            <x v="5"/>
          </reference>
          <reference field="4" count="1" selected="0">
            <x v="26"/>
          </reference>
          <reference field="5" count="1" selected="0">
            <x v="35"/>
          </reference>
          <reference field="8" count="1" selected="0">
            <x v="84"/>
          </reference>
          <reference field="9" count="1">
            <x v="20"/>
          </reference>
        </references>
      </pivotArea>
    </format>
    <format dxfId="125">
      <pivotArea dataOnly="0" labelOnly="1" outline="0" fieldPosition="0">
        <references count="6">
          <reference field="0" count="1" selected="0">
            <x v="5"/>
          </reference>
          <reference field="1" count="1" selected="0">
            <x v="5"/>
          </reference>
          <reference field="4" count="1" selected="0">
            <x v="27"/>
          </reference>
          <reference field="5" count="1" selected="0">
            <x v="8"/>
          </reference>
          <reference field="8" count="1" selected="0">
            <x v="89"/>
          </reference>
          <reference field="9" count="1">
            <x v="25"/>
          </reference>
        </references>
      </pivotArea>
    </format>
    <format dxfId="124">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79"/>
          </reference>
          <reference field="9" count="1">
            <x v="26"/>
          </reference>
        </references>
      </pivotArea>
    </format>
    <format dxfId="123">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80"/>
          </reference>
          <reference field="9" count="1">
            <x v="29"/>
          </reference>
        </references>
      </pivotArea>
    </format>
    <format dxfId="122">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81"/>
          </reference>
          <reference field="9" count="1">
            <x v="30"/>
          </reference>
        </references>
      </pivotArea>
    </format>
    <format dxfId="121">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0"/>
          </reference>
          <reference field="9" count="1">
            <x v="27"/>
          </reference>
        </references>
      </pivotArea>
    </format>
    <format dxfId="120">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1"/>
          </reference>
          <reference field="9" count="1">
            <x v="28"/>
          </reference>
        </references>
      </pivotArea>
    </format>
    <format dxfId="119">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2"/>
          </reference>
          <reference field="9" count="1">
            <x v="31"/>
          </reference>
        </references>
      </pivotArea>
    </format>
    <format dxfId="118">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3"/>
          </reference>
          <reference field="9" count="1">
            <x v="33"/>
          </reference>
        </references>
      </pivotArea>
    </format>
    <format dxfId="117">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4"/>
          </reference>
          <reference field="9" count="1">
            <x v="34"/>
          </reference>
        </references>
      </pivotArea>
    </format>
    <format dxfId="116">
      <pivotArea dataOnly="0" labelOnly="1" outline="0" fieldPosition="0">
        <references count="6">
          <reference field="0" count="1" selected="0">
            <x v="5"/>
          </reference>
          <reference field="1" count="1" selected="0">
            <x v="5"/>
          </reference>
          <reference field="4" count="1" selected="0">
            <x v="28"/>
          </reference>
          <reference field="5" count="1" selected="0">
            <x v="41"/>
          </reference>
          <reference field="8" count="1" selected="0">
            <x v="93"/>
          </reference>
          <reference field="9" count="1">
            <x v="32"/>
          </reference>
        </references>
      </pivotArea>
    </format>
    <format dxfId="115">
      <pivotArea dataOnly="0" labelOnly="1" outline="0" fieldPosition="0">
        <references count="6">
          <reference field="0" count="1" selected="0">
            <x v="5"/>
          </reference>
          <reference field="1" count="1" selected="0">
            <x v="5"/>
          </reference>
          <reference field="4" count="1" selected="0">
            <x v="29"/>
          </reference>
          <reference field="5" count="1" selected="0">
            <x v="10"/>
          </reference>
          <reference field="8" count="1" selected="0">
            <x v="95"/>
          </reference>
          <reference field="9" count="1">
            <x v="35"/>
          </reference>
        </references>
      </pivotArea>
    </format>
    <format dxfId="114">
      <pivotArea dataOnly="0" labelOnly="1" outline="0" fieldPosition="0">
        <references count="6">
          <reference field="0" count="1" selected="0">
            <x v="5"/>
          </reference>
          <reference field="1" count="1" selected="0">
            <x v="5"/>
          </reference>
          <reference field="4" count="1" selected="0">
            <x v="30"/>
          </reference>
          <reference field="5" count="1" selected="0">
            <x v="11"/>
          </reference>
          <reference field="8" count="1" selected="0">
            <x v="96"/>
          </reference>
          <reference field="9" count="1">
            <x v="36"/>
          </reference>
        </references>
      </pivotArea>
    </format>
    <format dxfId="113">
      <pivotArea dataOnly="0" labelOnly="1" outline="0" fieldPosition="0">
        <references count="6">
          <reference field="0" count="1" selected="0">
            <x v="5"/>
          </reference>
          <reference field="1" count="1" selected="0">
            <x v="5"/>
          </reference>
          <reference field="4" count="1" selected="0">
            <x v="31"/>
          </reference>
          <reference field="5" count="1" selected="0">
            <x v="17"/>
          </reference>
          <reference field="8" count="1" selected="0">
            <x v="97"/>
          </reference>
          <reference field="9" count="1">
            <x v="51"/>
          </reference>
        </references>
      </pivotArea>
    </format>
    <format dxfId="112">
      <pivotArea dataOnly="0" labelOnly="1" outline="0" fieldPosition="0">
        <references count="6">
          <reference field="0" count="1" selected="0">
            <x v="5"/>
          </reference>
          <reference field="1" count="1" selected="0">
            <x v="5"/>
          </reference>
          <reference field="4" count="1" selected="0">
            <x v="31"/>
          </reference>
          <reference field="5" count="1" selected="0">
            <x v="36"/>
          </reference>
          <reference field="8" count="1" selected="0">
            <x v="97"/>
          </reference>
          <reference field="9" count="1">
            <x v="51"/>
          </reference>
        </references>
      </pivotArea>
    </format>
    <format dxfId="111">
      <pivotArea dataOnly="0" labelOnly="1" outline="0" fieldPosition="0">
        <references count="6">
          <reference field="0" count="1" selected="0">
            <x v="5"/>
          </reference>
          <reference field="1" count="1" selected="0">
            <x v="5"/>
          </reference>
          <reference field="4" count="1" selected="0">
            <x v="32"/>
          </reference>
          <reference field="5" count="1" selected="0">
            <x v="12"/>
          </reference>
          <reference field="8" count="1" selected="0">
            <x v="98"/>
          </reference>
          <reference field="9" count="1">
            <x v="37"/>
          </reference>
        </references>
      </pivotArea>
    </format>
    <format dxfId="110">
      <pivotArea dataOnly="0" labelOnly="1" outline="0" fieldPosition="0">
        <references count="6">
          <reference field="0" count="1" selected="0">
            <x v="5"/>
          </reference>
          <reference field="1" count="1" selected="0">
            <x v="5"/>
          </reference>
          <reference field="4" count="1" selected="0">
            <x v="33"/>
          </reference>
          <reference field="5" count="1" selected="0">
            <x v="13"/>
          </reference>
          <reference field="8" count="1" selected="0">
            <x v="99"/>
          </reference>
          <reference field="9" count="1">
            <x v="38"/>
          </reference>
        </references>
      </pivotArea>
    </format>
    <format dxfId="109">
      <pivotArea dataOnly="0" labelOnly="1" outline="0" fieldPosition="0">
        <references count="6">
          <reference field="0" count="1" selected="0">
            <x v="5"/>
          </reference>
          <reference field="1" count="1" selected="0">
            <x v="5"/>
          </reference>
          <reference field="4" count="1" selected="0">
            <x v="34"/>
          </reference>
          <reference field="5" count="1" selected="0">
            <x v="14"/>
          </reference>
          <reference field="8" count="1" selected="0">
            <x v="100"/>
          </reference>
          <reference field="9" count="1">
            <x v="39"/>
          </reference>
        </references>
      </pivotArea>
    </format>
    <format dxfId="108">
      <pivotArea dataOnly="0" labelOnly="1" outline="0" fieldPosition="0">
        <references count="6">
          <reference field="0" count="1" selected="0">
            <x v="5"/>
          </reference>
          <reference field="1" count="1" selected="0">
            <x v="5"/>
          </reference>
          <reference field="4" count="1" selected="0">
            <x v="35"/>
          </reference>
          <reference field="5" count="1" selected="0">
            <x v="15"/>
          </reference>
          <reference field="8" count="1" selected="0">
            <x v="101"/>
          </reference>
          <reference field="9" count="1">
            <x v="40"/>
          </reference>
        </references>
      </pivotArea>
    </format>
    <format dxfId="107">
      <pivotArea dataOnly="0" labelOnly="1" outline="0" fieldPosition="0">
        <references count="6">
          <reference field="0" count="1" selected="0">
            <x v="5"/>
          </reference>
          <reference field="1" count="1" selected="0">
            <x v="5"/>
          </reference>
          <reference field="4" count="1" selected="0">
            <x v="36"/>
          </reference>
          <reference field="5" count="1" selected="0">
            <x v="10"/>
          </reference>
          <reference field="8" count="1" selected="0">
            <x v="95"/>
          </reference>
          <reference field="9" count="1">
            <x v="35"/>
          </reference>
        </references>
      </pivotArea>
    </format>
    <format dxfId="106">
      <pivotArea field="5" type="button" dataOnly="0" labelOnly="1" outline="0" axis="axisRow" fieldPosition="3"/>
    </format>
    <format dxfId="105">
      <pivotArea outline="0" fieldPosition="0">
        <references count="1">
          <reference field="4294967294" count="1" selected="0">
            <x v="0"/>
          </reference>
        </references>
      </pivotArea>
    </format>
    <format dxfId="104">
      <pivotArea dataOnly="0" labelOnly="1" outline="0" fieldPosition="0">
        <references count="1">
          <reference field="4294967294" count="1">
            <x v="0"/>
          </reference>
        </references>
      </pivotArea>
    </format>
    <format dxfId="103">
      <pivotArea field="4" type="button" dataOnly="0" labelOnly="1" outline="0" axis="axisRow" fieldPosition="2"/>
    </format>
    <format dxfId="102">
      <pivotArea field="0" type="button" dataOnly="0" labelOnly="1" outline="0" axis="axisRow" fieldPosition="0"/>
    </format>
    <format dxfId="101">
      <pivotArea field="1" type="button" dataOnly="0" labelOnly="1" outline="0" axis="axisRow" fieldPosition="1"/>
    </format>
    <format dxfId="100">
      <pivotArea dataOnly="0" labelOnly="1" outline="0" fieldPosition="0">
        <references count="1">
          <reference field="0" count="0"/>
        </references>
      </pivotArea>
    </format>
    <format dxfId="99">
      <pivotArea dataOnly="0" labelOnly="1" grandRow="1" outline="0" fieldPosition="0"/>
    </format>
    <format dxfId="98">
      <pivotArea dataOnly="0" labelOnly="1" outline="0" fieldPosition="0">
        <references count="2">
          <reference field="0" count="1" selected="0">
            <x v="0"/>
          </reference>
          <reference field="1" count="1">
            <x v="3"/>
          </reference>
        </references>
      </pivotArea>
    </format>
    <format dxfId="97">
      <pivotArea dataOnly="0" labelOnly="1" outline="0" fieldPosition="0">
        <references count="2">
          <reference field="0" count="1" selected="0">
            <x v="0"/>
          </reference>
          <reference field="1" count="1" defaultSubtotal="1">
            <x v="3"/>
          </reference>
        </references>
      </pivotArea>
    </format>
    <format dxfId="96">
      <pivotArea dataOnly="0" labelOnly="1" outline="0" fieldPosition="0">
        <references count="2">
          <reference field="0" count="1" selected="0">
            <x v="1"/>
          </reference>
          <reference field="1" count="1">
            <x v="0"/>
          </reference>
        </references>
      </pivotArea>
    </format>
    <format dxfId="95">
      <pivotArea dataOnly="0" labelOnly="1" outline="0" fieldPosition="0">
        <references count="2">
          <reference field="0" count="1" selected="0">
            <x v="1"/>
          </reference>
          <reference field="1" count="1" defaultSubtotal="1">
            <x v="0"/>
          </reference>
        </references>
      </pivotArea>
    </format>
    <format dxfId="94">
      <pivotArea dataOnly="0" labelOnly="1" outline="0" fieldPosition="0">
        <references count="2">
          <reference field="0" count="1" selected="0">
            <x v="2"/>
          </reference>
          <reference field="1" count="1">
            <x v="4"/>
          </reference>
        </references>
      </pivotArea>
    </format>
    <format dxfId="93">
      <pivotArea dataOnly="0" labelOnly="1" outline="0" fieldPosition="0">
        <references count="2">
          <reference field="0" count="1" selected="0">
            <x v="2"/>
          </reference>
          <reference field="1" count="1" defaultSubtotal="1">
            <x v="4"/>
          </reference>
        </references>
      </pivotArea>
    </format>
    <format dxfId="92">
      <pivotArea dataOnly="0" labelOnly="1" outline="0" fieldPosition="0">
        <references count="2">
          <reference field="0" count="1" selected="0">
            <x v="3"/>
          </reference>
          <reference field="1" count="1">
            <x v="1"/>
          </reference>
        </references>
      </pivotArea>
    </format>
    <format dxfId="91">
      <pivotArea dataOnly="0" labelOnly="1" outline="0" fieldPosition="0">
        <references count="2">
          <reference field="0" count="1" selected="0">
            <x v="3"/>
          </reference>
          <reference field="1" count="1" defaultSubtotal="1">
            <x v="1"/>
          </reference>
        </references>
      </pivotArea>
    </format>
    <format dxfId="90">
      <pivotArea dataOnly="0" labelOnly="1" outline="0" fieldPosition="0">
        <references count="2">
          <reference field="0" count="1" selected="0">
            <x v="4"/>
          </reference>
          <reference field="1" count="1">
            <x v="2"/>
          </reference>
        </references>
      </pivotArea>
    </format>
    <format dxfId="89">
      <pivotArea dataOnly="0" labelOnly="1" outline="0" fieldPosition="0">
        <references count="2">
          <reference field="0" count="1" selected="0">
            <x v="4"/>
          </reference>
          <reference field="1" count="1" defaultSubtotal="1">
            <x v="2"/>
          </reference>
        </references>
      </pivotArea>
    </format>
    <format dxfId="88">
      <pivotArea dataOnly="0" labelOnly="1" outline="0" fieldPosition="0">
        <references count="2">
          <reference field="0" count="1" selected="0">
            <x v="5"/>
          </reference>
          <reference field="1" count="1">
            <x v="5"/>
          </reference>
        </references>
      </pivotArea>
    </format>
    <format dxfId="87">
      <pivotArea dataOnly="0" labelOnly="1" outline="0" fieldPosition="0">
        <references count="2">
          <reference field="0" count="1" selected="0">
            <x v="5"/>
          </reference>
          <reference field="1" count="1" defaultSubtotal="1">
            <x v="5"/>
          </reference>
        </references>
      </pivotArea>
    </format>
    <format dxfId="86">
      <pivotArea field="0" type="button" dataOnly="0" labelOnly="1" outline="0" axis="axisRow" fieldPosition="0"/>
    </format>
    <format dxfId="85">
      <pivotArea field="1" type="button" dataOnly="0" labelOnly="1" outline="0" axis="axisRow" fieldPosition="1"/>
    </format>
    <format dxfId="84">
      <pivotArea field="4" type="button" dataOnly="0" labelOnly="1" outline="0" axis="axisRow" fieldPosition="2"/>
    </format>
    <format dxfId="83">
      <pivotArea field="5" type="button" dataOnly="0" labelOnly="1" outline="0" axis="axisRow" fieldPosition="3"/>
    </format>
    <format dxfId="82">
      <pivotArea field="8" type="button" dataOnly="0" labelOnly="1" outline="0" axis="axisRow" fieldPosition="4"/>
    </format>
    <format dxfId="81">
      <pivotArea field="9" type="button" dataOnly="0" labelOnly="1" outline="0" axis="axisRow" fieldPosition="5"/>
    </format>
    <format dxfId="80">
      <pivotArea dataOnly="0" labelOnly="1" outline="0" fieldPosition="0">
        <references count="1">
          <reference field="4294967294" count="2">
            <x v="0"/>
            <x v="1"/>
          </reference>
        </references>
      </pivotArea>
    </format>
    <format dxfId="79">
      <pivotArea outline="0" fieldPosition="0">
        <references count="4">
          <reference field="0" count="1" selected="0">
            <x v="0"/>
          </reference>
          <reference field="1" count="1" selected="0">
            <x v="3"/>
          </reference>
          <reference field="4" count="1" selected="0">
            <x v="2"/>
          </reference>
          <reference field="5" count="1" selected="0" defaultSubtotal="1">
            <x v="29"/>
          </reference>
        </references>
      </pivotArea>
    </format>
    <format dxfId="78">
      <pivotArea dataOnly="0" labelOnly="1" outline="0" offset="IV256" fieldPosition="0">
        <references count="3">
          <reference field="0" count="1" selected="0">
            <x v="0"/>
          </reference>
          <reference field="1" count="1" selected="0">
            <x v="3"/>
          </reference>
          <reference field="4" count="1">
            <x v="2"/>
          </reference>
        </references>
      </pivotArea>
    </format>
    <format dxfId="77">
      <pivotArea dataOnly="0" labelOnly="1" outline="0" fieldPosition="0">
        <references count="4">
          <reference field="0" count="1" selected="0">
            <x v="0"/>
          </reference>
          <reference field="1" count="1" selected="0">
            <x v="3"/>
          </reference>
          <reference field="4" count="1" selected="0">
            <x v="2"/>
          </reference>
          <reference field="5" count="1" defaultSubtotal="1">
            <x v="29"/>
          </reference>
        </references>
      </pivotArea>
    </format>
    <format dxfId="76">
      <pivotArea outline="0" fieldPosition="0">
        <references count="4">
          <reference field="0" count="1" selected="0">
            <x v="0"/>
          </reference>
          <reference field="1" count="1" selected="0">
            <x v="3"/>
          </reference>
          <reference field="4" count="1" selected="0">
            <x v="2"/>
          </reference>
          <reference field="5" count="1" selected="0" defaultSubtotal="1">
            <x v="29"/>
          </reference>
        </references>
      </pivotArea>
    </format>
    <format dxfId="75">
      <pivotArea dataOnly="0" labelOnly="1" outline="0" fieldPosition="0">
        <references count="3">
          <reference field="0" count="1" selected="0">
            <x v="0"/>
          </reference>
          <reference field="1" count="1" selected="0">
            <x v="3"/>
          </reference>
          <reference field="4" count="1">
            <x v="2"/>
          </reference>
        </references>
      </pivotArea>
    </format>
    <format dxfId="74">
      <pivotArea dataOnly="0" labelOnly="1" outline="0" fieldPosition="0">
        <references count="4">
          <reference field="0" count="1" selected="0">
            <x v="0"/>
          </reference>
          <reference field="1" count="1" selected="0">
            <x v="3"/>
          </reference>
          <reference field="4" count="1" selected="0">
            <x v="2"/>
          </reference>
          <reference field="5" count="1" defaultSubtotal="1">
            <x v="29"/>
          </reference>
        </references>
      </pivotArea>
    </format>
    <format dxfId="73">
      <pivotArea outline="0" fieldPosition="0">
        <references count="4">
          <reference field="0" count="1" selected="0">
            <x v="0"/>
          </reference>
          <reference field="1" count="1" selected="0">
            <x v="3"/>
          </reference>
          <reference field="4" count="1" selected="0">
            <x v="3"/>
          </reference>
          <reference field="5" count="1" selected="0" defaultSubtotal="1">
            <x v="39"/>
          </reference>
        </references>
      </pivotArea>
    </format>
    <format dxfId="72">
      <pivotArea dataOnly="0" labelOnly="1" outline="0" offset="IV256" fieldPosition="0">
        <references count="3">
          <reference field="0" count="1" selected="0">
            <x v="0"/>
          </reference>
          <reference field="1" count="1" selected="0">
            <x v="3"/>
          </reference>
          <reference field="4" count="1">
            <x v="3"/>
          </reference>
        </references>
      </pivotArea>
    </format>
    <format dxfId="71">
      <pivotArea dataOnly="0" labelOnly="1" outline="0" fieldPosition="0">
        <references count="4">
          <reference field="0" count="1" selected="0">
            <x v="0"/>
          </reference>
          <reference field="1" count="1" selected="0">
            <x v="3"/>
          </reference>
          <reference field="4" count="1" selected="0">
            <x v="3"/>
          </reference>
          <reference field="5" count="1" defaultSubtotal="1">
            <x v="39"/>
          </reference>
        </references>
      </pivotArea>
    </format>
    <format dxfId="70">
      <pivotArea outline="0" fieldPosition="0">
        <references count="4">
          <reference field="0" count="1" selected="0">
            <x v="0"/>
          </reference>
          <reference field="1" count="1" selected="0">
            <x v="3"/>
          </reference>
          <reference field="4" count="1" selected="0">
            <x v="3"/>
          </reference>
          <reference field="5" count="1" selected="0" defaultSubtotal="1">
            <x v="39"/>
          </reference>
        </references>
      </pivotArea>
    </format>
    <format dxfId="69">
      <pivotArea dataOnly="0" labelOnly="1" outline="0" fieldPosition="0">
        <references count="3">
          <reference field="0" count="1" selected="0">
            <x v="0"/>
          </reference>
          <reference field="1" count="1" selected="0">
            <x v="3"/>
          </reference>
          <reference field="4" count="1">
            <x v="3"/>
          </reference>
        </references>
      </pivotArea>
    </format>
    <format dxfId="68">
      <pivotArea dataOnly="0" labelOnly="1" outline="0" fieldPosition="0">
        <references count="4">
          <reference field="0" count="1" selected="0">
            <x v="0"/>
          </reference>
          <reference field="1" count="1" selected="0">
            <x v="3"/>
          </reference>
          <reference field="4" count="1" selected="0">
            <x v="3"/>
          </reference>
          <reference field="5" count="1" defaultSubtotal="1">
            <x v="39"/>
          </reference>
        </references>
      </pivotArea>
    </format>
    <format dxfId="67">
      <pivotArea field="0" type="button" dataOnly="0" labelOnly="1" outline="0" axis="axisRow" fieldPosition="0"/>
    </format>
    <format dxfId="66">
      <pivotArea field="1" type="button" dataOnly="0" labelOnly="1" outline="0" axis="axisRow" fieldPosition="1"/>
    </format>
    <format dxfId="65">
      <pivotArea field="4" type="button" dataOnly="0" labelOnly="1" outline="0" axis="axisRow" fieldPosition="2"/>
    </format>
    <format dxfId="64">
      <pivotArea field="5" type="button" dataOnly="0" labelOnly="1" outline="0" axis="axisRow" fieldPosition="3"/>
    </format>
    <format dxfId="63">
      <pivotArea field="8" type="button" dataOnly="0" labelOnly="1" outline="0" axis="axisRow" fieldPosition="4"/>
    </format>
    <format dxfId="62">
      <pivotArea field="9" type="button" dataOnly="0" labelOnly="1" outline="0" axis="axisRow" fieldPosition="5"/>
    </format>
    <format dxfId="61">
      <pivotArea dataOnly="0" labelOnly="1" outline="0" fieldPosition="0">
        <references count="1">
          <reference field="4294967294" count="2">
            <x v="0"/>
            <x v="1"/>
          </reference>
        </references>
      </pivotArea>
    </format>
    <format dxfId="60">
      <pivotArea field="0" type="button" dataOnly="0" labelOnly="1" outline="0" axis="axisRow" fieldPosition="0"/>
    </format>
    <format dxfId="59">
      <pivotArea field="1" type="button" dataOnly="0" labelOnly="1" outline="0" axis="axisRow" fieldPosition="1"/>
    </format>
    <format dxfId="58">
      <pivotArea field="4" type="button" dataOnly="0" labelOnly="1" outline="0" axis="axisRow" fieldPosition="2"/>
    </format>
    <format dxfId="57">
      <pivotArea field="5" type="button" dataOnly="0" labelOnly="1" outline="0" axis="axisRow" fieldPosition="3"/>
    </format>
    <format dxfId="56">
      <pivotArea field="8" type="button" dataOnly="0" labelOnly="1" outline="0" axis="axisRow" fieldPosition="4"/>
    </format>
    <format dxfId="55">
      <pivotArea field="9" type="button" dataOnly="0" labelOnly="1" outline="0" axis="axisRow" fieldPosition="5"/>
    </format>
    <format dxfId="54">
      <pivotArea dataOnly="0" labelOnly="1" outline="0" fieldPosition="0">
        <references count="1">
          <reference field="4294967294" count="2">
            <x v="0"/>
            <x v="1"/>
          </reference>
        </references>
      </pivotArea>
    </format>
    <format dxfId="53">
      <pivotArea field="0" type="button" dataOnly="0" labelOnly="1" outline="0" axis="axisRow" fieldPosition="0"/>
    </format>
    <format dxfId="52">
      <pivotArea field="1" type="button" dataOnly="0" labelOnly="1" outline="0" axis="axisRow" fieldPosition="1"/>
    </format>
    <format dxfId="51">
      <pivotArea field="4" type="button" dataOnly="0" labelOnly="1" outline="0" axis="axisRow" fieldPosition="2"/>
    </format>
    <format dxfId="50">
      <pivotArea field="5" type="button" dataOnly="0" labelOnly="1" outline="0" axis="axisRow" fieldPosition="3"/>
    </format>
    <format dxfId="49">
      <pivotArea field="8" type="button" dataOnly="0" labelOnly="1" outline="0" axis="axisRow" fieldPosition="4"/>
    </format>
    <format dxfId="48">
      <pivotArea field="9" type="button" dataOnly="0" labelOnly="1" outline="0" axis="axisRow" fieldPosition="5"/>
    </format>
    <format dxfId="47">
      <pivotArea dataOnly="0" labelOnly="1" outline="0" fieldPosition="0">
        <references count="1">
          <reference field="4294967294" count="2">
            <x v="0"/>
            <x v="1"/>
          </reference>
        </references>
      </pivotArea>
    </format>
    <format dxfId="46">
      <pivotArea field="0" type="button" dataOnly="0" labelOnly="1" outline="0" axis="axisRow" fieldPosition="0"/>
    </format>
    <format dxfId="45">
      <pivotArea field="1" type="button" dataOnly="0" labelOnly="1" outline="0" axis="axisRow" fieldPosition="1"/>
    </format>
    <format dxfId="44">
      <pivotArea field="4" type="button" dataOnly="0" labelOnly="1" outline="0" axis="axisRow" fieldPosition="2"/>
    </format>
    <format dxfId="43">
      <pivotArea field="5" type="button" dataOnly="0" labelOnly="1" outline="0" axis="axisRow" fieldPosition="3"/>
    </format>
    <format dxfId="42">
      <pivotArea field="8" type="button" dataOnly="0" labelOnly="1" outline="0" axis="axisRow" fieldPosition="4"/>
    </format>
    <format dxfId="41">
      <pivotArea field="9" type="button" dataOnly="0" labelOnly="1" outline="0" axis="axisRow" fieldPosition="5"/>
    </format>
    <format dxfId="40">
      <pivotArea dataOnly="0" labelOnly="1" outline="0" fieldPosition="0">
        <references count="1">
          <reference field="4294967294" count="2">
            <x v="0"/>
            <x v="1"/>
          </reference>
        </references>
      </pivotArea>
    </format>
    <format dxfId="39">
      <pivotArea field="0" type="button" dataOnly="0" labelOnly="1" outline="0" axis="axisRow" fieldPosition="0"/>
    </format>
    <format dxfId="38">
      <pivotArea field="1" type="button" dataOnly="0" labelOnly="1" outline="0" axis="axisRow" fieldPosition="1"/>
    </format>
    <format dxfId="37">
      <pivotArea field="4" type="button" dataOnly="0" labelOnly="1" outline="0" axis="axisRow" fieldPosition="2"/>
    </format>
    <format dxfId="36">
      <pivotArea field="5" type="button" dataOnly="0" labelOnly="1" outline="0" axis="axisRow" fieldPosition="3"/>
    </format>
    <format dxfId="35">
      <pivotArea field="8" type="button" dataOnly="0" labelOnly="1" outline="0" axis="axisRow" fieldPosition="4"/>
    </format>
    <format dxfId="34">
      <pivotArea field="9" type="button" dataOnly="0" labelOnly="1" outline="0" axis="axisRow" fieldPosition="5"/>
    </format>
    <format dxfId="33">
      <pivotArea dataOnly="0" labelOnly="1" outline="0" fieldPosition="0">
        <references count="1">
          <reference field="4294967294" count="2">
            <x v="0"/>
            <x v="1"/>
          </reference>
        </references>
      </pivotArea>
    </format>
    <format dxfId="32">
      <pivotArea dataOnly="0" outline="0" fieldPosition="0">
        <references count="1">
          <reference field="1" count="0" defaultSubtotal="1"/>
        </references>
      </pivotArea>
    </format>
    <format dxfId="31">
      <pivotArea dataOnly="0" outline="0" fieldPosition="0">
        <references count="1">
          <reference field="5" count="0" defaultSubtotal="1"/>
        </references>
      </pivotArea>
    </format>
    <format dxfId="30">
      <pivotArea dataOnly="0" outline="0" fieldPosition="0">
        <references count="1">
          <reference field="5" count="0" defaultSubtotal="1"/>
        </references>
      </pivotArea>
    </format>
    <format dxfId="29">
      <pivotArea dataOnly="0" labelOnly="1" outline="0" fieldPosition="0">
        <references count="1">
          <reference field="9" count="0"/>
        </references>
      </pivotArea>
    </format>
    <format dxfId="28">
      <pivotArea outline="0" fieldPosition="0">
        <references count="7">
          <reference field="4294967294" count="1" selected="0">
            <x v="2"/>
          </reference>
          <reference field="0" count="1" selected="0">
            <x v="0"/>
          </reference>
          <reference field="1" count="1" selected="0">
            <x v="3"/>
          </reference>
          <reference field="4" count="1" selected="0">
            <x v="0"/>
          </reference>
          <reference field="5" count="1" selected="0">
            <x v="18"/>
          </reference>
          <reference field="8" count="1" selected="0">
            <x v="0"/>
          </reference>
          <reference field="9" count="1" selected="0">
            <x v="65"/>
          </reference>
        </references>
      </pivotArea>
    </format>
    <format dxfId="27">
      <pivotArea outline="0" fieldPosition="0">
        <references count="5">
          <reference field="4294967294" count="1" selected="0">
            <x v="2"/>
          </reference>
          <reference field="0" count="1" selected="0">
            <x v="0"/>
          </reference>
          <reference field="1" count="1" selected="0">
            <x v="3"/>
          </reference>
          <reference field="4" count="1" selected="0">
            <x v="0"/>
          </reference>
          <reference field="5" count="1" selected="0" defaultSubtotal="1">
            <x v="18"/>
          </reference>
        </references>
      </pivotArea>
    </format>
    <format dxfId="26">
      <pivotArea outline="0" fieldPosition="0">
        <references count="7">
          <reference field="4294967294" count="1" selected="0">
            <x v="2"/>
          </reference>
          <reference field="0" count="1" selected="0">
            <x v="0"/>
          </reference>
          <reference field="1" count="1" selected="0">
            <x v="3"/>
          </reference>
          <reference field="4" count="1" selected="0">
            <x v="1"/>
          </reference>
          <reference field="5" count="1" selected="0">
            <x v="19"/>
          </reference>
          <reference field="8" count="1" selected="0">
            <x v="1"/>
          </reference>
          <reference field="9" count="1" selected="0">
            <x v="57"/>
          </reference>
        </references>
      </pivotArea>
    </format>
    <format dxfId="25">
      <pivotArea outline="0" fieldPosition="0">
        <references count="7">
          <reference field="4294967294" count="1" selected="0">
            <x v="2"/>
          </reference>
          <reference field="0" count="1" selected="0">
            <x v="0"/>
          </reference>
          <reference field="1" count="1" selected="0">
            <x v="3"/>
          </reference>
          <reference field="4" count="1" selected="0">
            <x v="1"/>
          </reference>
          <reference field="5" count="1" selected="0">
            <x v="19"/>
          </reference>
          <reference field="8" count="1" selected="0">
            <x v="2"/>
          </reference>
          <reference field="9" count="1" selected="0">
            <x v="58"/>
          </reference>
        </references>
      </pivotArea>
    </format>
    <format dxfId="24">
      <pivotArea outline="0" fieldPosition="0">
        <references count="1">
          <reference field="4294967294" count="1">
            <x v="2"/>
          </reference>
        </references>
      </pivotArea>
    </format>
    <format dxfId="23">
      <pivotArea dataOnly="0" labelOnly="1" outline="0" fieldPosition="0">
        <references count="1">
          <reference field="4294967294" count="1">
            <x v="2"/>
          </reference>
        </references>
      </pivotArea>
    </format>
    <format dxfId="22">
      <pivotArea dataOnly="0" labelOnly="1" outline="0" fieldPosition="0">
        <references count="1">
          <reference field="4294967294" count="1">
            <x v="2"/>
          </reference>
        </references>
      </pivotArea>
    </format>
    <format dxfId="21">
      <pivotArea outline="0" fieldPosition="0">
        <references count="1">
          <reference field="4294967294" count="2" selected="0">
            <x v="1"/>
            <x v="2"/>
          </reference>
        </references>
      </pivotArea>
    </format>
    <format dxfId="20">
      <pivotArea dataOnly="0" labelOnly="1" outline="0" fieldPosition="0">
        <references count="1">
          <reference field="4294967294" count="2">
            <x v="1"/>
            <x v="2"/>
          </reference>
        </references>
      </pivotArea>
    </format>
    <format dxfId="19">
      <pivotArea outline="0" fieldPosition="0">
        <references count="1">
          <reference field="4294967294" count="1" selected="0">
            <x v="3"/>
          </reference>
        </references>
      </pivotArea>
    </format>
    <format dxfId="18">
      <pivotArea dataOnly="0" labelOnly="1" outline="0" fieldPosition="0">
        <references count="1">
          <reference field="4294967294" count="1">
            <x v="3"/>
          </reference>
        </references>
      </pivotArea>
    </format>
    <format dxfId="17">
      <pivotArea outline="0" fieldPosition="0">
        <references count="1">
          <reference field="4294967294" count="1">
            <x v="3"/>
          </reference>
        </references>
      </pivotArea>
    </format>
    <format dxfId="16">
      <pivotArea field="5" type="button" dataOnly="0" labelOnly="1" outline="0" axis="axisRow" fieldPosition="3"/>
    </format>
    <format dxfId="15">
      <pivotArea dataOnly="0" labelOnly="1" outline="0" fieldPosition="0">
        <references count="4">
          <reference field="0" count="1" selected="0">
            <x v="0"/>
          </reference>
          <reference field="1" count="1" selected="0">
            <x v="3"/>
          </reference>
          <reference field="4" count="1" selected="0">
            <x v="1"/>
          </reference>
          <reference field="5" count="1">
            <x v="19"/>
          </reference>
        </references>
      </pivotArea>
    </format>
    <format dxfId="14">
      <pivotArea dataOnly="0" labelOnly="1" outline="0" fieldPosition="0">
        <references count="1">
          <reference field="4294967294" count="1">
            <x v="3"/>
          </reference>
        </references>
      </pivotArea>
    </format>
    <format dxfId="13">
      <pivotArea dataOnly="0" labelOnly="1" outline="0" fieldPosition="0">
        <references count="1">
          <reference field="4294967294" count="1">
            <x v="3"/>
          </reference>
        </references>
      </pivotArea>
    </format>
    <format dxfId="12">
      <pivotArea dataOnly="0" labelOnly="1" outline="0" fieldPosition="0">
        <references count="3">
          <reference field="0" count="1" selected="0">
            <x v="0"/>
          </reference>
          <reference field="1" count="1" selected="0">
            <x v="3"/>
          </reference>
          <reference field="4" count="1">
            <x v="0"/>
          </reference>
        </references>
      </pivotArea>
    </format>
    <format dxfId="11">
      <pivotArea dataOnly="0" labelOnly="1" outline="0" fieldPosition="0">
        <references count="3">
          <reference field="0" count="1" selected="0">
            <x v="0"/>
          </reference>
          <reference field="1" count="1" selected="0">
            <x v="3"/>
          </reference>
          <reference field="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C3FC2AC-3739-4591-BCED-B0FBD2D7A1B9}" name="TablaDinámica2" cacheId="1" applyNumberFormats="0" applyBorderFormats="0" applyFontFormats="0" applyPatternFormats="0" applyAlignmentFormats="0" applyWidthHeightFormats="1" dataCaption="Valores" updatedVersion="7" minRefreshableVersion="3" useAutoFormatting="1" colGrandTotals="0" itemPrintTitles="1" createdVersion="6" indent="0" outline="1" outlineData="1" multipleFieldFilters="0">
  <location ref="A3:F150" firstHeaderRow="0" firstDataRow="1" firstDataCol="1" rowPageCount="1" colPageCount="1"/>
  <pivotFields count="81">
    <pivotField showAll="0"/>
    <pivotField showAll="0"/>
    <pivotField showAll="0"/>
    <pivotField showAll="0"/>
    <pivotField axis="axisRow" showAll="0">
      <items count="38">
        <item x="0"/>
        <item x="1"/>
        <item x="2"/>
        <item x="3"/>
        <item x="4"/>
        <item x="5"/>
        <item x="6"/>
        <item x="15"/>
        <item x="7"/>
        <item x="8"/>
        <item x="9"/>
        <item x="10"/>
        <item x="11"/>
        <item x="12"/>
        <item x="13"/>
        <item x="14"/>
        <item x="16"/>
        <item x="17"/>
        <item x="18"/>
        <item x="19"/>
        <item x="20"/>
        <item x="21"/>
        <item x="22"/>
        <item x="23"/>
        <item x="24"/>
        <item x="25"/>
        <item x="26"/>
        <item x="27"/>
        <item x="36"/>
        <item x="28"/>
        <item x="29"/>
        <item x="30"/>
        <item x="31"/>
        <item x="32"/>
        <item x="33"/>
        <item x="34"/>
        <item x="35"/>
        <item t="default"/>
      </items>
    </pivotField>
    <pivotField axis="axisPage" multipleItemSelectionAllowed="1" showAll="0">
      <items count="38">
        <item x="25"/>
        <item x="26"/>
        <item x="35"/>
        <item x="23"/>
        <item x="22"/>
        <item x="24"/>
        <item x="31"/>
        <item x="1"/>
        <item x="18"/>
        <item x="10"/>
        <item x="14"/>
        <item x="17"/>
        <item x="21"/>
        <item x="9"/>
        <item x="6"/>
        <item x="7"/>
        <item x="11"/>
        <item x="4"/>
        <item x="2"/>
        <item x="8"/>
        <item x="12"/>
        <item x="32"/>
        <item x="16"/>
        <item x="5"/>
        <item x="20"/>
        <item x="27"/>
        <item x="28"/>
        <item x="33"/>
        <item x="29"/>
        <item x="34"/>
        <item x="15"/>
        <item x="19"/>
        <item x="3"/>
        <item x="30"/>
        <item x="0"/>
        <item x="36"/>
        <item x="13"/>
        <item t="default"/>
      </items>
    </pivotField>
    <pivotField showAll="0"/>
    <pivotField showAll="0"/>
    <pivotField axis="axisRow" showAll="0">
      <items count="105">
        <item x="0"/>
        <item sd="0" x="1"/>
        <item sd="0" x="2"/>
        <item sd="0" x="3"/>
        <item sd="0" x="4"/>
        <item sd="0" x="13"/>
        <item sd="0" x="5"/>
        <item sd="0" x="6"/>
        <item sd="0" x="7"/>
        <item sd="0" x="8"/>
        <item sd="0" x="9"/>
        <item sd="0" x="10"/>
        <item sd="0" x="11"/>
        <item sd="0" x="12"/>
        <item sd="0" x="14"/>
        <item sd="0" x="15"/>
        <item sd="0" x="16"/>
        <item sd="0" x="17"/>
        <item sd="0" x="18"/>
        <item sd="0" x="19"/>
        <item sd="0" x="20"/>
        <item sd="0" x="21"/>
        <item sd="0" x="22"/>
        <item sd="0" x="23"/>
        <item sd="0" x="25"/>
        <item sd="0" x="26"/>
        <item sd="0" x="50"/>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51"/>
        <item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103"/>
        <item sd="0" x="88"/>
        <item sd="0" x="89"/>
        <item sd="0" x="92"/>
        <item sd="0" x="93"/>
        <item sd="0" x="94"/>
        <item sd="0" x="95"/>
        <item sd="0" x="96"/>
        <item sd="0" x="97"/>
        <item sd="0" x="98"/>
        <item sd="0" x="100"/>
        <item sd="0" x="101"/>
        <item sd="0" x="102"/>
        <item sd="0" x="87"/>
        <item sd="0" x="90"/>
        <item sd="0" x="91"/>
        <item x="24"/>
        <item x="99"/>
        <item x="49"/>
        <item t="default" sd="0"/>
      </items>
    </pivotField>
    <pivotField axis="axisRow" showAll="0">
      <items count="104">
        <item x="29"/>
        <item x="17"/>
        <item x="51"/>
        <item x="39"/>
        <item x="34"/>
        <item x="46"/>
        <item x="88"/>
        <item x="64"/>
        <item x="100"/>
        <item x="93"/>
        <item x="55"/>
        <item x="79"/>
        <item x="60"/>
        <item x="35"/>
        <item x="74"/>
        <item x="32"/>
        <item x="73"/>
        <item x="96"/>
        <item x="75"/>
        <item x="27"/>
        <item x="26"/>
        <item x="22"/>
        <item x="44"/>
        <item x="1"/>
        <item x="2"/>
        <item x="23"/>
        <item x="3"/>
        <item x="67"/>
        <item x="30"/>
        <item x="41"/>
        <item x="42"/>
        <item x="49"/>
        <item x="25"/>
        <item x="52"/>
        <item x="53"/>
        <item x="72"/>
        <item x="6"/>
        <item x="78"/>
        <item x="33"/>
        <item x="18"/>
        <item x="19"/>
        <item x="92"/>
        <item x="90"/>
        <item x="54"/>
        <item x="91"/>
        <item x="43"/>
        <item x="47"/>
        <item x="58"/>
        <item x="13"/>
        <item x="86"/>
        <item x="45"/>
        <item x="68"/>
        <item x="56"/>
        <item x="83"/>
        <item x="57"/>
        <item x="12"/>
        <item x="61"/>
        <item x="62"/>
        <item x="21"/>
        <item x="16"/>
        <item x="63"/>
        <item x="77"/>
        <item x="76"/>
        <item x="48"/>
        <item x="95"/>
        <item x="20"/>
        <item x="98"/>
        <item x="66"/>
        <item x="38"/>
        <item x="37"/>
        <item x="40"/>
        <item x="97"/>
        <item x="87"/>
        <item x="94"/>
        <item x="50"/>
        <item x="70"/>
        <item x="69"/>
        <item x="82"/>
        <item x="24"/>
        <item x="0"/>
        <item x="99"/>
        <item x="80"/>
        <item x="15"/>
        <item x="14"/>
        <item x="71"/>
        <item x="59"/>
        <item x="65"/>
        <item x="85"/>
        <item x="89"/>
        <item x="81"/>
        <item x="84"/>
        <item x="4"/>
        <item x="10"/>
        <item x="11"/>
        <item x="36"/>
        <item x="7"/>
        <item x="8"/>
        <item x="101"/>
        <item x="31"/>
        <item x="28"/>
        <item m="1" x="102"/>
        <item x="5"/>
        <item x="9"/>
        <item t="default"/>
      </items>
    </pivotField>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3">
    <field x="4"/>
    <field x="8"/>
    <field x="9"/>
  </rowFields>
  <rowItems count="147">
    <i>
      <x/>
    </i>
    <i r="1">
      <x/>
    </i>
    <i r="2">
      <x v="79"/>
    </i>
    <i>
      <x v="1"/>
    </i>
    <i r="1">
      <x v="1"/>
    </i>
    <i r="1">
      <x v="2"/>
    </i>
    <i r="1">
      <x v="3"/>
    </i>
    <i>
      <x v="2"/>
    </i>
    <i r="1">
      <x v="4"/>
    </i>
    <i r="1">
      <x v="5"/>
    </i>
    <i r="1">
      <x v="6"/>
    </i>
    <i r="1">
      <x v="7"/>
    </i>
    <i r="1">
      <x v="8"/>
    </i>
    <i r="1">
      <x v="9"/>
    </i>
    <i r="1">
      <x v="10"/>
    </i>
    <i r="1">
      <x v="11"/>
    </i>
    <i r="1">
      <x v="12"/>
    </i>
    <i r="1">
      <x v="13"/>
    </i>
    <i>
      <x v="3"/>
    </i>
    <i r="1">
      <x v="14"/>
    </i>
    <i r="1">
      <x v="15"/>
    </i>
    <i>
      <x v="4"/>
    </i>
    <i r="1">
      <x v="16"/>
    </i>
    <i r="1">
      <x v="17"/>
    </i>
    <i r="1">
      <x v="18"/>
    </i>
    <i r="1">
      <x v="19"/>
    </i>
    <i r="1">
      <x v="20"/>
    </i>
    <i r="1">
      <x v="21"/>
    </i>
    <i>
      <x v="5"/>
    </i>
    <i r="1">
      <x v="22"/>
    </i>
    <i r="1">
      <x v="23"/>
    </i>
    <i r="1">
      <x v="101"/>
    </i>
    <i r="2">
      <x v="25"/>
    </i>
    <i>
      <x v="6"/>
    </i>
    <i r="1">
      <x v="24"/>
    </i>
    <i r="1">
      <x v="25"/>
    </i>
    <i>
      <x v="7"/>
    </i>
    <i r="1">
      <x v="26"/>
    </i>
    <i>
      <x v="8"/>
    </i>
    <i r="1">
      <x v="27"/>
    </i>
    <i r="1">
      <x v="28"/>
    </i>
    <i>
      <x v="9"/>
    </i>
    <i r="1">
      <x v="29"/>
    </i>
    <i>
      <x v="10"/>
    </i>
    <i r="1">
      <x v="30"/>
    </i>
    <i r="1">
      <x v="31"/>
    </i>
    <i>
      <x v="11"/>
    </i>
    <i r="1">
      <x v="32"/>
    </i>
    <i r="1">
      <x v="33"/>
    </i>
    <i r="1">
      <x v="34"/>
    </i>
    <i r="1">
      <x v="35"/>
    </i>
    <i r="1">
      <x v="36"/>
    </i>
    <i r="1">
      <x v="37"/>
    </i>
    <i>
      <x v="12"/>
    </i>
    <i r="1">
      <x v="38"/>
    </i>
    <i r="1">
      <x v="39"/>
    </i>
    <i r="1">
      <x v="40"/>
    </i>
    <i r="1">
      <x v="41"/>
    </i>
    <i r="1">
      <x v="42"/>
    </i>
    <i>
      <x v="13"/>
    </i>
    <i r="1">
      <x v="43"/>
    </i>
    <i>
      <x v="14"/>
    </i>
    <i r="1">
      <x v="44"/>
    </i>
    <i r="1">
      <x v="45"/>
    </i>
    <i>
      <x v="15"/>
    </i>
    <i r="1">
      <x v="46"/>
    </i>
    <i r="1">
      <x v="47"/>
    </i>
    <i r="1">
      <x v="48"/>
    </i>
    <i r="1">
      <x v="103"/>
    </i>
    <i r="2">
      <x v="63"/>
    </i>
    <i>
      <x v="16"/>
    </i>
    <i r="1">
      <x v="49"/>
    </i>
    <i>
      <x v="17"/>
    </i>
    <i r="1">
      <x v="50"/>
    </i>
    <i r="2">
      <x v="2"/>
    </i>
    <i>
      <x v="18"/>
    </i>
    <i r="1">
      <x v="51"/>
    </i>
    <i>
      <x v="19"/>
    </i>
    <i r="1">
      <x v="52"/>
    </i>
    <i r="1">
      <x v="53"/>
    </i>
    <i r="1">
      <x v="54"/>
    </i>
    <i>
      <x v="20"/>
    </i>
    <i r="1">
      <x v="55"/>
    </i>
    <i>
      <x v="21"/>
    </i>
    <i r="1">
      <x v="56"/>
    </i>
    <i>
      <x v="22"/>
    </i>
    <i r="1">
      <x v="57"/>
    </i>
    <i r="1">
      <x v="58"/>
    </i>
    <i>
      <x v="23"/>
    </i>
    <i r="1">
      <x v="59"/>
    </i>
    <i r="1">
      <x v="60"/>
    </i>
    <i r="1">
      <x v="61"/>
    </i>
    <i r="1">
      <x v="62"/>
    </i>
    <i r="1">
      <x v="63"/>
    </i>
    <i r="1">
      <x v="64"/>
    </i>
    <i r="1">
      <x v="65"/>
    </i>
    <i r="1">
      <x v="66"/>
    </i>
    <i>
      <x v="24"/>
    </i>
    <i r="1">
      <x v="67"/>
    </i>
    <i>
      <x v="25"/>
    </i>
    <i r="1">
      <x v="68"/>
    </i>
    <i r="1">
      <x v="69"/>
    </i>
    <i r="1">
      <x v="70"/>
    </i>
    <i r="1">
      <x v="71"/>
    </i>
    <i>
      <x v="26"/>
    </i>
    <i r="1">
      <x v="72"/>
    </i>
    <i r="1">
      <x v="73"/>
    </i>
    <i r="1">
      <x v="74"/>
    </i>
    <i r="1">
      <x v="75"/>
    </i>
    <i r="1">
      <x v="76"/>
    </i>
    <i r="1">
      <x v="77"/>
    </i>
    <i>
      <x v="27"/>
    </i>
    <i r="1">
      <x v="78"/>
    </i>
    <i r="1">
      <x v="79"/>
    </i>
    <i r="1">
      <x v="80"/>
    </i>
    <i r="1">
      <x v="81"/>
    </i>
    <i r="1">
      <x v="82"/>
    </i>
    <i r="1">
      <x v="83"/>
    </i>
    <i r="1">
      <x v="84"/>
    </i>
    <i>
      <x v="28"/>
    </i>
    <i r="1">
      <x v="85"/>
    </i>
    <i>
      <x v="29"/>
    </i>
    <i r="1">
      <x v="86"/>
    </i>
    <i r="1">
      <x v="87"/>
    </i>
    <i r="1">
      <x v="88"/>
    </i>
    <i r="1">
      <x v="89"/>
    </i>
    <i r="1">
      <x v="90"/>
    </i>
    <i r="1">
      <x v="98"/>
    </i>
    <i r="1">
      <x v="99"/>
    </i>
    <i r="1">
      <x v="100"/>
    </i>
    <i>
      <x v="30"/>
    </i>
    <i r="1">
      <x v="91"/>
    </i>
    <i>
      <x v="31"/>
    </i>
    <i r="1">
      <x v="92"/>
    </i>
    <i>
      <x v="32"/>
    </i>
    <i r="1">
      <x v="93"/>
    </i>
    <i>
      <x v="33"/>
    </i>
    <i r="1">
      <x v="94"/>
    </i>
    <i r="1">
      <x v="102"/>
    </i>
    <i r="2">
      <x v="71"/>
    </i>
    <i>
      <x v="34"/>
    </i>
    <i r="1">
      <x v="95"/>
    </i>
    <i>
      <x v="35"/>
    </i>
    <i r="1">
      <x v="96"/>
    </i>
    <i>
      <x v="36"/>
    </i>
    <i r="1">
      <x v="97"/>
    </i>
    <i t="grand">
      <x/>
    </i>
  </rowItems>
  <colFields count="1">
    <field x="-2"/>
  </colFields>
  <colItems count="5">
    <i>
      <x/>
    </i>
    <i i="1">
      <x v="1"/>
    </i>
    <i i="2">
      <x v="2"/>
    </i>
    <i i="3">
      <x v="3"/>
    </i>
    <i i="4">
      <x v="4"/>
    </i>
  </colItems>
  <pageFields count="1">
    <pageField fld="5" hier="-1"/>
  </pageFields>
  <dataFields count="5">
    <dataField name="Cuenta de Valor esperado 2020" fld="28" subtotal="count" baseField="8" baseItem="0"/>
    <dataField name="Cuenta de Valor esperado 2021" fld="29" subtotal="count" baseField="9" baseItem="0"/>
    <dataField name="Cuenta de Valor esperado 2022" fld="30" subtotal="count" baseField="8" baseItem="3"/>
    <dataField name="Cuenta de Valor esperado 2023" fld="31" subtotal="count" baseField="8" baseItem="3"/>
    <dataField name="Cuenta de Indicador de Producto" fld="19" subtotal="count" baseField="0" baseItem="0"/>
  </dataFields>
  <formats count="11">
    <format dxfId="10">
      <pivotArea dataOnly="0" labelOnly="1" outline="0" fieldPosition="0">
        <references count="1">
          <reference field="4294967294" count="2">
            <x v="0"/>
            <x v="1"/>
          </reference>
        </references>
      </pivotArea>
    </format>
    <format dxfId="9">
      <pivotArea dataOnly="0" labelOnly="1" outline="0" fieldPosition="0">
        <references count="1">
          <reference field="4294967294" count="2">
            <x v="0"/>
            <x v="1"/>
          </reference>
        </references>
      </pivotArea>
    </format>
    <format dxfId="8">
      <pivotArea dataOnly="0" labelOnly="1" outline="0" fieldPosition="0">
        <references count="1">
          <reference field="4294967294" count="2">
            <x v="0"/>
            <x v="1"/>
          </reference>
        </references>
      </pivotArea>
    </format>
    <format dxfId="7">
      <pivotArea dataOnly="0" labelOnly="1" outline="0" fieldPosition="0">
        <references count="1">
          <reference field="4294967294" count="2">
            <x v="2"/>
            <x v="3"/>
          </reference>
        </references>
      </pivotArea>
    </format>
    <format dxfId="6">
      <pivotArea dataOnly="0" labelOnly="1" outline="0" fieldPosition="0">
        <references count="1">
          <reference field="4294967294" count="2">
            <x v="2"/>
            <x v="3"/>
          </reference>
        </references>
      </pivotArea>
    </format>
    <format dxfId="5">
      <pivotArea dataOnly="0" labelOnly="1" outline="0" fieldPosition="0">
        <references count="1">
          <reference field="4294967294" count="4">
            <x v="0"/>
            <x v="1"/>
            <x v="2"/>
            <x v="3"/>
          </reference>
        </references>
      </pivotArea>
    </format>
    <format dxfId="4">
      <pivotArea field="4" type="button" dataOnly="0" labelOnly="1" outline="0" axis="axisRow" fieldPosition="0"/>
    </format>
    <format dxfId="3">
      <pivotArea dataOnly="0" labelOnly="1" outline="0" fieldPosition="0">
        <references count="1">
          <reference field="4294967294" count="4">
            <x v="0"/>
            <x v="1"/>
            <x v="2"/>
            <x v="3"/>
          </reference>
        </references>
      </pivotArea>
    </format>
    <format dxfId="2">
      <pivotArea dataOnly="0" labelOnly="1" outline="0" fieldPosition="0">
        <references count="1">
          <reference field="4294967294" count="1">
            <x v="4"/>
          </reference>
        </references>
      </pivotArea>
    </format>
    <format dxfId="1">
      <pivotArea outline="0" collapsedLevelsAreSubtotals="1" fieldPosition="0">
        <references count="1">
          <reference field="4294967294" count="1" selected="0">
            <x v="1"/>
          </reference>
        </references>
      </pivotArea>
    </format>
    <format dxfId="0">
      <pivotArea outline="0" collapsedLevelsAreSubtotals="1" fieldPosition="0">
        <references count="1">
          <reference field="4294967294" count="1" selected="0">
            <x v="1"/>
          </reference>
        </references>
      </pivotArea>
    </format>
  </formats>
  <pivotTableStyleInfo name="PivotStyleLight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4FAD7-FCE8-4591-B93F-3FF9AE26D701}">
  <sheetPr codeName="Hoja1"/>
  <dimension ref="A1:CE568"/>
  <sheetViews>
    <sheetView showGridLines="0" topLeftCell="AO513" zoomScale="80" zoomScaleNormal="80" workbookViewId="0">
      <selection activeCell="I515" sqref="I515:AY520"/>
    </sheetView>
  </sheetViews>
  <sheetFormatPr baseColWidth="10" defaultColWidth="11.42578125" defaultRowHeight="15.75" x14ac:dyDescent="0.25"/>
  <cols>
    <col min="1" max="1" width="11.42578125" style="52" customWidth="1"/>
    <col min="2" max="2" width="32.5703125" style="55" customWidth="1"/>
    <col min="3" max="3" width="16.7109375" style="2" customWidth="1"/>
    <col min="4" max="4" width="18.28515625" style="2" customWidth="1"/>
    <col min="5" max="5" width="9.28515625" style="3" customWidth="1"/>
    <col min="6" max="6" width="32.42578125" style="55" customWidth="1"/>
    <col min="7" max="7" width="18.5703125" style="2" customWidth="1"/>
    <col min="8" max="8" width="18.42578125" style="2" customWidth="1"/>
    <col min="9" max="9" width="19" style="3" customWidth="1"/>
    <col min="10" max="10" width="27.7109375" style="55" customWidth="1"/>
    <col min="11" max="11" width="16.5703125" style="54" customWidth="1"/>
    <col min="12" max="12" width="17" style="3" customWidth="1"/>
    <col min="13" max="13" width="11.7109375" style="2" hidden="1" customWidth="1"/>
    <col min="14" max="14" width="28.28515625" style="2" hidden="1" customWidth="1"/>
    <col min="15" max="15" width="33.7109375" style="2" hidden="1" customWidth="1"/>
    <col min="16" max="16" width="31.42578125" style="54" hidden="1" customWidth="1"/>
    <col min="17" max="17" width="17.7109375" style="3" hidden="1" customWidth="1"/>
    <col min="18" max="18" width="14.28515625" style="3" hidden="1" customWidth="1"/>
    <col min="19" max="19" width="39.7109375" style="4" customWidth="1"/>
    <col min="20" max="20" width="36.28515625" style="4" customWidth="1"/>
    <col min="21" max="21" width="14.7109375" style="2" customWidth="1"/>
    <col min="22" max="22" width="17.28515625" style="2" customWidth="1"/>
    <col min="23" max="23" width="23.42578125" style="2" customWidth="1"/>
    <col min="24" max="24" width="17.42578125" style="2" hidden="1" customWidth="1"/>
    <col min="25" max="25" width="12.42578125" style="2" hidden="1" customWidth="1"/>
    <col min="26" max="26" width="12.5703125" style="2" hidden="1" customWidth="1"/>
    <col min="27" max="27" width="17.5703125" style="55" hidden="1" customWidth="1"/>
    <col min="28" max="28" width="30.5703125" style="2" customWidth="1"/>
    <col min="29" max="29" width="15.42578125" style="54" hidden="1" customWidth="1"/>
    <col min="30" max="30" width="16.5703125" style="80" hidden="1" customWidth="1"/>
    <col min="31" max="33" width="17.28515625" style="2" hidden="1" customWidth="1"/>
    <col min="34" max="34" width="23.28515625" style="2" hidden="1" customWidth="1"/>
    <col min="35" max="35" width="22.5703125" style="2" customWidth="1"/>
    <col min="36" max="37" width="25.28515625" style="2" customWidth="1"/>
    <col min="38" max="38" width="19.28515625" style="2" customWidth="1"/>
    <col min="39" max="39" width="27.5703125" style="53" customWidth="1"/>
    <col min="40" max="40" width="15.42578125" style="54" customWidth="1"/>
    <col min="41" max="41" width="18.7109375" style="2" customWidth="1"/>
    <col min="42" max="42" width="22.28515625" style="2" customWidth="1"/>
    <col min="43" max="43" width="26.7109375" style="2" customWidth="1"/>
    <col min="44" max="44" width="22.28515625" style="2" customWidth="1"/>
    <col min="45" max="50" width="19.28515625" style="80" customWidth="1"/>
    <col min="51" max="51" width="16.5703125" style="80" customWidth="1"/>
    <col min="52" max="52" width="21.28515625" style="53" customWidth="1"/>
    <col min="53" max="53" width="19.28515625" style="80" customWidth="1"/>
    <col min="54" max="54" width="25" style="80" customWidth="1"/>
    <col min="55" max="56" width="19.28515625" style="80" customWidth="1"/>
    <col min="57" max="60" width="19.28515625" style="53" hidden="1" customWidth="1"/>
    <col min="61" max="62" width="19.28515625" style="80" hidden="1" customWidth="1"/>
    <col min="63" max="66" width="19.28515625" style="53" hidden="1" customWidth="1"/>
    <col min="67" max="67" width="19.28515625" style="80" hidden="1" customWidth="1"/>
    <col min="68" max="71" width="19.28515625" style="53" hidden="1" customWidth="1"/>
    <col min="72" max="78" width="19.28515625" style="80" hidden="1" customWidth="1"/>
    <col min="79" max="79" width="14.42578125" style="2" hidden="1" customWidth="1"/>
    <col min="80" max="80" width="12.28515625" style="2" hidden="1" customWidth="1"/>
    <col min="81" max="81" width="23.28515625" style="2" hidden="1" customWidth="1"/>
    <col min="82" max="82" width="12.28515625" style="64" bestFit="1" customWidth="1"/>
    <col min="83" max="16384" width="11.42578125" style="64"/>
  </cols>
  <sheetData>
    <row r="1" spans="1:83" x14ac:dyDescent="0.25">
      <c r="AZ1" s="80"/>
      <c r="BE1" s="80"/>
      <c r="BF1" s="80"/>
      <c r="BG1" s="80"/>
      <c r="BH1" s="80"/>
      <c r="BK1" s="80"/>
      <c r="BL1" s="80"/>
      <c r="BM1" s="80"/>
      <c r="BN1" s="80"/>
      <c r="BP1" s="80"/>
      <c r="BQ1" s="80"/>
      <c r="BR1" s="80"/>
      <c r="BS1" s="80"/>
    </row>
    <row r="2" spans="1:83" ht="21" customHeight="1" x14ac:dyDescent="0.25">
      <c r="B2"/>
      <c r="C2"/>
      <c r="D2"/>
      <c r="AZ2" s="80"/>
      <c r="BE2" s="80"/>
      <c r="BF2" s="80"/>
      <c r="BG2" s="80"/>
      <c r="BH2" s="80"/>
      <c r="BK2" s="80"/>
      <c r="BL2" s="80"/>
      <c r="BM2" s="80"/>
      <c r="BN2" s="80"/>
      <c r="BP2" s="80"/>
      <c r="BQ2" s="80"/>
      <c r="BR2" s="80"/>
      <c r="BS2" s="80"/>
    </row>
    <row r="3" spans="1:83" ht="21" customHeight="1" x14ac:dyDescent="0.25">
      <c r="A3"/>
      <c r="B3"/>
      <c r="C3"/>
      <c r="D3"/>
      <c r="E3"/>
      <c r="F3"/>
      <c r="G3"/>
      <c r="H3"/>
      <c r="I3"/>
      <c r="J3"/>
      <c r="K3"/>
      <c r="L3"/>
      <c r="AC3" s="152"/>
      <c r="AD3" s="53"/>
      <c r="AI3" s="151"/>
      <c r="AJ3" s="151"/>
      <c r="AK3" s="151"/>
      <c r="AL3" s="151"/>
      <c r="AN3" s="152"/>
      <c r="AO3" s="151"/>
      <c r="AP3" s="151"/>
      <c r="AQ3" s="151"/>
      <c r="AR3" s="151"/>
      <c r="AS3" s="53"/>
      <c r="AT3" s="53"/>
      <c r="AU3" s="53"/>
      <c r="AV3" s="53"/>
      <c r="AW3" s="53"/>
      <c r="AX3" s="53"/>
      <c r="AY3" s="53"/>
      <c r="BA3" s="53"/>
      <c r="BB3" s="53"/>
      <c r="BC3" s="53"/>
      <c r="BD3" s="53"/>
      <c r="BI3" s="53"/>
      <c r="BJ3" s="53"/>
      <c r="BO3" s="53"/>
      <c r="BT3" s="53"/>
      <c r="BU3" s="53"/>
      <c r="BV3" s="53"/>
      <c r="BW3" s="53"/>
      <c r="BX3" s="53"/>
      <c r="BY3" s="53"/>
      <c r="BZ3" s="53"/>
    </row>
    <row r="4" spans="1:83" ht="28.5" customHeight="1" x14ac:dyDescent="0.25">
      <c r="A4"/>
      <c r="B4"/>
      <c r="C4"/>
      <c r="D4"/>
      <c r="E4"/>
      <c r="F4"/>
      <c r="G4"/>
      <c r="H4"/>
      <c r="I4"/>
      <c r="J4"/>
      <c r="K4"/>
      <c r="L4"/>
      <c r="AC4" s="152"/>
      <c r="AD4" s="53"/>
      <c r="AI4" s="151"/>
      <c r="AJ4" s="151"/>
      <c r="AK4" s="151"/>
      <c r="AL4" s="151"/>
      <c r="AN4" s="152"/>
      <c r="AO4" s="151"/>
      <c r="AP4" s="151"/>
      <c r="AQ4" s="151"/>
      <c r="AR4" s="151"/>
      <c r="AS4" s="53"/>
      <c r="AT4" s="53"/>
      <c r="AU4" s="53"/>
      <c r="AV4" s="53"/>
      <c r="AW4" s="53"/>
      <c r="AX4" s="53"/>
      <c r="AY4" s="53"/>
      <c r="BA4" s="53"/>
      <c r="BB4" s="53"/>
      <c r="BC4" s="53"/>
      <c r="BD4" s="53"/>
      <c r="BI4" s="53"/>
      <c r="BJ4" s="53"/>
      <c r="BO4" s="53"/>
      <c r="BT4" s="53"/>
      <c r="BU4" s="53"/>
      <c r="BV4" s="53"/>
      <c r="BW4" s="53"/>
      <c r="BX4" s="53"/>
      <c r="BY4" s="53"/>
      <c r="BZ4" s="53"/>
    </row>
    <row r="5" spans="1:83" ht="32.25" customHeight="1" x14ac:dyDescent="0.25">
      <c r="A5"/>
      <c r="B5"/>
      <c r="C5"/>
      <c r="D5"/>
      <c r="E5"/>
      <c r="F5"/>
      <c r="G5"/>
      <c r="H5"/>
      <c r="I5"/>
      <c r="J5"/>
      <c r="K5"/>
      <c r="L5"/>
      <c r="N5"/>
      <c r="O5"/>
      <c r="AC5" s="152"/>
      <c r="AD5" s="64"/>
      <c r="AI5" s="151"/>
      <c r="AJ5" s="64"/>
      <c r="AK5" s="64"/>
      <c r="AL5" s="64"/>
      <c r="AM5" s="64"/>
      <c r="AN5" s="152"/>
      <c r="AO5" s="151"/>
      <c r="AP5" s="64"/>
      <c r="AQ5" s="64"/>
      <c r="AR5" s="64"/>
      <c r="AS5" s="64"/>
      <c r="AT5" s="64"/>
      <c r="AU5" s="64"/>
      <c r="AV5" s="64"/>
      <c r="AW5" s="64"/>
      <c r="AX5" s="64"/>
      <c r="AY5" s="64"/>
      <c r="AZ5" s="431"/>
      <c r="BA5" s="431"/>
      <c r="BB5" s="431"/>
      <c r="BC5" s="431"/>
      <c r="BD5" s="431"/>
      <c r="BE5" s="64"/>
      <c r="BF5" s="64"/>
      <c r="BG5" s="64"/>
      <c r="BH5" s="64"/>
      <c r="BI5" s="64"/>
      <c r="BJ5" s="64"/>
      <c r="BK5" s="64"/>
      <c r="BL5" s="64"/>
      <c r="BM5" s="64"/>
      <c r="BN5" s="64"/>
      <c r="BO5" s="64"/>
      <c r="BP5" s="64"/>
      <c r="BQ5" s="64"/>
      <c r="BR5" s="64"/>
      <c r="BS5" s="64"/>
      <c r="BT5" s="64"/>
      <c r="BU5" s="64"/>
      <c r="BV5" s="64"/>
      <c r="BW5" s="64"/>
      <c r="BX5" s="64"/>
      <c r="BY5" s="64"/>
      <c r="BZ5" s="64"/>
    </row>
    <row r="6" spans="1:83" ht="24.75" customHeight="1" x14ac:dyDescent="0.25">
      <c r="A6"/>
      <c r="B6"/>
      <c r="C6"/>
      <c r="D6"/>
      <c r="E6"/>
      <c r="F6"/>
      <c r="G6"/>
      <c r="H6"/>
      <c r="I6"/>
      <c r="J6"/>
      <c r="K6"/>
      <c r="L6"/>
      <c r="N6"/>
      <c r="O6"/>
      <c r="AC6" s="152"/>
      <c r="AD6" s="186"/>
      <c r="AI6" s="151"/>
      <c r="AJ6" s="185"/>
      <c r="AK6" s="185"/>
      <c r="AL6" s="185"/>
      <c r="AM6" s="186"/>
      <c r="AN6" s="152"/>
      <c r="AO6" s="151"/>
      <c r="AP6" s="185"/>
      <c r="AQ6" s="185"/>
      <c r="AR6" s="185"/>
      <c r="AS6" s="186"/>
      <c r="AT6" s="186"/>
      <c r="AU6" s="186"/>
      <c r="AV6" s="186"/>
      <c r="AW6" s="186"/>
      <c r="AX6" s="186"/>
      <c r="AY6" s="186"/>
      <c r="AZ6" s="186"/>
      <c r="BA6" s="186"/>
      <c r="BB6" s="186"/>
      <c r="BC6" s="186"/>
      <c r="BD6" s="186"/>
      <c r="BE6" s="186"/>
      <c r="BF6" s="186"/>
      <c r="BG6" s="186"/>
      <c r="BH6" s="186"/>
      <c r="BI6" s="186"/>
      <c r="BJ6" s="186"/>
      <c r="BK6" s="186"/>
      <c r="BL6" s="186"/>
      <c r="BM6" s="186"/>
      <c r="BN6" s="186"/>
      <c r="BO6" s="186"/>
      <c r="BP6" s="186"/>
      <c r="BQ6" s="186"/>
      <c r="BR6" s="186"/>
      <c r="BS6" s="186"/>
      <c r="BT6" s="186"/>
      <c r="BU6" s="186"/>
      <c r="BV6" s="186"/>
      <c r="BW6" s="186"/>
      <c r="BX6" s="186"/>
      <c r="BY6" s="186"/>
      <c r="BZ6" s="186"/>
    </row>
    <row r="7" spans="1:83" ht="28.5" customHeight="1" x14ac:dyDescent="0.25">
      <c r="A7"/>
      <c r="B7"/>
      <c r="C7"/>
      <c r="D7"/>
      <c r="E7"/>
      <c r="F7"/>
      <c r="G7"/>
      <c r="H7"/>
      <c r="I7"/>
      <c r="J7"/>
      <c r="K7"/>
      <c r="L7"/>
      <c r="N7"/>
      <c r="O7"/>
      <c r="AC7" s="152"/>
      <c r="AD7" s="186"/>
      <c r="AI7" s="151"/>
      <c r="AJ7" s="185"/>
      <c r="AK7" s="185"/>
      <c r="AL7" s="185"/>
      <c r="AM7" s="186"/>
      <c r="AN7" s="152"/>
      <c r="AO7" s="151"/>
      <c r="AP7" s="185"/>
      <c r="AQ7" s="185"/>
      <c r="AR7" s="185"/>
      <c r="AS7" s="186"/>
      <c r="AT7" s="186"/>
      <c r="AU7" s="186"/>
      <c r="AV7" s="186"/>
      <c r="AW7" s="186"/>
      <c r="AX7" s="186"/>
      <c r="AY7" s="186"/>
      <c r="AZ7" s="186"/>
      <c r="BA7" s="186"/>
      <c r="BB7" s="186"/>
      <c r="BC7" s="186"/>
      <c r="BD7" s="186"/>
      <c r="BE7" s="186"/>
      <c r="BF7" s="186"/>
      <c r="BG7" s="186"/>
      <c r="BH7" s="186"/>
      <c r="BI7" s="186"/>
      <c r="BJ7" s="186"/>
      <c r="BK7" s="186"/>
      <c r="BL7" s="186"/>
      <c r="BM7" s="186"/>
      <c r="BN7" s="186"/>
      <c r="BO7" s="186"/>
      <c r="BP7" s="186"/>
      <c r="BQ7" s="186"/>
      <c r="BR7" s="186"/>
      <c r="BS7" s="186"/>
      <c r="BT7" s="186"/>
      <c r="BU7" s="186"/>
      <c r="BV7" s="186"/>
      <c r="BW7" s="186"/>
      <c r="BX7" s="186"/>
      <c r="BY7" s="186"/>
      <c r="BZ7" s="186"/>
    </row>
    <row r="8" spans="1:83" ht="31.5" customHeight="1" x14ac:dyDescent="0.25">
      <c r="A8"/>
      <c r="B8"/>
      <c r="C8"/>
      <c r="D8"/>
      <c r="E8"/>
      <c r="F8"/>
      <c r="G8"/>
      <c r="H8"/>
      <c r="I8"/>
      <c r="J8"/>
      <c r="K8"/>
      <c r="L8"/>
      <c r="N8"/>
      <c r="O8"/>
      <c r="W8" s="186"/>
      <c r="X8" s="186"/>
      <c r="AA8" s="2"/>
      <c r="AC8" s="152"/>
      <c r="AD8" s="186"/>
      <c r="AI8" s="151"/>
      <c r="AJ8" s="185"/>
      <c r="AK8" s="185"/>
      <c r="AL8" s="185"/>
      <c r="AM8" s="186"/>
      <c r="AN8" s="152"/>
      <c r="AO8" s="151"/>
      <c r="AP8" s="185"/>
      <c r="AQ8" s="185"/>
      <c r="AR8" s="185"/>
      <c r="AS8" s="186"/>
      <c r="AT8" s="186"/>
      <c r="AU8" s="186"/>
      <c r="AV8" s="186"/>
      <c r="AW8" s="186"/>
      <c r="AX8" s="186"/>
      <c r="AY8" s="186"/>
      <c r="AZ8" s="186"/>
      <c r="BA8" s="186"/>
      <c r="BB8" s="186"/>
      <c r="BC8" s="186"/>
      <c r="BD8" s="186"/>
      <c r="BE8" s="186"/>
      <c r="BF8" s="186"/>
      <c r="BG8" s="186"/>
      <c r="BH8" s="186"/>
      <c r="BI8" s="186"/>
      <c r="BJ8" s="186"/>
      <c r="BK8" s="186"/>
      <c r="BL8" s="186"/>
      <c r="BM8" s="186"/>
      <c r="BN8" s="186"/>
      <c r="BO8" s="186"/>
      <c r="BP8" s="186"/>
      <c r="BQ8" s="186"/>
      <c r="BR8" s="186"/>
      <c r="BS8" s="186"/>
      <c r="BT8" s="186"/>
      <c r="BU8" s="186"/>
      <c r="BV8" s="186"/>
      <c r="BW8" s="186"/>
      <c r="BX8" s="186"/>
      <c r="BY8" s="186"/>
      <c r="BZ8" s="186"/>
      <c r="CA8" s="55"/>
      <c r="CD8" s="2"/>
      <c r="CE8" s="2"/>
    </row>
    <row r="9" spans="1:83" ht="30.75" customHeight="1" x14ac:dyDescent="0.25">
      <c r="A9"/>
      <c r="B9"/>
      <c r="AC9" s="152"/>
      <c r="AD9" s="186"/>
      <c r="AI9" s="151"/>
      <c r="AJ9" s="171">
        <f>COUNT(AM14:AM567)</f>
        <v>553</v>
      </c>
      <c r="AK9" s="171"/>
      <c r="AL9" s="362"/>
      <c r="AM9" s="172">
        <f>'CUMPLIMIENTO '!G10</f>
        <v>0.26338387305792299</v>
      </c>
      <c r="AN9" s="152"/>
      <c r="AO9" s="151"/>
      <c r="AP9" s="171">
        <f>COUNT(AN14:AN567)</f>
        <v>380</v>
      </c>
      <c r="AQ9" s="171"/>
      <c r="AR9" s="362"/>
      <c r="AS9" s="172">
        <f>'CUMPLIMIENTO '!H10</f>
        <v>0.28726565544596755</v>
      </c>
      <c r="AT9" s="186"/>
      <c r="AU9" s="186"/>
      <c r="AV9" s="186"/>
      <c r="AW9" s="186"/>
      <c r="AX9" s="186"/>
      <c r="AY9" s="418"/>
      <c r="AZ9" s="418"/>
      <c r="BA9" s="418"/>
      <c r="BB9" s="418"/>
      <c r="BC9" s="418"/>
      <c r="BD9" s="418"/>
      <c r="BE9" s="186"/>
      <c r="BF9" s="186"/>
      <c r="BG9" s="186"/>
      <c r="BH9" s="186"/>
      <c r="BI9" s="186"/>
      <c r="BJ9" s="186"/>
      <c r="BK9" s="186"/>
      <c r="BL9" s="186"/>
      <c r="BM9" s="186"/>
      <c r="BN9" s="186"/>
      <c r="BO9" s="186"/>
      <c r="BP9" s="186"/>
      <c r="BQ9" s="186"/>
      <c r="BR9" s="186"/>
      <c r="BS9" s="186"/>
      <c r="BT9" s="186"/>
      <c r="BU9" s="186"/>
      <c r="BV9" s="186"/>
      <c r="BW9" s="186"/>
      <c r="BX9" s="186"/>
      <c r="BY9" s="186"/>
      <c r="BZ9" s="186"/>
    </row>
    <row r="10" spans="1:83" ht="30" customHeight="1" x14ac:dyDescent="0.25">
      <c r="A10" s="590" t="s">
        <v>0</v>
      </c>
      <c r="B10" s="591"/>
      <c r="C10" s="591"/>
      <c r="D10" s="591"/>
      <c r="E10" s="591"/>
      <c r="F10" s="591"/>
      <c r="G10" s="591"/>
      <c r="H10" s="591"/>
      <c r="I10" s="591"/>
      <c r="J10" s="591"/>
      <c r="K10" s="591"/>
      <c r="L10" s="591"/>
      <c r="M10" s="591"/>
      <c r="N10" s="591"/>
      <c r="O10" s="591"/>
      <c r="P10" s="592"/>
      <c r="Q10" s="592"/>
      <c r="R10" s="592"/>
      <c r="S10" s="591"/>
      <c r="T10" s="591"/>
      <c r="U10" s="591"/>
      <c r="V10" s="591"/>
      <c r="W10" s="591"/>
      <c r="X10" s="591"/>
      <c r="Y10" s="591"/>
      <c r="Z10" s="591"/>
      <c r="AA10" s="591"/>
      <c r="AB10" s="591"/>
      <c r="AC10" s="591"/>
      <c r="AD10" s="591"/>
      <c r="AE10" s="591"/>
      <c r="AF10" s="591"/>
      <c r="AG10" s="591"/>
      <c r="AH10" s="591"/>
      <c r="AI10" s="591"/>
      <c r="AJ10" s="591"/>
      <c r="AK10" s="591"/>
      <c r="AL10" s="591"/>
      <c r="AM10" s="591"/>
      <c r="AN10" s="592"/>
      <c r="AO10" s="591"/>
      <c r="AP10" s="591"/>
      <c r="AQ10" s="591"/>
      <c r="AR10" s="591"/>
      <c r="AS10" s="591"/>
      <c r="AT10" s="591"/>
      <c r="AU10" s="591"/>
      <c r="AV10" s="591"/>
      <c r="AW10" s="591"/>
      <c r="AX10" s="591"/>
      <c r="AY10" s="591"/>
      <c r="AZ10" s="591"/>
      <c r="BA10" s="591"/>
      <c r="BB10" s="591"/>
      <c r="BC10" s="591"/>
      <c r="BD10" s="591"/>
      <c r="BE10" s="591"/>
      <c r="BF10" s="591"/>
      <c r="BG10" s="591"/>
      <c r="BH10" s="591"/>
      <c r="BI10" s="591"/>
      <c r="BJ10" s="591"/>
      <c r="BK10" s="591"/>
      <c r="BL10" s="591"/>
      <c r="BM10" s="591"/>
      <c r="BN10" s="591"/>
      <c r="BO10" s="591"/>
      <c r="BP10" s="591"/>
      <c r="BQ10" s="591"/>
      <c r="BR10" s="591"/>
      <c r="BS10" s="591"/>
      <c r="BT10" s="591"/>
      <c r="BU10" s="591"/>
      <c r="BV10" s="591"/>
      <c r="BW10" s="591"/>
      <c r="BX10" s="591"/>
      <c r="BY10" s="591"/>
      <c r="BZ10" s="591"/>
      <c r="CA10" s="591"/>
      <c r="CB10" s="591"/>
      <c r="CC10" s="593"/>
    </row>
    <row r="11" spans="1:83" ht="48" customHeight="1" x14ac:dyDescent="0.25">
      <c r="A11" s="347" t="s">
        <v>1</v>
      </c>
      <c r="B11" s="348"/>
      <c r="C11" s="348"/>
      <c r="D11" s="348"/>
      <c r="E11" s="348"/>
      <c r="F11" s="348"/>
      <c r="G11" s="348"/>
      <c r="H11" s="348"/>
      <c r="I11" s="348"/>
      <c r="J11" s="348"/>
      <c r="K11" s="348"/>
      <c r="L11" s="348"/>
      <c r="M11" s="348"/>
      <c r="N11" s="348"/>
      <c r="O11" s="348"/>
      <c r="P11" s="419"/>
      <c r="Q11" s="419"/>
      <c r="R11" s="348"/>
      <c r="S11" s="348"/>
      <c r="T11" s="348"/>
      <c r="U11" s="348"/>
      <c r="V11" s="348"/>
      <c r="W11" s="348"/>
      <c r="X11" s="348"/>
      <c r="Y11" s="348"/>
      <c r="Z11" s="348"/>
      <c r="AA11" s="348"/>
      <c r="AB11" s="349"/>
      <c r="AC11" s="348"/>
      <c r="AD11" s="348"/>
      <c r="AE11" s="348"/>
      <c r="AF11" s="348"/>
      <c r="AG11" s="348"/>
      <c r="AH11" s="348"/>
      <c r="AI11" s="555">
        <v>2020</v>
      </c>
      <c r="AJ11" s="556"/>
      <c r="AK11" s="556"/>
      <c r="AL11" s="556"/>
      <c r="AM11" s="556"/>
      <c r="AN11" s="556"/>
      <c r="AO11" s="556"/>
      <c r="AP11" s="556"/>
      <c r="AQ11" s="556"/>
      <c r="AR11" s="556"/>
      <c r="AS11" s="557"/>
      <c r="AT11" s="552">
        <v>2021</v>
      </c>
      <c r="AU11" s="553"/>
      <c r="AV11" s="553"/>
      <c r="AW11" s="553"/>
      <c r="AX11" s="553"/>
      <c r="AY11" s="553"/>
      <c r="AZ11" s="553"/>
      <c r="BA11" s="553"/>
      <c r="BB11" s="553"/>
      <c r="BC11" s="553"/>
      <c r="BD11" s="554"/>
      <c r="BE11" s="540">
        <v>2022</v>
      </c>
      <c r="BF11" s="541"/>
      <c r="BG11" s="541"/>
      <c r="BH11" s="541"/>
      <c r="BI11" s="541"/>
      <c r="BJ11" s="541"/>
      <c r="BK11" s="541"/>
      <c r="BL11" s="541"/>
      <c r="BM11" s="541"/>
      <c r="BN11" s="541"/>
      <c r="BO11" s="542"/>
      <c r="BP11" s="531">
        <v>2023</v>
      </c>
      <c r="BQ11" s="532"/>
      <c r="BR11" s="532"/>
      <c r="BS11" s="532"/>
      <c r="BT11" s="532"/>
      <c r="BU11" s="532"/>
      <c r="BV11" s="532"/>
      <c r="BW11" s="532"/>
      <c r="BX11" s="532"/>
      <c r="BY11" s="532"/>
      <c r="BZ11" s="533"/>
      <c r="CA11" s="594" t="s">
        <v>2</v>
      </c>
      <c r="CB11" s="594"/>
      <c r="CC11" s="594"/>
    </row>
    <row r="12" spans="1:83" ht="48" customHeight="1" x14ac:dyDescent="0.25">
      <c r="A12" s="347"/>
      <c r="B12" s="348"/>
      <c r="C12" s="348"/>
      <c r="D12" s="348"/>
      <c r="E12" s="348"/>
      <c r="F12" s="348"/>
      <c r="G12" s="348"/>
      <c r="H12" s="348"/>
      <c r="I12" s="348"/>
      <c r="J12" s="348"/>
      <c r="K12" s="348"/>
      <c r="L12" s="348"/>
      <c r="M12" s="348"/>
      <c r="N12" s="348"/>
      <c r="O12" s="348"/>
      <c r="P12" s="419"/>
      <c r="Q12" s="419"/>
      <c r="R12" s="348"/>
      <c r="S12" s="348"/>
      <c r="T12" s="348"/>
      <c r="U12" s="348"/>
      <c r="V12" s="348"/>
      <c r="W12" s="348"/>
      <c r="X12" s="348"/>
      <c r="Y12" s="348"/>
      <c r="Z12" s="348"/>
      <c r="AA12" s="348"/>
      <c r="AB12" s="349"/>
      <c r="AC12" s="549" t="s">
        <v>1970</v>
      </c>
      <c r="AD12" s="550"/>
      <c r="AE12" s="550"/>
      <c r="AF12" s="551"/>
      <c r="AG12" s="375"/>
      <c r="AH12" s="375"/>
      <c r="AI12" s="561" t="s">
        <v>1927</v>
      </c>
      <c r="AJ12" s="562"/>
      <c r="AK12" s="562"/>
      <c r="AL12" s="562"/>
      <c r="AM12" s="563"/>
      <c r="AN12" s="564" t="s">
        <v>1929</v>
      </c>
      <c r="AO12" s="565"/>
      <c r="AP12" s="565"/>
      <c r="AQ12" s="565"/>
      <c r="AR12" s="565"/>
      <c r="AS12" s="566"/>
      <c r="AT12" s="558" t="s">
        <v>1927</v>
      </c>
      <c r="AU12" s="559"/>
      <c r="AV12" s="559"/>
      <c r="AW12" s="559"/>
      <c r="AX12" s="560"/>
      <c r="AY12" s="552" t="s">
        <v>1928</v>
      </c>
      <c r="AZ12" s="553"/>
      <c r="BA12" s="553"/>
      <c r="BB12" s="553"/>
      <c r="BC12" s="553"/>
      <c r="BD12" s="554"/>
      <c r="BE12" s="543" t="s">
        <v>1927</v>
      </c>
      <c r="BF12" s="544"/>
      <c r="BG12" s="544"/>
      <c r="BH12" s="544"/>
      <c r="BI12" s="545"/>
      <c r="BJ12" s="546" t="s">
        <v>1963</v>
      </c>
      <c r="BK12" s="547"/>
      <c r="BL12" s="547"/>
      <c r="BM12" s="547"/>
      <c r="BN12" s="547"/>
      <c r="BO12" s="548"/>
      <c r="BP12" s="534" t="s">
        <v>1927</v>
      </c>
      <c r="BQ12" s="535"/>
      <c r="BR12" s="535"/>
      <c r="BS12" s="535"/>
      <c r="BT12" s="536"/>
      <c r="BU12" s="537" t="s">
        <v>1964</v>
      </c>
      <c r="BV12" s="538"/>
      <c r="BW12" s="538"/>
      <c r="BX12" s="538"/>
      <c r="BY12" s="538"/>
      <c r="BZ12" s="539"/>
      <c r="CA12" s="332"/>
      <c r="CB12" s="332"/>
      <c r="CC12" s="332"/>
    </row>
    <row r="13" spans="1:83" s="63" customFormat="1" ht="99" customHeight="1" x14ac:dyDescent="0.25">
      <c r="A13" s="58" t="s">
        <v>3</v>
      </c>
      <c r="B13" s="58" t="s">
        <v>4</v>
      </c>
      <c r="C13" s="58" t="s">
        <v>5</v>
      </c>
      <c r="D13" s="58" t="s">
        <v>2007</v>
      </c>
      <c r="E13" s="58" t="s">
        <v>6</v>
      </c>
      <c r="F13" s="58" t="s">
        <v>7</v>
      </c>
      <c r="G13" s="57" t="s">
        <v>8</v>
      </c>
      <c r="H13" s="6" t="s">
        <v>9</v>
      </c>
      <c r="I13" s="58" t="s">
        <v>10</v>
      </c>
      <c r="J13" s="58" t="s">
        <v>11</v>
      </c>
      <c r="K13" s="57" t="s">
        <v>12</v>
      </c>
      <c r="L13" s="6" t="s">
        <v>2008</v>
      </c>
      <c r="M13" s="58" t="s">
        <v>13</v>
      </c>
      <c r="N13" s="58" t="s">
        <v>14</v>
      </c>
      <c r="O13" s="58" t="s">
        <v>15</v>
      </c>
      <c r="P13" s="58" t="s">
        <v>16</v>
      </c>
      <c r="Q13" s="58" t="s">
        <v>17</v>
      </c>
      <c r="R13" s="58" t="s">
        <v>18</v>
      </c>
      <c r="S13" s="58" t="s">
        <v>19</v>
      </c>
      <c r="T13" s="58" t="s">
        <v>20</v>
      </c>
      <c r="U13" s="58" t="s">
        <v>21</v>
      </c>
      <c r="V13" s="58" t="s">
        <v>22</v>
      </c>
      <c r="W13" s="58" t="s">
        <v>30</v>
      </c>
      <c r="X13" s="58" t="s">
        <v>31</v>
      </c>
      <c r="Y13" s="58" t="s">
        <v>32</v>
      </c>
      <c r="Z13" s="58" t="s">
        <v>33</v>
      </c>
      <c r="AA13" s="58" t="s">
        <v>34</v>
      </c>
      <c r="AB13" s="417" t="s">
        <v>35</v>
      </c>
      <c r="AC13" s="416" t="s">
        <v>26</v>
      </c>
      <c r="AD13" s="416" t="s">
        <v>1922</v>
      </c>
      <c r="AE13" s="416" t="s">
        <v>1946</v>
      </c>
      <c r="AF13" s="416" t="s">
        <v>1954</v>
      </c>
      <c r="AG13" s="376" t="s">
        <v>1972</v>
      </c>
      <c r="AH13" s="376" t="s">
        <v>1973</v>
      </c>
      <c r="AI13" s="5" t="s">
        <v>23</v>
      </c>
      <c r="AJ13" s="5" t="s">
        <v>24</v>
      </c>
      <c r="AK13" s="5" t="s">
        <v>1968</v>
      </c>
      <c r="AL13" s="5" t="s">
        <v>1966</v>
      </c>
      <c r="AM13" s="6" t="s">
        <v>25</v>
      </c>
      <c r="AN13" s="7" t="s">
        <v>26</v>
      </c>
      <c r="AO13" s="8" t="s">
        <v>27</v>
      </c>
      <c r="AP13" s="8" t="s">
        <v>28</v>
      </c>
      <c r="AQ13" s="8" t="s">
        <v>1967</v>
      </c>
      <c r="AR13" s="8" t="s">
        <v>1913</v>
      </c>
      <c r="AS13" s="9" t="s">
        <v>29</v>
      </c>
      <c r="AT13" s="5" t="s">
        <v>1959</v>
      </c>
      <c r="AU13" s="5" t="s">
        <v>1919</v>
      </c>
      <c r="AV13" s="5" t="s">
        <v>1920</v>
      </c>
      <c r="AW13" s="5" t="s">
        <v>1921</v>
      </c>
      <c r="AX13" s="6" t="s">
        <v>25</v>
      </c>
      <c r="AY13" s="7" t="s">
        <v>1922</v>
      </c>
      <c r="AZ13" s="8" t="s">
        <v>2005</v>
      </c>
      <c r="BA13" s="8" t="s">
        <v>1923</v>
      </c>
      <c r="BB13" s="8" t="s">
        <v>1924</v>
      </c>
      <c r="BC13" s="8" t="s">
        <v>1925</v>
      </c>
      <c r="BD13" s="9" t="s">
        <v>1926</v>
      </c>
      <c r="BE13" s="5" t="s">
        <v>1960</v>
      </c>
      <c r="BF13" s="5" t="s">
        <v>1943</v>
      </c>
      <c r="BG13" s="5" t="s">
        <v>1944</v>
      </c>
      <c r="BH13" s="5" t="s">
        <v>1945</v>
      </c>
      <c r="BI13" s="6" t="s">
        <v>25</v>
      </c>
      <c r="BJ13" s="7" t="s">
        <v>1946</v>
      </c>
      <c r="BK13" s="8" t="s">
        <v>1961</v>
      </c>
      <c r="BL13" s="8" t="s">
        <v>1947</v>
      </c>
      <c r="BM13" s="8" t="s">
        <v>1948</v>
      </c>
      <c r="BN13" s="8" t="s">
        <v>1949</v>
      </c>
      <c r="BO13" s="9" t="s">
        <v>1950</v>
      </c>
      <c r="BP13" s="5" t="s">
        <v>1962</v>
      </c>
      <c r="BQ13" s="5" t="s">
        <v>1951</v>
      </c>
      <c r="BR13" s="5" t="s">
        <v>1952</v>
      </c>
      <c r="BS13" s="5" t="s">
        <v>1953</v>
      </c>
      <c r="BT13" s="6" t="s">
        <v>25</v>
      </c>
      <c r="BU13" s="7" t="s">
        <v>1954</v>
      </c>
      <c r="BV13" s="8" t="s">
        <v>1965</v>
      </c>
      <c r="BW13" s="8" t="s">
        <v>1955</v>
      </c>
      <c r="BX13" s="8" t="s">
        <v>1956</v>
      </c>
      <c r="BY13" s="8" t="s">
        <v>1957</v>
      </c>
      <c r="BZ13" s="9" t="s">
        <v>1958</v>
      </c>
      <c r="CA13" s="59" t="s">
        <v>36</v>
      </c>
      <c r="CB13" s="59" t="s">
        <v>37</v>
      </c>
      <c r="CC13" s="60" t="s">
        <v>38</v>
      </c>
    </row>
    <row r="14" spans="1:83" s="52" customFormat="1" ht="71.25" customHeight="1" x14ac:dyDescent="0.25">
      <c r="A14" s="1">
        <v>1</v>
      </c>
      <c r="B14" s="13" t="s">
        <v>1746</v>
      </c>
      <c r="C14" s="588">
        <f>+AVERAGEIF(B14:B567,B14,AX14:AX567)</f>
        <v>0.31759162410924041</v>
      </c>
      <c r="D14" s="589">
        <f>+AVERAGEIF(B14:B567,B14,BD14:BD567)</f>
        <v>0.23751108567906601</v>
      </c>
      <c r="E14" s="10" t="s">
        <v>39</v>
      </c>
      <c r="F14" s="13" t="s">
        <v>40</v>
      </c>
      <c r="G14" s="588">
        <f>+AVERAGEIF(F14:F567,F14,AX14:AX567)</f>
        <v>0.10410714285714286</v>
      </c>
      <c r="H14" s="589">
        <f>+AVERAGEIF(F14:F567,F14,$BD$14:$BD$567)</f>
        <v>0.33333333333333331</v>
      </c>
      <c r="I14" s="10" t="s">
        <v>41</v>
      </c>
      <c r="J14" s="13" t="s">
        <v>1901</v>
      </c>
      <c r="K14" s="567">
        <f>+AVERAGE(AX14:AX27)</f>
        <v>0.10410714285714286</v>
      </c>
      <c r="L14" s="589">
        <f>+AVERAGE(BD14:BD27)</f>
        <v>0.33333333333333331</v>
      </c>
      <c r="M14" s="11" t="s">
        <v>43</v>
      </c>
      <c r="N14" s="12" t="s">
        <v>44</v>
      </c>
      <c r="O14" s="13" t="s">
        <v>45</v>
      </c>
      <c r="P14" s="26">
        <v>1</v>
      </c>
      <c r="Q14" s="26">
        <v>1</v>
      </c>
      <c r="R14" s="14" t="s">
        <v>46</v>
      </c>
      <c r="S14" s="15" t="s">
        <v>47</v>
      </c>
      <c r="T14" s="13" t="s">
        <v>48</v>
      </c>
      <c r="U14" s="1">
        <v>0</v>
      </c>
      <c r="V14" s="1">
        <v>1</v>
      </c>
      <c r="W14" s="1" t="s">
        <v>49</v>
      </c>
      <c r="X14" s="1" t="s">
        <v>50</v>
      </c>
      <c r="Y14" s="1" t="s">
        <v>50</v>
      </c>
      <c r="Z14" s="1">
        <v>41</v>
      </c>
      <c r="AA14" s="24" t="s">
        <v>51</v>
      </c>
      <c r="AB14" s="10" t="s">
        <v>1761</v>
      </c>
      <c r="AC14" s="156"/>
      <c r="AD14" s="108"/>
      <c r="AE14" s="156"/>
      <c r="AF14" s="156"/>
      <c r="AG14" s="377">
        <f t="shared" ref="AG14:AG19" si="0">SUBTOTAL(9,AC14:AF14)</f>
        <v>0</v>
      </c>
      <c r="AH14" s="377" t="b">
        <f>V14=AG14</f>
        <v>0</v>
      </c>
      <c r="AI14" s="1"/>
      <c r="AJ14" s="1"/>
      <c r="AK14" s="1"/>
      <c r="AL14" s="1"/>
      <c r="AM14" s="16">
        <f>+AL14/V14</f>
        <v>0</v>
      </c>
      <c r="AN14" s="156"/>
      <c r="AO14" s="1"/>
      <c r="AP14" s="1"/>
      <c r="AQ14" s="1">
        <f>AK14</f>
        <v>0</v>
      </c>
      <c r="AR14" s="1"/>
      <c r="AS14" s="21" t="s">
        <v>310</v>
      </c>
      <c r="AT14" s="1">
        <f t="shared" ref="AT14:AT78" si="1">IF(W14="Mantenimiento",(AL14+AZ14)/4*100%,AL14+AZ14)</f>
        <v>0</v>
      </c>
      <c r="AU14" s="31"/>
      <c r="AV14" s="31"/>
      <c r="AW14" s="31"/>
      <c r="AX14" s="16">
        <f>IF(AT14/V14&gt;100%,100%,(AT14/V14))</f>
        <v>0</v>
      </c>
      <c r="AY14" s="108" t="s">
        <v>310</v>
      </c>
      <c r="AZ14" s="76">
        <v>0</v>
      </c>
      <c r="BA14" s="31"/>
      <c r="BB14" s="31"/>
      <c r="BC14" s="31"/>
      <c r="BD14" s="16" t="str">
        <f t="shared" ref="BD14:BD20" si="2">IFERROR(IF((+AZ14/AY14)&gt;100%,100%,(+AZ14/AY14)),"NP")</f>
        <v>NP</v>
      </c>
      <c r="BE14" s="31"/>
      <c r="BF14" s="31"/>
      <c r="BG14" s="31"/>
      <c r="BH14" s="31"/>
      <c r="BI14" s="16"/>
      <c r="BJ14" s="16"/>
      <c r="BK14" s="31"/>
      <c r="BL14" s="31"/>
      <c r="BM14" s="31"/>
      <c r="BN14" s="31"/>
      <c r="BO14" s="16"/>
      <c r="BP14" s="31"/>
      <c r="BQ14" s="31"/>
      <c r="BR14" s="31"/>
      <c r="BS14" s="31"/>
      <c r="BT14" s="16"/>
      <c r="BU14" s="16"/>
      <c r="BV14" s="16"/>
      <c r="BW14" s="16"/>
      <c r="BX14" s="16"/>
      <c r="BY14" s="16"/>
      <c r="BZ14" s="16"/>
      <c r="CA14" s="1"/>
      <c r="CB14" s="1"/>
      <c r="CC14" s="1"/>
    </row>
    <row r="15" spans="1:83" s="52" customFormat="1" ht="71.25" customHeight="1" x14ac:dyDescent="0.25">
      <c r="A15" s="1">
        <v>1</v>
      </c>
      <c r="B15" s="13" t="s">
        <v>1746</v>
      </c>
      <c r="C15" s="588"/>
      <c r="D15" s="589"/>
      <c r="E15" s="10" t="s">
        <v>39</v>
      </c>
      <c r="F15" s="13" t="s">
        <v>40</v>
      </c>
      <c r="G15" s="588"/>
      <c r="H15" s="589"/>
      <c r="I15" s="10" t="s">
        <v>41</v>
      </c>
      <c r="J15" s="13" t="s">
        <v>1901</v>
      </c>
      <c r="K15" s="572"/>
      <c r="L15" s="589"/>
      <c r="M15" s="11" t="s">
        <v>43</v>
      </c>
      <c r="N15" s="12" t="s">
        <v>44</v>
      </c>
      <c r="O15" s="13" t="s">
        <v>45</v>
      </c>
      <c r="P15" s="26">
        <v>1</v>
      </c>
      <c r="Q15" s="26">
        <v>1</v>
      </c>
      <c r="R15" s="14" t="s">
        <v>52</v>
      </c>
      <c r="S15" s="13" t="s">
        <v>53</v>
      </c>
      <c r="T15" s="13" t="s">
        <v>54</v>
      </c>
      <c r="U15" s="1" t="s">
        <v>55</v>
      </c>
      <c r="V15" s="1">
        <v>12</v>
      </c>
      <c r="W15" s="1" t="s">
        <v>49</v>
      </c>
      <c r="X15" s="1" t="s">
        <v>50</v>
      </c>
      <c r="Y15" s="1" t="s">
        <v>50</v>
      </c>
      <c r="Z15" s="1">
        <v>41</v>
      </c>
      <c r="AA15" s="24" t="s">
        <v>51</v>
      </c>
      <c r="AB15" s="10" t="s">
        <v>1761</v>
      </c>
      <c r="AC15" s="156"/>
      <c r="AD15" s="108">
        <v>5</v>
      </c>
      <c r="AE15" s="156">
        <v>4</v>
      </c>
      <c r="AF15" s="156">
        <v>4</v>
      </c>
      <c r="AG15" s="377">
        <f t="shared" si="0"/>
        <v>13</v>
      </c>
      <c r="AH15" s="377" t="b">
        <f t="shared" ref="AH15:AH77" si="3">V15=AG15</f>
        <v>0</v>
      </c>
      <c r="AI15" s="1"/>
      <c r="AJ15" s="1"/>
      <c r="AK15" s="1"/>
      <c r="AL15" s="1"/>
      <c r="AM15" s="16">
        <f t="shared" ref="AM15:AM77" si="4">+AL15/V15</f>
        <v>0</v>
      </c>
      <c r="AN15" s="156"/>
      <c r="AO15" s="1"/>
      <c r="AP15" s="1"/>
      <c r="AQ15" s="1"/>
      <c r="AR15" s="1"/>
      <c r="AS15" s="21" t="s">
        <v>310</v>
      </c>
      <c r="AT15" s="1">
        <f t="shared" si="1"/>
        <v>0</v>
      </c>
      <c r="AU15" s="31"/>
      <c r="AV15" s="31"/>
      <c r="AW15" s="31"/>
      <c r="AX15" s="16">
        <f>IF(AT15/V15&gt;100%,100%,(AT15/V15))</f>
        <v>0</v>
      </c>
      <c r="AY15" s="108">
        <v>5</v>
      </c>
      <c r="AZ15" s="76">
        <v>0</v>
      </c>
      <c r="BA15" s="31"/>
      <c r="BB15" s="31"/>
      <c r="BC15" s="31"/>
      <c r="BD15" s="16">
        <f t="shared" si="2"/>
        <v>0</v>
      </c>
      <c r="BE15" s="31"/>
      <c r="BF15" s="31"/>
      <c r="BG15" s="31"/>
      <c r="BH15" s="31"/>
      <c r="BI15" s="16"/>
      <c r="BJ15" s="16"/>
      <c r="BK15" s="31"/>
      <c r="BL15" s="31"/>
      <c r="BM15" s="31"/>
      <c r="BN15" s="31"/>
      <c r="BO15" s="16"/>
      <c r="BP15" s="31"/>
      <c r="BQ15" s="31"/>
      <c r="BR15" s="31"/>
      <c r="BS15" s="31"/>
      <c r="BT15" s="16"/>
      <c r="BU15" s="16"/>
      <c r="BV15" s="16"/>
      <c r="BW15" s="16"/>
      <c r="BX15" s="16"/>
      <c r="BY15" s="16"/>
      <c r="BZ15" s="16"/>
      <c r="CA15" s="1"/>
      <c r="CB15" s="1"/>
      <c r="CC15" s="1"/>
    </row>
    <row r="16" spans="1:83" s="52" customFormat="1" ht="73.5" customHeight="1" x14ac:dyDescent="0.25">
      <c r="A16" s="1">
        <v>1</v>
      </c>
      <c r="B16" s="13" t="s">
        <v>1746</v>
      </c>
      <c r="C16" s="588"/>
      <c r="D16" s="589"/>
      <c r="E16" s="370" t="s">
        <v>39</v>
      </c>
      <c r="F16" s="330" t="s">
        <v>40</v>
      </c>
      <c r="G16" s="588"/>
      <c r="H16" s="589"/>
      <c r="I16" s="370" t="s">
        <v>41</v>
      </c>
      <c r="J16" s="312" t="s">
        <v>1901</v>
      </c>
      <c r="K16" s="596"/>
      <c r="L16" s="597"/>
      <c r="M16" s="423" t="s">
        <v>43</v>
      </c>
      <c r="N16" s="12" t="s">
        <v>44</v>
      </c>
      <c r="O16" s="13" t="s">
        <v>45</v>
      </c>
      <c r="P16" s="26">
        <v>1</v>
      </c>
      <c r="Q16" s="26">
        <v>1</v>
      </c>
      <c r="R16" s="14" t="s">
        <v>56</v>
      </c>
      <c r="S16" s="312" t="s">
        <v>57</v>
      </c>
      <c r="T16" s="330" t="s">
        <v>57</v>
      </c>
      <c r="U16" s="424">
        <v>0.879</v>
      </c>
      <c r="V16" s="169">
        <v>0.92</v>
      </c>
      <c r="W16" s="108" t="s">
        <v>49</v>
      </c>
      <c r="X16" s="10"/>
      <c r="Y16" s="10"/>
      <c r="Z16" s="10"/>
      <c r="AA16" s="13"/>
      <c r="AB16" s="133" t="s">
        <v>1762</v>
      </c>
      <c r="AC16" s="157">
        <v>1</v>
      </c>
      <c r="AD16" s="108"/>
      <c r="AE16" s="156"/>
      <c r="AF16" s="156"/>
      <c r="AG16" s="377">
        <f t="shared" si="0"/>
        <v>1</v>
      </c>
      <c r="AH16" s="377" t="b">
        <f t="shared" si="3"/>
        <v>0</v>
      </c>
      <c r="AI16" s="10">
        <v>0</v>
      </c>
      <c r="AJ16" s="10">
        <v>0</v>
      </c>
      <c r="AK16" s="10"/>
      <c r="AL16" s="10"/>
      <c r="AM16" s="16">
        <f t="shared" si="4"/>
        <v>0</v>
      </c>
      <c r="AN16" s="157">
        <v>1</v>
      </c>
      <c r="AO16" s="10">
        <v>0</v>
      </c>
      <c r="AP16" s="10">
        <v>0</v>
      </c>
      <c r="AQ16" s="10"/>
      <c r="AR16" s="10"/>
      <c r="AS16" s="21">
        <f>IFERROR(+AR16/AN16,0)</f>
        <v>0</v>
      </c>
      <c r="AT16" s="1">
        <f t="shared" si="1"/>
        <v>0</v>
      </c>
      <c r="AU16" s="31"/>
      <c r="AV16" s="31"/>
      <c r="AW16" s="31"/>
      <c r="AX16" s="16">
        <f t="shared" ref="AX16:AX19" si="5">IF(AT16/V16&gt;100%,100%,(AT16/V16))</f>
        <v>0</v>
      </c>
      <c r="AY16" s="108" t="s">
        <v>310</v>
      </c>
      <c r="AZ16" s="76"/>
      <c r="BA16" s="31"/>
      <c r="BB16" s="31"/>
      <c r="BC16" s="31"/>
      <c r="BD16" s="16" t="str">
        <f t="shared" si="2"/>
        <v>NP</v>
      </c>
      <c r="BE16" s="31"/>
      <c r="BF16" s="31"/>
      <c r="BG16" s="31"/>
      <c r="BH16" s="31"/>
      <c r="BI16" s="16"/>
      <c r="BJ16" s="16"/>
      <c r="BK16" s="31"/>
      <c r="BL16" s="31"/>
      <c r="BM16" s="31"/>
      <c r="BN16" s="31"/>
      <c r="BO16" s="16"/>
      <c r="BP16" s="31"/>
      <c r="BQ16" s="31"/>
      <c r="BR16" s="31"/>
      <c r="BS16" s="31"/>
      <c r="BT16" s="16"/>
      <c r="BU16" s="16"/>
      <c r="BV16" s="16"/>
      <c r="BW16" s="16"/>
      <c r="BX16" s="16"/>
      <c r="BY16" s="16"/>
      <c r="BZ16" s="16"/>
      <c r="CA16" s="10"/>
      <c r="CB16" s="10"/>
      <c r="CC16" s="19"/>
    </row>
    <row r="17" spans="1:81" s="52" customFormat="1" ht="78.75" x14ac:dyDescent="0.25">
      <c r="A17" s="1">
        <v>1</v>
      </c>
      <c r="B17" s="13" t="s">
        <v>1746</v>
      </c>
      <c r="C17" s="588"/>
      <c r="D17" s="589"/>
      <c r="E17" s="370" t="s">
        <v>39</v>
      </c>
      <c r="F17" s="330" t="s">
        <v>40</v>
      </c>
      <c r="G17" s="588"/>
      <c r="H17" s="589"/>
      <c r="I17" s="370" t="s">
        <v>41</v>
      </c>
      <c r="J17" s="312" t="s">
        <v>1901</v>
      </c>
      <c r="K17" s="596"/>
      <c r="L17" s="597"/>
      <c r="M17" s="423" t="s">
        <v>43</v>
      </c>
      <c r="N17" s="12" t="s">
        <v>44</v>
      </c>
      <c r="O17" s="13" t="s">
        <v>45</v>
      </c>
      <c r="P17" s="26">
        <v>1</v>
      </c>
      <c r="Q17" s="26">
        <v>1</v>
      </c>
      <c r="R17" s="14" t="s">
        <v>58</v>
      </c>
      <c r="S17" s="312" t="s">
        <v>59</v>
      </c>
      <c r="T17" s="330" t="s">
        <v>59</v>
      </c>
      <c r="U17" s="133" t="s">
        <v>60</v>
      </c>
      <c r="V17" s="133">
        <v>25</v>
      </c>
      <c r="W17" s="108" t="s">
        <v>49</v>
      </c>
      <c r="X17" s="10"/>
      <c r="Y17" s="10"/>
      <c r="Z17" s="10"/>
      <c r="AA17" s="13"/>
      <c r="AB17" s="133" t="s">
        <v>1762</v>
      </c>
      <c r="AC17" s="370"/>
      <c r="AD17" s="108"/>
      <c r="AE17" s="371"/>
      <c r="AF17" s="371"/>
      <c r="AG17" s="377">
        <f t="shared" si="0"/>
        <v>0</v>
      </c>
      <c r="AH17" s="377" t="b">
        <f t="shared" si="3"/>
        <v>0</v>
      </c>
      <c r="AI17" s="10"/>
      <c r="AJ17" s="10"/>
      <c r="AK17" s="10"/>
      <c r="AL17" s="10"/>
      <c r="AM17" s="16">
        <f t="shared" si="4"/>
        <v>0</v>
      </c>
      <c r="AN17" s="157"/>
      <c r="AO17" s="10"/>
      <c r="AP17" s="10"/>
      <c r="AQ17" s="10"/>
      <c r="AR17" s="10"/>
      <c r="AS17" s="21" t="s">
        <v>310</v>
      </c>
      <c r="AT17" s="1">
        <f t="shared" si="1"/>
        <v>0</v>
      </c>
      <c r="AU17" s="31"/>
      <c r="AV17" s="31"/>
      <c r="AW17" s="31"/>
      <c r="AX17" s="16">
        <f t="shared" si="5"/>
        <v>0</v>
      </c>
      <c r="AY17" s="108" t="s">
        <v>310</v>
      </c>
      <c r="AZ17" s="76"/>
      <c r="BA17" s="31"/>
      <c r="BB17" s="31"/>
      <c r="BC17" s="31"/>
      <c r="BD17" s="16" t="str">
        <f t="shared" si="2"/>
        <v>NP</v>
      </c>
      <c r="BE17" s="31"/>
      <c r="BF17" s="31"/>
      <c r="BG17" s="31"/>
      <c r="BH17" s="31"/>
      <c r="BI17" s="16"/>
      <c r="BJ17" s="16"/>
      <c r="BK17" s="31"/>
      <c r="BL17" s="31"/>
      <c r="BM17" s="31"/>
      <c r="BN17" s="31"/>
      <c r="BO17" s="16"/>
      <c r="BP17" s="31"/>
      <c r="BQ17" s="31"/>
      <c r="BR17" s="31"/>
      <c r="BS17" s="31"/>
      <c r="BT17" s="16"/>
      <c r="BU17" s="16"/>
      <c r="BV17" s="16"/>
      <c r="BW17" s="16"/>
      <c r="BX17" s="16"/>
      <c r="BY17" s="16"/>
      <c r="BZ17" s="16"/>
      <c r="CA17" s="10"/>
      <c r="CB17" s="10"/>
      <c r="CC17" s="19"/>
    </row>
    <row r="18" spans="1:81" s="52" customFormat="1" ht="90.75" customHeight="1" x14ac:dyDescent="0.25">
      <c r="A18" s="1">
        <v>1</v>
      </c>
      <c r="B18" s="13" t="s">
        <v>1746</v>
      </c>
      <c r="C18" s="588"/>
      <c r="D18" s="589"/>
      <c r="E18" s="10" t="s">
        <v>39</v>
      </c>
      <c r="F18" s="13" t="s">
        <v>40</v>
      </c>
      <c r="G18" s="588"/>
      <c r="H18" s="589"/>
      <c r="I18" s="10" t="s">
        <v>41</v>
      </c>
      <c r="J18" s="13" t="s">
        <v>1901</v>
      </c>
      <c r="K18" s="572"/>
      <c r="L18" s="589"/>
      <c r="M18" s="11" t="s">
        <v>43</v>
      </c>
      <c r="N18" s="12" t="s">
        <v>44</v>
      </c>
      <c r="O18" s="13" t="s">
        <v>45</v>
      </c>
      <c r="P18" s="26">
        <v>1</v>
      </c>
      <c r="Q18" s="26">
        <v>1</v>
      </c>
      <c r="R18" s="14" t="s">
        <v>61</v>
      </c>
      <c r="S18" s="13" t="s">
        <v>62</v>
      </c>
      <c r="T18" s="13" t="s">
        <v>62</v>
      </c>
      <c r="U18" s="17">
        <v>0.86529999999999996</v>
      </c>
      <c r="V18" s="18">
        <v>0.9</v>
      </c>
      <c r="W18" s="1" t="s">
        <v>49</v>
      </c>
      <c r="X18" s="10"/>
      <c r="Y18" s="10"/>
      <c r="Z18" s="10"/>
      <c r="AA18" s="13"/>
      <c r="AB18" s="42" t="s">
        <v>1753</v>
      </c>
      <c r="AC18" s="370"/>
      <c r="AD18" s="108"/>
      <c r="AE18" s="371"/>
      <c r="AF18" s="371"/>
      <c r="AG18" s="377">
        <f t="shared" si="0"/>
        <v>0</v>
      </c>
      <c r="AH18" s="377" t="b">
        <f t="shared" si="3"/>
        <v>0</v>
      </c>
      <c r="AI18" s="10"/>
      <c r="AJ18" s="10"/>
      <c r="AK18" s="10"/>
      <c r="AL18" s="10"/>
      <c r="AM18" s="16">
        <f t="shared" si="4"/>
        <v>0</v>
      </c>
      <c r="AN18" s="157"/>
      <c r="AO18" s="10"/>
      <c r="AP18" s="10"/>
      <c r="AQ18" s="10"/>
      <c r="AR18" s="10"/>
      <c r="AS18" s="21" t="s">
        <v>310</v>
      </c>
      <c r="AT18" s="1">
        <f t="shared" si="1"/>
        <v>0</v>
      </c>
      <c r="AU18" s="31"/>
      <c r="AV18" s="31"/>
      <c r="AW18" s="31"/>
      <c r="AX18" s="16">
        <f t="shared" si="5"/>
        <v>0</v>
      </c>
      <c r="AY18" s="108" t="s">
        <v>310</v>
      </c>
      <c r="AZ18" s="76"/>
      <c r="BA18" s="31"/>
      <c r="BB18" s="31"/>
      <c r="BC18" s="31"/>
      <c r="BD18" s="16" t="str">
        <f t="shared" si="2"/>
        <v>NP</v>
      </c>
      <c r="BE18" s="31"/>
      <c r="BF18" s="31"/>
      <c r="BG18" s="31"/>
      <c r="BH18" s="31"/>
      <c r="BI18" s="16"/>
      <c r="BJ18" s="16"/>
      <c r="BK18" s="31"/>
      <c r="BL18" s="31"/>
      <c r="BM18" s="31"/>
      <c r="BN18" s="31"/>
      <c r="BO18" s="16"/>
      <c r="BP18" s="31"/>
      <c r="BQ18" s="31"/>
      <c r="BR18" s="31"/>
      <c r="BS18" s="31"/>
      <c r="BT18" s="16"/>
      <c r="BU18" s="16"/>
      <c r="BV18" s="16"/>
      <c r="BW18" s="16"/>
      <c r="BX18" s="16"/>
      <c r="BY18" s="16"/>
      <c r="BZ18" s="16"/>
      <c r="CA18" s="10"/>
      <c r="CB18" s="10"/>
      <c r="CC18" s="19"/>
    </row>
    <row r="19" spans="1:81" s="52" customFormat="1" ht="63" x14ac:dyDescent="0.25">
      <c r="A19" s="1">
        <v>1</v>
      </c>
      <c r="B19" s="13" t="s">
        <v>1746</v>
      </c>
      <c r="C19" s="588"/>
      <c r="D19" s="589"/>
      <c r="E19" s="10" t="s">
        <v>39</v>
      </c>
      <c r="F19" s="13" t="s">
        <v>40</v>
      </c>
      <c r="G19" s="588"/>
      <c r="H19" s="589"/>
      <c r="I19" s="10" t="s">
        <v>41</v>
      </c>
      <c r="J19" s="13" t="s">
        <v>1901</v>
      </c>
      <c r="K19" s="572"/>
      <c r="L19" s="589"/>
      <c r="M19" s="11" t="s">
        <v>43</v>
      </c>
      <c r="N19" s="12" t="s">
        <v>44</v>
      </c>
      <c r="O19" s="13" t="s">
        <v>45</v>
      </c>
      <c r="P19" s="26">
        <v>1</v>
      </c>
      <c r="Q19" s="26">
        <v>1</v>
      </c>
      <c r="R19" s="14" t="s">
        <v>63</v>
      </c>
      <c r="S19" s="13" t="s">
        <v>64</v>
      </c>
      <c r="T19" s="13" t="s">
        <v>64</v>
      </c>
      <c r="U19" s="17">
        <v>0.875</v>
      </c>
      <c r="V19" s="17">
        <v>0.88500000000000001</v>
      </c>
      <c r="W19" s="1" t="s">
        <v>49</v>
      </c>
      <c r="X19" s="10"/>
      <c r="Y19" s="10"/>
      <c r="Z19" s="10"/>
      <c r="AA19" s="13"/>
      <c r="AB19" s="42" t="s">
        <v>1753</v>
      </c>
      <c r="AC19" s="370"/>
      <c r="AD19" s="108"/>
      <c r="AE19" s="371"/>
      <c r="AF19" s="371"/>
      <c r="AG19" s="377">
        <f t="shared" si="0"/>
        <v>0</v>
      </c>
      <c r="AH19" s="377" t="b">
        <f t="shared" si="3"/>
        <v>0</v>
      </c>
      <c r="AI19" s="10"/>
      <c r="AJ19" s="10"/>
      <c r="AK19" s="10"/>
      <c r="AL19" s="10"/>
      <c r="AM19" s="16">
        <f t="shared" si="4"/>
        <v>0</v>
      </c>
      <c r="AN19" s="157"/>
      <c r="AO19" s="10"/>
      <c r="AP19" s="10"/>
      <c r="AQ19" s="10"/>
      <c r="AR19" s="10"/>
      <c r="AS19" s="21" t="s">
        <v>310</v>
      </c>
      <c r="AT19" s="1">
        <f t="shared" si="1"/>
        <v>0</v>
      </c>
      <c r="AU19" s="31"/>
      <c r="AV19" s="31"/>
      <c r="AW19" s="31"/>
      <c r="AX19" s="16">
        <f t="shared" si="5"/>
        <v>0</v>
      </c>
      <c r="AY19" s="108" t="s">
        <v>310</v>
      </c>
      <c r="AZ19" s="76"/>
      <c r="BA19" s="31"/>
      <c r="BB19" s="31"/>
      <c r="BC19" s="31"/>
      <c r="BD19" s="16" t="str">
        <f t="shared" si="2"/>
        <v>NP</v>
      </c>
      <c r="BE19" s="31"/>
      <c r="BF19" s="31"/>
      <c r="BG19" s="31"/>
      <c r="BH19" s="31"/>
      <c r="BI19" s="16"/>
      <c r="BJ19" s="16"/>
      <c r="BK19" s="31"/>
      <c r="BL19" s="31"/>
      <c r="BM19" s="31"/>
      <c r="BN19" s="31"/>
      <c r="BO19" s="16"/>
      <c r="BP19" s="31"/>
      <c r="BQ19" s="31"/>
      <c r="BR19" s="31"/>
      <c r="BS19" s="31"/>
      <c r="BT19" s="16"/>
      <c r="BU19" s="16"/>
      <c r="BV19" s="16"/>
      <c r="BW19" s="16"/>
      <c r="BX19" s="16"/>
      <c r="BY19" s="16"/>
      <c r="BZ19" s="16"/>
      <c r="CA19" s="10"/>
      <c r="CB19" s="10"/>
      <c r="CC19" s="19"/>
    </row>
    <row r="20" spans="1:81" s="52" customFormat="1" ht="105.75" customHeight="1" x14ac:dyDescent="0.25">
      <c r="A20" s="1">
        <v>1</v>
      </c>
      <c r="B20" s="13" t="s">
        <v>1746</v>
      </c>
      <c r="C20" s="588"/>
      <c r="D20" s="589"/>
      <c r="E20" s="10" t="s">
        <v>39</v>
      </c>
      <c r="F20" s="13" t="s">
        <v>40</v>
      </c>
      <c r="G20" s="588"/>
      <c r="H20" s="589"/>
      <c r="I20" s="10" t="s">
        <v>41</v>
      </c>
      <c r="J20" s="13" t="s">
        <v>1901</v>
      </c>
      <c r="K20" s="572"/>
      <c r="L20" s="589"/>
      <c r="M20" s="11" t="s">
        <v>43</v>
      </c>
      <c r="N20" s="12" t="s">
        <v>44</v>
      </c>
      <c r="O20" s="13" t="s">
        <v>45</v>
      </c>
      <c r="P20" s="18">
        <v>1</v>
      </c>
      <c r="Q20" s="18">
        <v>1</v>
      </c>
      <c r="R20" s="14" t="s">
        <v>65</v>
      </c>
      <c r="S20" s="13" t="s">
        <v>66</v>
      </c>
      <c r="T20" s="13" t="s">
        <v>66</v>
      </c>
      <c r="U20" s="10" t="s">
        <v>55</v>
      </c>
      <c r="V20" s="10">
        <v>400</v>
      </c>
      <c r="W20" s="1" t="s">
        <v>49</v>
      </c>
      <c r="X20" s="1"/>
      <c r="Y20" s="10" t="s">
        <v>67</v>
      </c>
      <c r="Z20" s="1" t="s">
        <v>68</v>
      </c>
      <c r="AA20" s="13" t="s">
        <v>69</v>
      </c>
      <c r="AB20" s="10" t="s">
        <v>1763</v>
      </c>
      <c r="AC20" s="156">
        <v>50</v>
      </c>
      <c r="AD20" s="156">
        <v>50</v>
      </c>
      <c r="AE20" s="156">
        <v>200</v>
      </c>
      <c r="AF20" s="156">
        <v>200</v>
      </c>
      <c r="AG20" s="377">
        <f>SUBTOTAL(9,AC20:AF20)</f>
        <v>500</v>
      </c>
      <c r="AH20" s="377" t="b">
        <f t="shared" si="3"/>
        <v>0</v>
      </c>
      <c r="AI20" s="10">
        <v>10</v>
      </c>
      <c r="AJ20" s="10">
        <v>30</v>
      </c>
      <c r="AK20" s="10">
        <v>50</v>
      </c>
      <c r="AL20" s="10">
        <v>50</v>
      </c>
      <c r="AM20" s="16">
        <f>+AL20/V20</f>
        <v>0.125</v>
      </c>
      <c r="AN20" s="156">
        <v>50</v>
      </c>
      <c r="AO20" s="1">
        <v>10</v>
      </c>
      <c r="AP20" s="1">
        <v>30</v>
      </c>
      <c r="AQ20" s="1"/>
      <c r="AR20" s="1">
        <f>AL20</f>
        <v>50</v>
      </c>
      <c r="AS20" s="21">
        <f>IFERROR(+AR20/AN20,0)</f>
        <v>1</v>
      </c>
      <c r="AT20" s="1">
        <f>IF(W20="Mantenimiento",(AL20+AZ20)/4*100%,AL20+AZ20)</f>
        <v>119</v>
      </c>
      <c r="AU20" s="31"/>
      <c r="AV20" s="31"/>
      <c r="AW20" s="31"/>
      <c r="AX20" s="16">
        <f>IF(AT20/V20&gt;100%,100%,(AT20/V20))</f>
        <v>0.29749999999999999</v>
      </c>
      <c r="AY20" s="156">
        <v>50</v>
      </c>
      <c r="AZ20" s="76">
        <v>69</v>
      </c>
      <c r="BA20" s="422"/>
      <c r="BB20" s="31"/>
      <c r="BC20" s="31"/>
      <c r="BD20" s="16">
        <f t="shared" si="2"/>
        <v>1</v>
      </c>
      <c r="BE20" s="31"/>
      <c r="BF20" s="31"/>
      <c r="BG20" s="31"/>
      <c r="BH20" s="31"/>
      <c r="BI20" s="16"/>
      <c r="BJ20" s="16"/>
      <c r="BK20" s="31"/>
      <c r="BL20" s="31"/>
      <c r="BM20" s="31"/>
      <c r="BN20" s="31"/>
      <c r="BO20" s="16"/>
      <c r="BP20" s="31"/>
      <c r="BQ20" s="31"/>
      <c r="BR20" s="31"/>
      <c r="BS20" s="31"/>
      <c r="BT20" s="16"/>
      <c r="BU20" s="16"/>
      <c r="BV20" s="16"/>
      <c r="BW20" s="16"/>
      <c r="BX20" s="16"/>
      <c r="BY20" s="16"/>
      <c r="BZ20" s="16"/>
      <c r="CA20" s="1"/>
      <c r="CB20" s="1"/>
      <c r="CC20" s="1"/>
    </row>
    <row r="21" spans="1:81" s="52" customFormat="1" ht="71.25" customHeight="1" x14ac:dyDescent="0.25">
      <c r="A21" s="1">
        <v>1</v>
      </c>
      <c r="B21" s="13" t="s">
        <v>1746</v>
      </c>
      <c r="C21" s="588"/>
      <c r="D21" s="589"/>
      <c r="E21" s="10" t="s">
        <v>39</v>
      </c>
      <c r="F21" s="13" t="s">
        <v>40</v>
      </c>
      <c r="G21" s="588"/>
      <c r="H21" s="589"/>
      <c r="I21" s="10" t="s">
        <v>41</v>
      </c>
      <c r="J21" s="13" t="s">
        <v>1901</v>
      </c>
      <c r="K21" s="572"/>
      <c r="L21" s="589"/>
      <c r="M21" s="11" t="s">
        <v>43</v>
      </c>
      <c r="N21" s="12" t="s">
        <v>44</v>
      </c>
      <c r="O21" s="13" t="s">
        <v>45</v>
      </c>
      <c r="P21" s="26">
        <v>1</v>
      </c>
      <c r="Q21" s="26">
        <v>1</v>
      </c>
      <c r="R21" s="14" t="s">
        <v>70</v>
      </c>
      <c r="S21" s="13" t="s">
        <v>71</v>
      </c>
      <c r="T21" s="13" t="s">
        <v>72</v>
      </c>
      <c r="U21" s="1">
        <v>1</v>
      </c>
      <c r="V21" s="1">
        <v>4</v>
      </c>
      <c r="W21" s="1" t="s">
        <v>49</v>
      </c>
      <c r="X21" s="1" t="s">
        <v>73</v>
      </c>
      <c r="Y21" s="1" t="s">
        <v>50</v>
      </c>
      <c r="Z21" s="1">
        <v>41</v>
      </c>
      <c r="AA21" s="24" t="s">
        <v>51</v>
      </c>
      <c r="AB21" s="10" t="s">
        <v>1761</v>
      </c>
      <c r="AC21" s="156">
        <v>1</v>
      </c>
      <c r="AD21" s="156">
        <v>1</v>
      </c>
      <c r="AE21" s="156">
        <v>1</v>
      </c>
      <c r="AF21" s="156">
        <v>1</v>
      </c>
      <c r="AG21" s="377">
        <f t="shared" ref="AG21:AG83" si="6">SUBTOTAL(9,AC21:AF21)</f>
        <v>4</v>
      </c>
      <c r="AH21" s="377" t="b">
        <f t="shared" si="3"/>
        <v>1</v>
      </c>
      <c r="AI21" s="1">
        <v>0</v>
      </c>
      <c r="AJ21" s="1">
        <v>0</v>
      </c>
      <c r="AK21" s="1"/>
      <c r="AL21" s="1">
        <v>1</v>
      </c>
      <c r="AM21" s="16">
        <f t="shared" si="4"/>
        <v>0.25</v>
      </c>
      <c r="AN21" s="156">
        <v>1</v>
      </c>
      <c r="AO21" s="1">
        <v>0</v>
      </c>
      <c r="AP21" s="1">
        <v>0</v>
      </c>
      <c r="AQ21" s="1"/>
      <c r="AR21" s="1">
        <f>AL21</f>
        <v>1</v>
      </c>
      <c r="AS21" s="21">
        <f>IFERROR(+AR21/AN21,0)</f>
        <v>1</v>
      </c>
      <c r="AT21" s="1">
        <f t="shared" si="1"/>
        <v>1</v>
      </c>
      <c r="AU21" s="31"/>
      <c r="AV21" s="31"/>
      <c r="AW21" s="31"/>
      <c r="AX21" s="16">
        <f>IF(AT21/V21&gt;100%,100%,(AT21/V21))</f>
        <v>0.25</v>
      </c>
      <c r="AY21" s="156">
        <v>1</v>
      </c>
      <c r="AZ21" s="76">
        <v>0</v>
      </c>
      <c r="BA21" s="31"/>
      <c r="BB21" s="31"/>
      <c r="BC21" s="31"/>
      <c r="BD21" s="16">
        <f t="shared" ref="BD21:BD84" si="7">IFERROR(IF((+AZ21/AY21)&gt;100%,100%,(+AZ21/AY21)),"NP")</f>
        <v>0</v>
      </c>
      <c r="BE21" s="31"/>
      <c r="BF21" s="31"/>
      <c r="BG21" s="31"/>
      <c r="BH21" s="31"/>
      <c r="BI21" s="16"/>
      <c r="BJ21" s="16"/>
      <c r="BK21" s="31"/>
      <c r="BL21" s="31"/>
      <c r="BM21" s="31"/>
      <c r="BN21" s="31"/>
      <c r="BO21" s="16"/>
      <c r="BP21" s="31"/>
      <c r="BQ21" s="31"/>
      <c r="BR21" s="31"/>
      <c r="BS21" s="31"/>
      <c r="BT21" s="16"/>
      <c r="BU21" s="16"/>
      <c r="BV21" s="16"/>
      <c r="BW21" s="16"/>
      <c r="BX21" s="16"/>
      <c r="BY21" s="16"/>
      <c r="BZ21" s="16"/>
      <c r="CA21" s="1" t="s">
        <v>74</v>
      </c>
      <c r="CB21" s="1" t="s">
        <v>75</v>
      </c>
      <c r="CC21" s="22">
        <v>120000000</v>
      </c>
    </row>
    <row r="22" spans="1:81" s="52" customFormat="1" ht="66" customHeight="1" x14ac:dyDescent="0.25">
      <c r="A22" s="1">
        <v>1</v>
      </c>
      <c r="B22" s="13" t="s">
        <v>1746</v>
      </c>
      <c r="C22" s="588"/>
      <c r="D22" s="589"/>
      <c r="E22" s="370" t="s">
        <v>39</v>
      </c>
      <c r="F22" s="330" t="s">
        <v>40</v>
      </c>
      <c r="G22" s="588"/>
      <c r="H22" s="589"/>
      <c r="I22" s="370" t="s">
        <v>41</v>
      </c>
      <c r="J22" s="312" t="s">
        <v>1901</v>
      </c>
      <c r="K22" s="596"/>
      <c r="L22" s="597"/>
      <c r="M22" s="423" t="s">
        <v>43</v>
      </c>
      <c r="N22" s="12" t="s">
        <v>44</v>
      </c>
      <c r="O22" s="13" t="s">
        <v>45</v>
      </c>
      <c r="P22" s="26">
        <v>1</v>
      </c>
      <c r="Q22" s="26">
        <v>1</v>
      </c>
      <c r="R22" s="14" t="s">
        <v>76</v>
      </c>
      <c r="S22" s="312" t="s">
        <v>77</v>
      </c>
      <c r="T22" s="330" t="s">
        <v>77</v>
      </c>
      <c r="U22" s="108">
        <v>1</v>
      </c>
      <c r="V22" s="108">
        <v>1</v>
      </c>
      <c r="W22" s="108" t="s">
        <v>78</v>
      </c>
      <c r="X22" s="1"/>
      <c r="Y22" s="1"/>
      <c r="Z22" s="1"/>
      <c r="AA22" s="24"/>
      <c r="AB22" s="133" t="s">
        <v>1762</v>
      </c>
      <c r="AC22" s="371"/>
      <c r="AD22" s="108">
        <v>1</v>
      </c>
      <c r="AE22" s="371"/>
      <c r="AF22" s="371"/>
      <c r="AG22" s="377">
        <f t="shared" si="6"/>
        <v>1</v>
      </c>
      <c r="AH22" s="377" t="b">
        <f t="shared" si="3"/>
        <v>1</v>
      </c>
      <c r="AI22" s="1"/>
      <c r="AJ22" s="1"/>
      <c r="AK22" s="1"/>
      <c r="AL22" s="1"/>
      <c r="AM22" s="16">
        <f t="shared" si="4"/>
        <v>0</v>
      </c>
      <c r="AN22" s="156"/>
      <c r="AO22" s="1"/>
      <c r="AP22" s="1"/>
      <c r="AQ22" s="1"/>
      <c r="AR22" s="1"/>
      <c r="AS22" s="21" t="s">
        <v>310</v>
      </c>
      <c r="AT22" s="1">
        <f>IF(W22="Mantenimiento",(AL22+AZ22)/4*100%,AL22+AZ22)</f>
        <v>0.25</v>
      </c>
      <c r="AU22" s="31"/>
      <c r="AV22" s="31"/>
      <c r="AW22" s="31"/>
      <c r="AX22" s="16">
        <f>IF(AT22/V22&gt;100%,100%,(AT22/V22))</f>
        <v>0.25</v>
      </c>
      <c r="AY22" s="108">
        <v>1</v>
      </c>
      <c r="AZ22" s="371">
        <v>1</v>
      </c>
      <c r="BA22" s="31"/>
      <c r="BB22" s="31"/>
      <c r="BC22" s="31"/>
      <c r="BD22" s="16">
        <f t="shared" si="7"/>
        <v>1</v>
      </c>
      <c r="BE22" s="31"/>
      <c r="BF22" s="31"/>
      <c r="BG22" s="31"/>
      <c r="BH22" s="31"/>
      <c r="BI22" s="16"/>
      <c r="BJ22" s="16"/>
      <c r="BK22" s="31"/>
      <c r="BL22" s="31"/>
      <c r="BM22" s="31"/>
      <c r="BN22" s="31"/>
      <c r="BO22" s="16"/>
      <c r="BP22" s="31"/>
      <c r="BQ22" s="31"/>
      <c r="BR22" s="31"/>
      <c r="BS22" s="31"/>
      <c r="BT22" s="16"/>
      <c r="BU22" s="16"/>
      <c r="BV22" s="16"/>
      <c r="BW22" s="16"/>
      <c r="BX22" s="16"/>
      <c r="BY22" s="16"/>
      <c r="BZ22" s="16"/>
      <c r="CA22" s="1"/>
      <c r="CB22" s="1"/>
      <c r="CC22" s="22"/>
    </row>
    <row r="23" spans="1:81" s="52" customFormat="1" ht="63" x14ac:dyDescent="0.25">
      <c r="A23" s="1">
        <v>1</v>
      </c>
      <c r="B23" s="13" t="s">
        <v>1746</v>
      </c>
      <c r="C23" s="588"/>
      <c r="D23" s="589"/>
      <c r="E23" s="10" t="s">
        <v>39</v>
      </c>
      <c r="F23" s="13" t="s">
        <v>40</v>
      </c>
      <c r="G23" s="588"/>
      <c r="H23" s="589"/>
      <c r="I23" s="10" t="s">
        <v>41</v>
      </c>
      <c r="J23" s="13" t="s">
        <v>1901</v>
      </c>
      <c r="K23" s="572"/>
      <c r="L23" s="589"/>
      <c r="M23" s="11" t="s">
        <v>43</v>
      </c>
      <c r="N23" s="12" t="s">
        <v>44</v>
      </c>
      <c r="O23" s="13" t="s">
        <v>45</v>
      </c>
      <c r="P23" s="10" t="s">
        <v>55</v>
      </c>
      <c r="Q23" s="18">
        <v>1</v>
      </c>
      <c r="R23" s="14" t="s">
        <v>79</v>
      </c>
      <c r="S23" s="13" t="s">
        <v>80</v>
      </c>
      <c r="T23" s="13" t="s">
        <v>80</v>
      </c>
      <c r="U23" s="10">
        <v>48962</v>
      </c>
      <c r="V23" s="10">
        <v>1000</v>
      </c>
      <c r="W23" s="10" t="s">
        <v>49</v>
      </c>
      <c r="X23" s="1"/>
      <c r="Y23" s="1" t="s">
        <v>81</v>
      </c>
      <c r="Z23" s="1">
        <v>40</v>
      </c>
      <c r="AA23" s="13" t="s">
        <v>82</v>
      </c>
      <c r="AB23" s="42" t="s">
        <v>1769</v>
      </c>
      <c r="AC23" s="157">
        <v>200</v>
      </c>
      <c r="AD23" s="108"/>
      <c r="AE23" s="156"/>
      <c r="AF23" s="156"/>
      <c r="AG23" s="377">
        <f t="shared" si="6"/>
        <v>200</v>
      </c>
      <c r="AH23" s="377" t="b">
        <f t="shared" si="3"/>
        <v>0</v>
      </c>
      <c r="AI23" s="1">
        <v>0</v>
      </c>
      <c r="AJ23" s="1">
        <v>200</v>
      </c>
      <c r="AK23" s="1">
        <v>200</v>
      </c>
      <c r="AL23" s="1">
        <v>200</v>
      </c>
      <c r="AM23" s="16">
        <f t="shared" si="4"/>
        <v>0.2</v>
      </c>
      <c r="AN23" s="157">
        <v>200</v>
      </c>
      <c r="AO23" s="1">
        <v>0</v>
      </c>
      <c r="AP23" s="1">
        <v>200</v>
      </c>
      <c r="AQ23" s="1"/>
      <c r="AR23" s="1">
        <f>AL23</f>
        <v>200</v>
      </c>
      <c r="AS23" s="21">
        <f>IFERROR(+AR23/AN23,0)</f>
        <v>1</v>
      </c>
      <c r="AT23" s="1">
        <f t="shared" si="1"/>
        <v>200</v>
      </c>
      <c r="AU23" s="31"/>
      <c r="AV23" s="31"/>
      <c r="AW23" s="31"/>
      <c r="AX23" s="16">
        <f t="shared" ref="AX23:AX85" si="8">IF(AT23/V23&gt;100%,100%,(AT23/V23))</f>
        <v>0.2</v>
      </c>
      <c r="AY23" s="108" t="s">
        <v>310</v>
      </c>
      <c r="AZ23" s="76">
        <v>0</v>
      </c>
      <c r="BA23" s="31"/>
      <c r="BB23" s="31"/>
      <c r="BC23" s="31"/>
      <c r="BD23" s="16" t="str">
        <f t="shared" si="7"/>
        <v>NP</v>
      </c>
      <c r="BE23" s="31"/>
      <c r="BF23" s="31"/>
      <c r="BG23" s="31"/>
      <c r="BH23" s="31"/>
      <c r="BI23" s="16"/>
      <c r="BJ23" s="16"/>
      <c r="BK23" s="31"/>
      <c r="BL23" s="31"/>
      <c r="BM23" s="31"/>
      <c r="BN23" s="31"/>
      <c r="BO23" s="16"/>
      <c r="BP23" s="31"/>
      <c r="BQ23" s="31"/>
      <c r="BR23" s="31"/>
      <c r="BS23" s="31"/>
      <c r="BT23" s="16"/>
      <c r="BU23" s="16"/>
      <c r="BV23" s="16"/>
      <c r="BW23" s="16"/>
      <c r="BX23" s="16"/>
      <c r="BY23" s="16"/>
      <c r="BZ23" s="16"/>
      <c r="CA23" s="1"/>
      <c r="CB23" s="1"/>
      <c r="CC23" s="1"/>
    </row>
    <row r="24" spans="1:81" s="52" customFormat="1" ht="63" x14ac:dyDescent="0.25">
      <c r="A24" s="1">
        <v>1</v>
      </c>
      <c r="B24" s="13" t="s">
        <v>1746</v>
      </c>
      <c r="C24" s="588"/>
      <c r="D24" s="589"/>
      <c r="E24" s="10" t="s">
        <v>39</v>
      </c>
      <c r="F24" s="13" t="s">
        <v>40</v>
      </c>
      <c r="G24" s="588"/>
      <c r="H24" s="589"/>
      <c r="I24" s="10" t="s">
        <v>41</v>
      </c>
      <c r="J24" s="13" t="s">
        <v>1901</v>
      </c>
      <c r="K24" s="572"/>
      <c r="L24" s="589"/>
      <c r="M24" s="11" t="s">
        <v>43</v>
      </c>
      <c r="N24" s="12" t="s">
        <v>44</v>
      </c>
      <c r="O24" s="13" t="s">
        <v>45</v>
      </c>
      <c r="P24" s="10" t="s">
        <v>55</v>
      </c>
      <c r="Q24" s="18">
        <v>1</v>
      </c>
      <c r="R24" s="14" t="s">
        <v>83</v>
      </c>
      <c r="S24" s="13" t="s">
        <v>84</v>
      </c>
      <c r="T24" s="13" t="s">
        <v>84</v>
      </c>
      <c r="U24" s="10">
        <v>179570</v>
      </c>
      <c r="V24" s="10">
        <v>2600</v>
      </c>
      <c r="W24" s="10" t="s">
        <v>49</v>
      </c>
      <c r="X24" s="1"/>
      <c r="Y24" s="1" t="s">
        <v>81</v>
      </c>
      <c r="Z24" s="1">
        <v>40</v>
      </c>
      <c r="AA24" s="13" t="s">
        <v>82</v>
      </c>
      <c r="AB24" s="42" t="s">
        <v>1769</v>
      </c>
      <c r="AC24" s="157"/>
      <c r="AD24" s="108"/>
      <c r="AE24" s="156"/>
      <c r="AF24" s="156"/>
      <c r="AG24" s="377">
        <f t="shared" si="6"/>
        <v>0</v>
      </c>
      <c r="AH24" s="377" t="b">
        <f t="shared" si="3"/>
        <v>0</v>
      </c>
      <c r="AI24" s="1"/>
      <c r="AJ24" s="1"/>
      <c r="AK24" s="1"/>
      <c r="AL24" s="1"/>
      <c r="AM24" s="16">
        <f t="shared" si="4"/>
        <v>0</v>
      </c>
      <c r="AN24" s="157"/>
      <c r="AO24" s="1"/>
      <c r="AP24" s="1"/>
      <c r="AQ24" s="1"/>
      <c r="AR24" s="1"/>
      <c r="AS24" s="21" t="s">
        <v>310</v>
      </c>
      <c r="AT24" s="1">
        <f t="shared" si="1"/>
        <v>0</v>
      </c>
      <c r="AU24" s="31"/>
      <c r="AV24" s="31"/>
      <c r="AW24" s="31"/>
      <c r="AX24" s="16">
        <f t="shared" si="8"/>
        <v>0</v>
      </c>
      <c r="AY24" s="108" t="s">
        <v>310</v>
      </c>
      <c r="AZ24" s="76">
        <v>0</v>
      </c>
      <c r="BA24" s="31"/>
      <c r="BB24" s="31"/>
      <c r="BC24" s="31"/>
      <c r="BD24" s="16" t="str">
        <f t="shared" si="7"/>
        <v>NP</v>
      </c>
      <c r="BE24" s="31"/>
      <c r="BF24" s="31"/>
      <c r="BG24" s="31"/>
      <c r="BH24" s="31"/>
      <c r="BI24" s="16"/>
      <c r="BJ24" s="16"/>
      <c r="BK24" s="31"/>
      <c r="BL24" s="31"/>
      <c r="BM24" s="31"/>
      <c r="BN24" s="31"/>
      <c r="BO24" s="16"/>
      <c r="BP24" s="31"/>
      <c r="BQ24" s="31"/>
      <c r="BR24" s="31"/>
      <c r="BS24" s="31"/>
      <c r="BT24" s="16"/>
      <c r="BU24" s="16"/>
      <c r="BV24" s="16"/>
      <c r="BW24" s="16"/>
      <c r="BX24" s="16"/>
      <c r="BY24" s="16"/>
      <c r="BZ24" s="16"/>
      <c r="CA24" s="1"/>
      <c r="CB24" s="1"/>
      <c r="CC24" s="1"/>
    </row>
    <row r="25" spans="1:81" s="52" customFormat="1" ht="71.25" customHeight="1" x14ac:dyDescent="0.25">
      <c r="A25" s="1">
        <v>1</v>
      </c>
      <c r="B25" s="13" t="s">
        <v>1746</v>
      </c>
      <c r="C25" s="588"/>
      <c r="D25" s="589"/>
      <c r="E25" s="10" t="s">
        <v>39</v>
      </c>
      <c r="F25" s="13" t="s">
        <v>40</v>
      </c>
      <c r="G25" s="588"/>
      <c r="H25" s="589"/>
      <c r="I25" s="10" t="s">
        <v>41</v>
      </c>
      <c r="J25" s="13" t="s">
        <v>1901</v>
      </c>
      <c r="K25" s="572"/>
      <c r="L25" s="589"/>
      <c r="M25" s="11" t="s">
        <v>43</v>
      </c>
      <c r="N25" s="12" t="s">
        <v>44</v>
      </c>
      <c r="O25" s="13" t="s">
        <v>45</v>
      </c>
      <c r="P25" s="26">
        <v>1</v>
      </c>
      <c r="Q25" s="26">
        <v>1</v>
      </c>
      <c r="R25" s="14" t="s">
        <v>85</v>
      </c>
      <c r="S25" s="13" t="s">
        <v>86</v>
      </c>
      <c r="T25" s="13" t="s">
        <v>87</v>
      </c>
      <c r="U25" s="1">
        <v>0</v>
      </c>
      <c r="V25" s="1">
        <v>500</v>
      </c>
      <c r="W25" s="1" t="s">
        <v>49</v>
      </c>
      <c r="X25" s="1" t="s">
        <v>88</v>
      </c>
      <c r="Y25" s="1" t="s">
        <v>89</v>
      </c>
      <c r="Z25" s="1">
        <v>41</v>
      </c>
      <c r="AA25" s="24" t="s">
        <v>51</v>
      </c>
      <c r="AB25" s="10" t="s">
        <v>1761</v>
      </c>
      <c r="AC25" s="156">
        <v>50</v>
      </c>
      <c r="AD25" s="108">
        <v>100</v>
      </c>
      <c r="AE25" s="371">
        <v>200</v>
      </c>
      <c r="AF25" s="371">
        <v>200</v>
      </c>
      <c r="AG25" s="377">
        <f t="shared" si="6"/>
        <v>550</v>
      </c>
      <c r="AH25" s="377" t="b">
        <f t="shared" si="3"/>
        <v>0</v>
      </c>
      <c r="AI25" s="1">
        <v>0</v>
      </c>
      <c r="AJ25" s="1">
        <v>0</v>
      </c>
      <c r="AK25" s="1">
        <v>130</v>
      </c>
      <c r="AL25" s="1">
        <v>130</v>
      </c>
      <c r="AM25" s="16">
        <f t="shared" si="4"/>
        <v>0.26</v>
      </c>
      <c r="AN25" s="156">
        <v>50</v>
      </c>
      <c r="AO25" s="1">
        <v>0</v>
      </c>
      <c r="AP25" s="1">
        <v>0</v>
      </c>
      <c r="AQ25" s="1"/>
      <c r="AR25" s="1">
        <f>AL25</f>
        <v>130</v>
      </c>
      <c r="AS25" s="21">
        <v>1</v>
      </c>
      <c r="AT25" s="1">
        <f t="shared" si="1"/>
        <v>130</v>
      </c>
      <c r="AU25" s="31"/>
      <c r="AV25" s="31"/>
      <c r="AW25" s="31"/>
      <c r="AX25" s="16">
        <f t="shared" si="8"/>
        <v>0.26</v>
      </c>
      <c r="AY25" s="108">
        <v>100</v>
      </c>
      <c r="AZ25" s="76">
        <v>0</v>
      </c>
      <c r="BA25" s="31"/>
      <c r="BB25" s="31"/>
      <c r="BC25" s="31"/>
      <c r="BD25" s="16">
        <f t="shared" si="7"/>
        <v>0</v>
      </c>
      <c r="BE25" s="31"/>
      <c r="BF25" s="31"/>
      <c r="BG25" s="31"/>
      <c r="BH25" s="31"/>
      <c r="BI25" s="16"/>
      <c r="BJ25" s="16"/>
      <c r="BK25" s="31"/>
      <c r="BL25" s="31"/>
      <c r="BM25" s="31"/>
      <c r="BN25" s="31"/>
      <c r="BO25" s="16"/>
      <c r="BP25" s="31"/>
      <c r="BQ25" s="31"/>
      <c r="BR25" s="31"/>
      <c r="BS25" s="31"/>
      <c r="BT25" s="16"/>
      <c r="BU25" s="16"/>
      <c r="BV25" s="16"/>
      <c r="BW25" s="16"/>
      <c r="BX25" s="16"/>
      <c r="BY25" s="16"/>
      <c r="BZ25" s="16"/>
      <c r="CA25" s="1" t="s">
        <v>50</v>
      </c>
      <c r="CB25" s="1" t="s">
        <v>90</v>
      </c>
      <c r="CC25" s="1" t="s">
        <v>50</v>
      </c>
    </row>
    <row r="26" spans="1:81" s="52" customFormat="1" ht="71.25" customHeight="1" x14ac:dyDescent="0.25">
      <c r="A26" s="1">
        <v>1</v>
      </c>
      <c r="B26" s="13" t="s">
        <v>1746</v>
      </c>
      <c r="C26" s="588"/>
      <c r="D26" s="589"/>
      <c r="E26" s="10" t="s">
        <v>39</v>
      </c>
      <c r="F26" s="13" t="s">
        <v>40</v>
      </c>
      <c r="G26" s="588"/>
      <c r="H26" s="589"/>
      <c r="I26" s="10" t="s">
        <v>41</v>
      </c>
      <c r="J26" s="13" t="s">
        <v>1901</v>
      </c>
      <c r="K26" s="572"/>
      <c r="L26" s="589"/>
      <c r="M26" s="11" t="s">
        <v>43</v>
      </c>
      <c r="N26" s="12" t="s">
        <v>44</v>
      </c>
      <c r="O26" s="13" t="s">
        <v>45</v>
      </c>
      <c r="P26" s="26">
        <v>1</v>
      </c>
      <c r="Q26" s="26">
        <v>1</v>
      </c>
      <c r="R26" s="14" t="s">
        <v>91</v>
      </c>
      <c r="S26" s="312" t="s">
        <v>92</v>
      </c>
      <c r="T26" s="13" t="s">
        <v>92</v>
      </c>
      <c r="U26" s="108">
        <v>0</v>
      </c>
      <c r="V26" s="108">
        <v>400</v>
      </c>
      <c r="W26" s="108" t="s">
        <v>49</v>
      </c>
      <c r="X26" s="1"/>
      <c r="Y26" s="1"/>
      <c r="Z26" s="1"/>
      <c r="AA26" s="24"/>
      <c r="AB26" s="133" t="s">
        <v>1761</v>
      </c>
      <c r="AC26" s="371"/>
      <c r="AD26" s="108"/>
      <c r="AE26" s="371"/>
      <c r="AF26" s="371"/>
      <c r="AG26" s="377">
        <f t="shared" si="6"/>
        <v>0</v>
      </c>
      <c r="AH26" s="377" t="b">
        <f t="shared" si="3"/>
        <v>0</v>
      </c>
      <c r="AI26" s="1"/>
      <c r="AJ26" s="1"/>
      <c r="AK26" s="1"/>
      <c r="AL26" s="1"/>
      <c r="AM26" s="16">
        <f t="shared" si="4"/>
        <v>0</v>
      </c>
      <c r="AN26" s="156"/>
      <c r="AO26" s="1"/>
      <c r="AP26" s="1"/>
      <c r="AQ26" s="1"/>
      <c r="AR26" s="1"/>
      <c r="AS26" s="21" t="s">
        <v>310</v>
      </c>
      <c r="AT26" s="1">
        <f t="shared" si="1"/>
        <v>0</v>
      </c>
      <c r="AU26" s="31"/>
      <c r="AV26" s="31"/>
      <c r="AW26" s="31"/>
      <c r="AX26" s="16">
        <f t="shared" si="8"/>
        <v>0</v>
      </c>
      <c r="AY26" s="108" t="s">
        <v>310</v>
      </c>
      <c r="AZ26" s="108"/>
      <c r="BA26" s="31"/>
      <c r="BB26" s="31"/>
      <c r="BC26" s="31"/>
      <c r="BD26" s="16" t="str">
        <f t="shared" si="7"/>
        <v>NP</v>
      </c>
      <c r="BE26" s="31"/>
      <c r="BF26" s="31"/>
      <c r="BG26" s="31"/>
      <c r="BH26" s="31"/>
      <c r="BI26" s="16"/>
      <c r="BJ26" s="16"/>
      <c r="BK26" s="31"/>
      <c r="BL26" s="31"/>
      <c r="BM26" s="31"/>
      <c r="BN26" s="31"/>
      <c r="BO26" s="16"/>
      <c r="BP26" s="31"/>
      <c r="BQ26" s="31"/>
      <c r="BR26" s="31"/>
      <c r="BS26" s="31"/>
      <c r="BT26" s="16"/>
      <c r="BU26" s="16"/>
      <c r="BV26" s="16"/>
      <c r="BW26" s="16"/>
      <c r="BX26" s="16"/>
      <c r="BY26" s="16"/>
      <c r="BZ26" s="16"/>
      <c r="CA26" s="1"/>
      <c r="CB26" s="1"/>
      <c r="CC26" s="1"/>
    </row>
    <row r="27" spans="1:81" s="52" customFormat="1" ht="71.25" customHeight="1" x14ac:dyDescent="0.25">
      <c r="A27" s="1">
        <v>1</v>
      </c>
      <c r="B27" s="13" t="s">
        <v>1746</v>
      </c>
      <c r="C27" s="588"/>
      <c r="D27" s="589"/>
      <c r="E27" s="10" t="s">
        <v>39</v>
      </c>
      <c r="F27" s="13" t="s">
        <v>40</v>
      </c>
      <c r="G27" s="588"/>
      <c r="H27" s="589"/>
      <c r="I27" s="10" t="s">
        <v>41</v>
      </c>
      <c r="J27" s="13" t="s">
        <v>1901</v>
      </c>
      <c r="K27" s="568"/>
      <c r="L27" s="589"/>
      <c r="M27" s="11" t="s">
        <v>43</v>
      </c>
      <c r="N27" s="23" t="s">
        <v>93</v>
      </c>
      <c r="O27" s="13" t="s">
        <v>45</v>
      </c>
      <c r="P27" s="26">
        <v>1</v>
      </c>
      <c r="Q27" s="26">
        <v>1</v>
      </c>
      <c r="R27" s="14" t="s">
        <v>94</v>
      </c>
      <c r="S27" s="13" t="s">
        <v>95</v>
      </c>
      <c r="T27" s="13" t="s">
        <v>96</v>
      </c>
      <c r="U27" s="1">
        <v>0</v>
      </c>
      <c r="V27" s="1">
        <v>500</v>
      </c>
      <c r="W27" s="1" t="s">
        <v>49</v>
      </c>
      <c r="X27" s="1" t="s">
        <v>88</v>
      </c>
      <c r="Y27" s="1" t="s">
        <v>89</v>
      </c>
      <c r="Z27" s="1">
        <v>41</v>
      </c>
      <c r="AA27" s="24" t="s">
        <v>51</v>
      </c>
      <c r="AB27" s="10" t="s">
        <v>1761</v>
      </c>
      <c r="AC27" s="371">
        <v>100</v>
      </c>
      <c r="AD27" s="156">
        <v>100</v>
      </c>
      <c r="AE27" s="371"/>
      <c r="AF27" s="371"/>
      <c r="AG27" s="377">
        <f t="shared" si="6"/>
        <v>200</v>
      </c>
      <c r="AH27" s="377" t="b">
        <f t="shared" si="3"/>
        <v>0</v>
      </c>
      <c r="AI27" s="1">
        <v>0</v>
      </c>
      <c r="AJ27" s="1">
        <v>0</v>
      </c>
      <c r="AK27" s="1">
        <v>100</v>
      </c>
      <c r="AL27" s="1">
        <v>100</v>
      </c>
      <c r="AM27" s="16">
        <f t="shared" si="4"/>
        <v>0.2</v>
      </c>
      <c r="AN27" s="156">
        <v>100</v>
      </c>
      <c r="AO27" s="1">
        <v>0</v>
      </c>
      <c r="AP27" s="1">
        <v>0</v>
      </c>
      <c r="AQ27" s="1"/>
      <c r="AR27" s="1">
        <f>AL27</f>
        <v>100</v>
      </c>
      <c r="AS27" s="21">
        <f>IFERROR(+AR27/AN27,0)</f>
        <v>1</v>
      </c>
      <c r="AT27" s="1">
        <f t="shared" si="1"/>
        <v>100</v>
      </c>
      <c r="AU27" s="31"/>
      <c r="AV27" s="31"/>
      <c r="AW27" s="31"/>
      <c r="AX27" s="16">
        <f t="shared" si="8"/>
        <v>0.2</v>
      </c>
      <c r="AY27" s="156">
        <v>100</v>
      </c>
      <c r="AZ27" s="76">
        <v>0</v>
      </c>
      <c r="BA27" s="31"/>
      <c r="BB27" s="31"/>
      <c r="BC27" s="31"/>
      <c r="BD27" s="16">
        <f t="shared" si="7"/>
        <v>0</v>
      </c>
      <c r="BE27" s="31"/>
      <c r="BF27" s="31"/>
      <c r="BG27" s="31"/>
      <c r="BH27" s="31"/>
      <c r="BI27" s="16"/>
      <c r="BJ27" s="16"/>
      <c r="BK27" s="31"/>
      <c r="BL27" s="31"/>
      <c r="BM27" s="31"/>
      <c r="BN27" s="31"/>
      <c r="BO27" s="16"/>
      <c r="BP27" s="31"/>
      <c r="BQ27" s="31"/>
      <c r="BR27" s="31"/>
      <c r="BS27" s="31"/>
      <c r="BT27" s="16"/>
      <c r="BU27" s="16"/>
      <c r="BV27" s="16"/>
      <c r="BW27" s="16"/>
      <c r="BX27" s="16"/>
      <c r="BY27" s="16"/>
      <c r="BZ27" s="16"/>
      <c r="CA27" s="1" t="s">
        <v>50</v>
      </c>
      <c r="CB27" s="1" t="s">
        <v>97</v>
      </c>
      <c r="CC27" s="1" t="s">
        <v>50</v>
      </c>
    </row>
    <row r="28" spans="1:81" s="52" customFormat="1" ht="84" customHeight="1" x14ac:dyDescent="0.25">
      <c r="A28" s="1">
        <v>1</v>
      </c>
      <c r="B28" s="13" t="s">
        <v>1746</v>
      </c>
      <c r="C28" s="588"/>
      <c r="D28" s="589"/>
      <c r="E28" s="10" t="s">
        <v>98</v>
      </c>
      <c r="F28" s="13" t="s">
        <v>99</v>
      </c>
      <c r="G28" s="567">
        <f>+AVERAGEIF(F14:F567,F28,AX14:AX567)</f>
        <v>0.37277579950313294</v>
      </c>
      <c r="H28" s="569">
        <f>+AVERAGEIF(F14:F567,F28,BD14:BD567)</f>
        <v>0.31519374055687455</v>
      </c>
      <c r="I28" s="10" t="s">
        <v>100</v>
      </c>
      <c r="J28" s="13" t="s">
        <v>101</v>
      </c>
      <c r="K28" s="588">
        <f>AVERAGE(AX28:AX48)</f>
        <v>0.34098599173680866</v>
      </c>
      <c r="L28" s="589">
        <f>AVERAGE(BD28:BD48)</f>
        <v>0.12839000155255395</v>
      </c>
      <c r="M28" s="10" t="s">
        <v>102</v>
      </c>
      <c r="N28" s="10" t="s">
        <v>103</v>
      </c>
      <c r="O28" s="13" t="s">
        <v>104</v>
      </c>
      <c r="P28" s="1">
        <v>16.399999999999999</v>
      </c>
      <c r="Q28" s="1">
        <v>30</v>
      </c>
      <c r="R28" s="10" t="s">
        <v>105</v>
      </c>
      <c r="S28" s="13" t="s">
        <v>106</v>
      </c>
      <c r="T28" s="13" t="s">
        <v>107</v>
      </c>
      <c r="U28" s="1">
        <v>6</v>
      </c>
      <c r="V28" s="1">
        <v>26</v>
      </c>
      <c r="W28" s="1" t="s">
        <v>49</v>
      </c>
      <c r="X28" s="1"/>
      <c r="Y28" s="1" t="s">
        <v>108</v>
      </c>
      <c r="Z28" s="1">
        <v>22</v>
      </c>
      <c r="AA28" s="24"/>
      <c r="AB28" s="42" t="s">
        <v>1753</v>
      </c>
      <c r="AC28" s="158">
        <v>9</v>
      </c>
      <c r="AD28" s="156">
        <v>6</v>
      </c>
      <c r="AE28" s="156">
        <v>6</v>
      </c>
      <c r="AF28" s="156">
        <v>5</v>
      </c>
      <c r="AG28" s="377">
        <f t="shared" si="6"/>
        <v>26</v>
      </c>
      <c r="AH28" s="377" t="b">
        <f t="shared" si="3"/>
        <v>1</v>
      </c>
      <c r="AI28" s="65">
        <v>9</v>
      </c>
      <c r="AJ28" s="65">
        <v>9</v>
      </c>
      <c r="AK28" s="363">
        <v>9</v>
      </c>
      <c r="AL28" s="65">
        <v>9</v>
      </c>
      <c r="AM28" s="328">
        <f>+AL28/V28</f>
        <v>0.34615384615384615</v>
      </c>
      <c r="AN28" s="158">
        <v>9</v>
      </c>
      <c r="AO28" s="66">
        <v>9</v>
      </c>
      <c r="AP28" s="66">
        <v>9</v>
      </c>
      <c r="AQ28" s="66"/>
      <c r="AR28" s="65">
        <f>AL28</f>
        <v>9</v>
      </c>
      <c r="AS28" s="21">
        <f>IFERROR(+AR28/AN28,0)</f>
        <v>1</v>
      </c>
      <c r="AT28" s="1">
        <f t="shared" si="1"/>
        <v>9</v>
      </c>
      <c r="AU28" s="31"/>
      <c r="AV28" s="31"/>
      <c r="AW28" s="31"/>
      <c r="AX28" s="16">
        <f t="shared" si="8"/>
        <v>0.34615384615384615</v>
      </c>
      <c r="AY28" s="156">
        <v>6</v>
      </c>
      <c r="AZ28" s="76">
        <v>0</v>
      </c>
      <c r="BA28" s="31"/>
      <c r="BB28" s="31"/>
      <c r="BC28" s="31"/>
      <c r="BD28" s="16">
        <f t="shared" si="7"/>
        <v>0</v>
      </c>
      <c r="BE28" s="31"/>
      <c r="BF28" s="31"/>
      <c r="BG28" s="31"/>
      <c r="BH28" s="31"/>
      <c r="BI28" s="16"/>
      <c r="BJ28" s="16"/>
      <c r="BK28" s="31"/>
      <c r="BL28" s="31"/>
      <c r="BM28" s="31"/>
      <c r="BN28" s="31"/>
      <c r="BO28" s="16"/>
      <c r="BP28" s="31"/>
      <c r="BQ28" s="31"/>
      <c r="BR28" s="31"/>
      <c r="BS28" s="31"/>
      <c r="BT28" s="16"/>
      <c r="BU28" s="16"/>
      <c r="BV28" s="16"/>
      <c r="BW28" s="16"/>
      <c r="BX28" s="16"/>
      <c r="BY28" s="16"/>
      <c r="BZ28" s="16"/>
      <c r="CA28" s="10"/>
      <c r="CB28" s="10"/>
      <c r="CC28" s="19"/>
    </row>
    <row r="29" spans="1:81" s="52" customFormat="1" ht="49.15" customHeight="1" x14ac:dyDescent="0.25">
      <c r="A29" s="1">
        <v>1</v>
      </c>
      <c r="B29" s="13" t="s">
        <v>1746</v>
      </c>
      <c r="C29" s="588"/>
      <c r="D29" s="589"/>
      <c r="E29" s="10" t="s">
        <v>98</v>
      </c>
      <c r="F29" s="13" t="s">
        <v>99</v>
      </c>
      <c r="G29" s="572"/>
      <c r="H29" s="573"/>
      <c r="I29" s="10" t="s">
        <v>100</v>
      </c>
      <c r="J29" s="13" t="s">
        <v>101</v>
      </c>
      <c r="K29" s="588"/>
      <c r="L29" s="589"/>
      <c r="M29" s="10" t="s">
        <v>109</v>
      </c>
      <c r="N29" s="10" t="s">
        <v>110</v>
      </c>
      <c r="O29" s="13" t="s">
        <v>111</v>
      </c>
      <c r="P29" s="1">
        <v>4.83</v>
      </c>
      <c r="Q29" s="1">
        <v>4.8499999999999996</v>
      </c>
      <c r="R29" s="10" t="s">
        <v>112</v>
      </c>
      <c r="S29" s="13" t="s">
        <v>113</v>
      </c>
      <c r="T29" s="13" t="s">
        <v>114</v>
      </c>
      <c r="U29" s="1">
        <v>555</v>
      </c>
      <c r="V29" s="1">
        <v>420</v>
      </c>
      <c r="W29" s="1" t="s">
        <v>49</v>
      </c>
      <c r="X29" s="1"/>
      <c r="Y29" s="1" t="s">
        <v>115</v>
      </c>
      <c r="Z29" s="1">
        <v>22</v>
      </c>
      <c r="AA29" s="24"/>
      <c r="AB29" s="42" t="s">
        <v>1753</v>
      </c>
      <c r="AC29" s="158">
        <v>200</v>
      </c>
      <c r="AD29" s="156">
        <v>100</v>
      </c>
      <c r="AE29" s="156">
        <v>60</v>
      </c>
      <c r="AF29" s="156">
        <v>60</v>
      </c>
      <c r="AG29" s="377">
        <f t="shared" si="6"/>
        <v>420</v>
      </c>
      <c r="AH29" s="377" t="b">
        <f t="shared" si="3"/>
        <v>1</v>
      </c>
      <c r="AI29" s="65">
        <v>0</v>
      </c>
      <c r="AJ29" s="67">
        <v>139</v>
      </c>
      <c r="AK29" s="364">
        <v>139</v>
      </c>
      <c r="AL29" s="67">
        <v>139</v>
      </c>
      <c r="AM29" s="16">
        <f>+AL29/V29</f>
        <v>0.33095238095238094</v>
      </c>
      <c r="AN29" s="158">
        <v>200</v>
      </c>
      <c r="AO29" s="67">
        <v>0</v>
      </c>
      <c r="AP29" s="67">
        <v>139</v>
      </c>
      <c r="AQ29" s="67"/>
      <c r="AR29" s="65">
        <f t="shared" ref="AR29:AR70" si="9">AL29</f>
        <v>139</v>
      </c>
      <c r="AS29" s="21">
        <f>IFERROR(+AR29/AN29,0)</f>
        <v>0.69499999999999995</v>
      </c>
      <c r="AT29" s="1">
        <f t="shared" si="1"/>
        <v>139</v>
      </c>
      <c r="AU29" s="31"/>
      <c r="AV29" s="31"/>
      <c r="AW29" s="31"/>
      <c r="AX29" s="16">
        <f t="shared" si="8"/>
        <v>0.33095238095238094</v>
      </c>
      <c r="AY29" s="156">
        <v>100</v>
      </c>
      <c r="AZ29" s="76">
        <v>0</v>
      </c>
      <c r="BA29" s="31"/>
      <c r="BB29" s="31"/>
      <c r="BC29" s="31"/>
      <c r="BD29" s="16">
        <f t="shared" si="7"/>
        <v>0</v>
      </c>
      <c r="BE29" s="31"/>
      <c r="BF29" s="31"/>
      <c r="BG29" s="31"/>
      <c r="BH29" s="31"/>
      <c r="BI29" s="16"/>
      <c r="BJ29" s="16"/>
      <c r="BK29" s="31"/>
      <c r="BL29" s="31"/>
      <c r="BM29" s="31"/>
      <c r="BN29" s="31"/>
      <c r="BO29" s="16"/>
      <c r="BP29" s="31"/>
      <c r="BQ29" s="31"/>
      <c r="BR29" s="31"/>
      <c r="BS29" s="31"/>
      <c r="BT29" s="16"/>
      <c r="BU29" s="16"/>
      <c r="BV29" s="16"/>
      <c r="BW29" s="16"/>
      <c r="BX29" s="16"/>
      <c r="BY29" s="16"/>
      <c r="BZ29" s="16"/>
      <c r="CA29" s="10"/>
      <c r="CB29" s="10"/>
      <c r="CC29" s="19"/>
    </row>
    <row r="30" spans="1:81" s="52" customFormat="1" ht="49.15" customHeight="1" x14ac:dyDescent="0.25">
      <c r="A30" s="1">
        <v>1</v>
      </c>
      <c r="B30" s="13" t="s">
        <v>1746</v>
      </c>
      <c r="C30" s="588"/>
      <c r="D30" s="589"/>
      <c r="E30" s="10" t="s">
        <v>98</v>
      </c>
      <c r="F30" s="13" t="s">
        <v>99</v>
      </c>
      <c r="G30" s="572"/>
      <c r="H30" s="573"/>
      <c r="I30" s="10" t="s">
        <v>100</v>
      </c>
      <c r="J30" s="13" t="s">
        <v>101</v>
      </c>
      <c r="K30" s="588"/>
      <c r="L30" s="589"/>
      <c r="M30" s="10" t="s">
        <v>116</v>
      </c>
      <c r="N30" s="10" t="s">
        <v>117</v>
      </c>
      <c r="O30" s="13" t="s">
        <v>118</v>
      </c>
      <c r="P30" s="1">
        <v>4.74</v>
      </c>
      <c r="Q30" s="1">
        <v>4.75</v>
      </c>
      <c r="R30" s="10" t="s">
        <v>119</v>
      </c>
      <c r="S30" s="13" t="s">
        <v>120</v>
      </c>
      <c r="T30" s="13" t="s">
        <v>121</v>
      </c>
      <c r="U30" s="1">
        <v>146</v>
      </c>
      <c r="V30" s="1">
        <v>350</v>
      </c>
      <c r="W30" s="1" t="s">
        <v>49</v>
      </c>
      <c r="X30" s="1"/>
      <c r="Y30" s="1" t="s">
        <v>108</v>
      </c>
      <c r="Z30" s="1">
        <v>22</v>
      </c>
      <c r="AA30" s="24"/>
      <c r="AB30" s="42" t="s">
        <v>1753</v>
      </c>
      <c r="AC30" s="158">
        <v>200</v>
      </c>
      <c r="AD30" s="156">
        <v>100</v>
      </c>
      <c r="AE30" s="156">
        <v>50</v>
      </c>
      <c r="AF30" s="156">
        <v>50</v>
      </c>
      <c r="AG30" s="377">
        <f t="shared" si="6"/>
        <v>400</v>
      </c>
      <c r="AH30" s="377" t="b">
        <f t="shared" si="3"/>
        <v>0</v>
      </c>
      <c r="AI30" s="65">
        <v>0</v>
      </c>
      <c r="AJ30" s="65">
        <v>25</v>
      </c>
      <c r="AK30" s="363">
        <v>35</v>
      </c>
      <c r="AL30" s="65">
        <v>35</v>
      </c>
      <c r="AM30" s="16">
        <f t="shared" si="4"/>
        <v>0.1</v>
      </c>
      <c r="AN30" s="158">
        <v>200</v>
      </c>
      <c r="AO30" s="67">
        <v>0</v>
      </c>
      <c r="AP30" s="67">
        <f>5*5</f>
        <v>25</v>
      </c>
      <c r="AQ30" s="67"/>
      <c r="AR30" s="65">
        <f t="shared" si="9"/>
        <v>35</v>
      </c>
      <c r="AS30" s="21">
        <f>IFERROR(+AR30/AN30,0)</f>
        <v>0.17499999999999999</v>
      </c>
      <c r="AT30" s="1">
        <f t="shared" si="1"/>
        <v>59</v>
      </c>
      <c r="AU30" s="31"/>
      <c r="AV30" s="31"/>
      <c r="AW30" s="31"/>
      <c r="AX30" s="16">
        <f t="shared" si="8"/>
        <v>0.16857142857142857</v>
      </c>
      <c r="AY30" s="156">
        <v>100</v>
      </c>
      <c r="AZ30" s="76">
        <v>24</v>
      </c>
      <c r="BA30" s="31"/>
      <c r="BB30" s="31"/>
      <c r="BC30" s="31"/>
      <c r="BD30" s="16">
        <f t="shared" si="7"/>
        <v>0.24</v>
      </c>
      <c r="BE30" s="31"/>
      <c r="BF30" s="31"/>
      <c r="BG30" s="31"/>
      <c r="BH30" s="31"/>
      <c r="BI30" s="16"/>
      <c r="BJ30" s="16"/>
      <c r="BK30" s="31"/>
      <c r="BL30" s="31"/>
      <c r="BM30" s="31"/>
      <c r="BN30" s="31"/>
      <c r="BO30" s="16"/>
      <c r="BP30" s="31"/>
      <c r="BQ30" s="31"/>
      <c r="BR30" s="31"/>
      <c r="BS30" s="31"/>
      <c r="BT30" s="16"/>
      <c r="BU30" s="16"/>
      <c r="BV30" s="16"/>
      <c r="BW30" s="16"/>
      <c r="BX30" s="16"/>
      <c r="BY30" s="16"/>
      <c r="BZ30" s="16"/>
      <c r="CA30" s="10"/>
      <c r="CB30" s="10"/>
      <c r="CC30" s="19"/>
    </row>
    <row r="31" spans="1:81" s="52" customFormat="1" ht="63.75" customHeight="1" x14ac:dyDescent="0.25">
      <c r="A31" s="1">
        <v>1</v>
      </c>
      <c r="B31" s="13" t="s">
        <v>1746</v>
      </c>
      <c r="C31" s="588"/>
      <c r="D31" s="589"/>
      <c r="E31" s="10" t="s">
        <v>98</v>
      </c>
      <c r="F31" s="13" t="s">
        <v>99</v>
      </c>
      <c r="G31" s="572"/>
      <c r="H31" s="573"/>
      <c r="I31" s="10" t="s">
        <v>100</v>
      </c>
      <c r="J31" s="13" t="s">
        <v>101</v>
      </c>
      <c r="K31" s="588"/>
      <c r="L31" s="589"/>
      <c r="M31" s="10" t="s">
        <v>122</v>
      </c>
      <c r="N31" s="10" t="s">
        <v>123</v>
      </c>
      <c r="O31" s="13" t="s">
        <v>124</v>
      </c>
      <c r="P31" s="1">
        <v>4.5999999999999996</v>
      </c>
      <c r="Q31" s="1">
        <v>5</v>
      </c>
      <c r="R31" s="10" t="s">
        <v>125</v>
      </c>
      <c r="S31" s="13" t="s">
        <v>126</v>
      </c>
      <c r="T31" s="13" t="s">
        <v>127</v>
      </c>
      <c r="U31" s="1">
        <v>43</v>
      </c>
      <c r="V31" s="1">
        <v>100</v>
      </c>
      <c r="W31" s="1" t="s">
        <v>49</v>
      </c>
      <c r="X31" s="1"/>
      <c r="Y31" s="1" t="s">
        <v>115</v>
      </c>
      <c r="Z31" s="1">
        <v>22</v>
      </c>
      <c r="AA31" s="24"/>
      <c r="AB31" s="42" t="s">
        <v>1753</v>
      </c>
      <c r="AC31" s="158">
        <v>35</v>
      </c>
      <c r="AD31" s="156">
        <v>30</v>
      </c>
      <c r="AE31" s="156">
        <v>20</v>
      </c>
      <c r="AF31" s="156">
        <v>15</v>
      </c>
      <c r="AG31" s="377">
        <f t="shared" si="6"/>
        <v>100</v>
      </c>
      <c r="AH31" s="377" t="b">
        <f t="shared" si="3"/>
        <v>1</v>
      </c>
      <c r="AI31" s="65">
        <v>0</v>
      </c>
      <c r="AJ31" s="67">
        <v>26</v>
      </c>
      <c r="AK31" s="364">
        <v>26</v>
      </c>
      <c r="AL31" s="67">
        <v>26</v>
      </c>
      <c r="AM31" s="16">
        <f t="shared" si="4"/>
        <v>0.26</v>
      </c>
      <c r="AN31" s="158">
        <v>35</v>
      </c>
      <c r="AO31" s="67">
        <v>0</v>
      </c>
      <c r="AP31" s="67">
        <v>25</v>
      </c>
      <c r="AQ31" s="67"/>
      <c r="AR31" s="65">
        <f t="shared" si="9"/>
        <v>26</v>
      </c>
      <c r="AS31" s="21">
        <v>1</v>
      </c>
      <c r="AT31" s="1">
        <f t="shared" si="1"/>
        <v>26</v>
      </c>
      <c r="AU31" s="31"/>
      <c r="AV31" s="31"/>
      <c r="AW31" s="31"/>
      <c r="AX31" s="16">
        <f t="shared" si="8"/>
        <v>0.26</v>
      </c>
      <c r="AY31" s="156">
        <v>30</v>
      </c>
      <c r="AZ31" s="76">
        <v>0</v>
      </c>
      <c r="BA31" s="31"/>
      <c r="BB31" s="31"/>
      <c r="BC31" s="31"/>
      <c r="BD31" s="16">
        <f t="shared" si="7"/>
        <v>0</v>
      </c>
      <c r="BE31" s="31"/>
      <c r="BF31" s="31"/>
      <c r="BG31" s="31"/>
      <c r="BH31" s="31"/>
      <c r="BI31" s="16"/>
      <c r="BJ31" s="16"/>
      <c r="BK31" s="31"/>
      <c r="BL31" s="31"/>
      <c r="BM31" s="31"/>
      <c r="BN31" s="31"/>
      <c r="BO31" s="16"/>
      <c r="BP31" s="31"/>
      <c r="BQ31" s="31"/>
      <c r="BR31" s="31"/>
      <c r="BS31" s="31"/>
      <c r="BT31" s="16"/>
      <c r="BU31" s="16"/>
      <c r="BV31" s="16"/>
      <c r="BW31" s="16"/>
      <c r="BX31" s="16"/>
      <c r="BY31" s="16"/>
      <c r="BZ31" s="16"/>
      <c r="CA31" s="10"/>
      <c r="CB31" s="10"/>
      <c r="CC31" s="19"/>
    </row>
    <row r="32" spans="1:81" s="52" customFormat="1" ht="49.15" customHeight="1" x14ac:dyDescent="0.25">
      <c r="A32" s="1">
        <v>1</v>
      </c>
      <c r="B32" s="13" t="s">
        <v>1746</v>
      </c>
      <c r="C32" s="588"/>
      <c r="D32" s="589"/>
      <c r="E32" s="10" t="s">
        <v>98</v>
      </c>
      <c r="F32" s="13" t="s">
        <v>99</v>
      </c>
      <c r="G32" s="572"/>
      <c r="H32" s="573"/>
      <c r="I32" s="10" t="s">
        <v>100</v>
      </c>
      <c r="J32" s="13" t="s">
        <v>101</v>
      </c>
      <c r="K32" s="588"/>
      <c r="L32" s="589"/>
      <c r="M32" s="10" t="s">
        <v>122</v>
      </c>
      <c r="N32" s="10" t="s">
        <v>123</v>
      </c>
      <c r="O32" s="13" t="s">
        <v>124</v>
      </c>
      <c r="P32" s="1">
        <v>4.5999999999999996</v>
      </c>
      <c r="Q32" s="1">
        <v>5</v>
      </c>
      <c r="R32" s="10" t="s">
        <v>128</v>
      </c>
      <c r="S32" s="13" t="s">
        <v>129</v>
      </c>
      <c r="T32" s="13" t="s">
        <v>130</v>
      </c>
      <c r="U32" s="1">
        <v>4</v>
      </c>
      <c r="V32" s="1">
        <v>50</v>
      </c>
      <c r="W32" s="1" t="s">
        <v>49</v>
      </c>
      <c r="X32" s="1"/>
      <c r="Y32" s="1" t="s">
        <v>108</v>
      </c>
      <c r="Z32" s="1">
        <v>22</v>
      </c>
      <c r="AA32" s="24"/>
      <c r="AB32" s="42" t="s">
        <v>1753</v>
      </c>
      <c r="AC32" s="158">
        <v>20</v>
      </c>
      <c r="AD32" s="156">
        <v>10</v>
      </c>
      <c r="AE32" s="156">
        <v>10</v>
      </c>
      <c r="AF32" s="156">
        <v>10</v>
      </c>
      <c r="AG32" s="377">
        <f t="shared" si="6"/>
        <v>50</v>
      </c>
      <c r="AH32" s="377" t="b">
        <f t="shared" si="3"/>
        <v>1</v>
      </c>
      <c r="AI32" s="65">
        <v>0</v>
      </c>
      <c r="AJ32" s="67">
        <v>0</v>
      </c>
      <c r="AK32" s="364">
        <v>10</v>
      </c>
      <c r="AL32" s="67">
        <v>10</v>
      </c>
      <c r="AM32" s="16">
        <f t="shared" si="4"/>
        <v>0.2</v>
      </c>
      <c r="AN32" s="158">
        <v>20</v>
      </c>
      <c r="AO32" s="67">
        <v>0</v>
      </c>
      <c r="AP32" s="67">
        <v>0</v>
      </c>
      <c r="AQ32" s="67"/>
      <c r="AR32" s="65">
        <f t="shared" si="9"/>
        <v>10</v>
      </c>
      <c r="AS32" s="21">
        <f>IFERROR(+AR32/AN32,0)</f>
        <v>0.5</v>
      </c>
      <c r="AT32" s="1">
        <f t="shared" si="1"/>
        <v>10</v>
      </c>
      <c r="AU32" s="31"/>
      <c r="AV32" s="31"/>
      <c r="AW32" s="31"/>
      <c r="AX32" s="16">
        <f t="shared" si="8"/>
        <v>0.2</v>
      </c>
      <c r="AY32" s="156">
        <v>10</v>
      </c>
      <c r="AZ32" s="76">
        <v>0</v>
      </c>
      <c r="BA32" s="31"/>
      <c r="BB32" s="31"/>
      <c r="BC32" s="31"/>
      <c r="BD32" s="16">
        <f t="shared" si="7"/>
        <v>0</v>
      </c>
      <c r="BE32" s="31"/>
      <c r="BF32" s="31"/>
      <c r="BG32" s="31"/>
      <c r="BH32" s="31"/>
      <c r="BI32" s="16"/>
      <c r="BJ32" s="16"/>
      <c r="BK32" s="31"/>
      <c r="BL32" s="31"/>
      <c r="BM32" s="31"/>
      <c r="BN32" s="31"/>
      <c r="BO32" s="16"/>
      <c r="BP32" s="31"/>
      <c r="BQ32" s="31"/>
      <c r="BR32" s="31"/>
      <c r="BS32" s="31"/>
      <c r="BT32" s="16"/>
      <c r="BU32" s="16"/>
      <c r="BV32" s="16"/>
      <c r="BW32" s="16"/>
      <c r="BX32" s="16"/>
      <c r="BY32" s="16"/>
      <c r="BZ32" s="16"/>
      <c r="CA32" s="10"/>
      <c r="CB32" s="10"/>
      <c r="CC32" s="19"/>
    </row>
    <row r="33" spans="1:81" s="52" customFormat="1" ht="71.25" customHeight="1" x14ac:dyDescent="0.25">
      <c r="A33" s="1">
        <v>1</v>
      </c>
      <c r="B33" s="13" t="s">
        <v>1746</v>
      </c>
      <c r="C33" s="588"/>
      <c r="D33" s="589"/>
      <c r="E33" s="10" t="s">
        <v>98</v>
      </c>
      <c r="F33" s="13" t="s">
        <v>99</v>
      </c>
      <c r="G33" s="572"/>
      <c r="H33" s="573"/>
      <c r="I33" s="10" t="s">
        <v>100</v>
      </c>
      <c r="J33" s="13" t="s">
        <v>101</v>
      </c>
      <c r="K33" s="588"/>
      <c r="L33" s="589"/>
      <c r="M33" s="10" t="s">
        <v>116</v>
      </c>
      <c r="N33" s="10" t="s">
        <v>131</v>
      </c>
      <c r="O33" s="13" t="s">
        <v>118</v>
      </c>
      <c r="P33" s="1">
        <v>4.74</v>
      </c>
      <c r="Q33" s="1">
        <v>4.75</v>
      </c>
      <c r="R33" s="10" t="s">
        <v>132</v>
      </c>
      <c r="S33" s="13" t="s">
        <v>133</v>
      </c>
      <c r="T33" s="13" t="s">
        <v>134</v>
      </c>
      <c r="U33" s="1">
        <v>50</v>
      </c>
      <c r="V33" s="1">
        <v>226</v>
      </c>
      <c r="W33" s="1" t="s">
        <v>49</v>
      </c>
      <c r="X33" s="1"/>
      <c r="Y33" s="1" t="s">
        <v>115</v>
      </c>
      <c r="Z33" s="1">
        <v>22</v>
      </c>
      <c r="AA33" s="24"/>
      <c r="AB33" s="42" t="s">
        <v>1753</v>
      </c>
      <c r="AC33" s="158">
        <v>226</v>
      </c>
      <c r="AD33" s="156">
        <v>226</v>
      </c>
      <c r="AE33" s="156">
        <v>226</v>
      </c>
      <c r="AF33" s="156">
        <v>226</v>
      </c>
      <c r="AG33" s="377">
        <f t="shared" si="6"/>
        <v>904</v>
      </c>
      <c r="AH33" s="377" t="b">
        <f t="shared" si="3"/>
        <v>0</v>
      </c>
      <c r="AI33" s="67">
        <v>226</v>
      </c>
      <c r="AJ33" s="67">
        <v>226</v>
      </c>
      <c r="AK33" s="364">
        <v>226</v>
      </c>
      <c r="AL33" s="67">
        <v>226</v>
      </c>
      <c r="AM33" s="16">
        <f t="shared" si="4"/>
        <v>1</v>
      </c>
      <c r="AN33" s="158">
        <v>226</v>
      </c>
      <c r="AO33" s="67">
        <v>226</v>
      </c>
      <c r="AP33" s="67">
        <v>226</v>
      </c>
      <c r="AQ33" s="67"/>
      <c r="AR33" s="65">
        <f t="shared" si="9"/>
        <v>226</v>
      </c>
      <c r="AS33" s="21">
        <f>IFERROR(+AR33/AN33,0)</f>
        <v>1</v>
      </c>
      <c r="AT33" s="1">
        <f t="shared" si="1"/>
        <v>226</v>
      </c>
      <c r="AU33" s="31"/>
      <c r="AV33" s="31"/>
      <c r="AW33" s="31"/>
      <c r="AX33" s="16">
        <f t="shared" si="8"/>
        <v>1</v>
      </c>
      <c r="AY33" s="156">
        <v>226</v>
      </c>
      <c r="AZ33" s="76"/>
      <c r="BA33" s="31"/>
      <c r="BB33" s="31"/>
      <c r="BC33" s="31"/>
      <c r="BD33" s="16">
        <f t="shared" si="7"/>
        <v>0</v>
      </c>
      <c r="BE33" s="31"/>
      <c r="BF33" s="31"/>
      <c r="BG33" s="31"/>
      <c r="BH33" s="31"/>
      <c r="BI33" s="16"/>
      <c r="BJ33" s="16"/>
      <c r="BK33" s="31"/>
      <c r="BL33" s="31"/>
      <c r="BM33" s="31"/>
      <c r="BN33" s="31"/>
      <c r="BO33" s="16"/>
      <c r="BP33" s="31"/>
      <c r="BQ33" s="31"/>
      <c r="BR33" s="31"/>
      <c r="BS33" s="31"/>
      <c r="BT33" s="16"/>
      <c r="BU33" s="16"/>
      <c r="BV33" s="16"/>
      <c r="BW33" s="16"/>
      <c r="BX33" s="16"/>
      <c r="BY33" s="16"/>
      <c r="BZ33" s="16"/>
      <c r="CA33" s="10"/>
      <c r="CB33" s="10"/>
      <c r="CC33" s="19"/>
    </row>
    <row r="34" spans="1:81" s="52" customFormat="1" ht="78.75" customHeight="1" x14ac:dyDescent="0.25">
      <c r="A34" s="1">
        <v>1</v>
      </c>
      <c r="B34" s="13" t="s">
        <v>1746</v>
      </c>
      <c r="C34" s="588"/>
      <c r="D34" s="589"/>
      <c r="E34" s="10" t="s">
        <v>98</v>
      </c>
      <c r="F34" s="13" t="s">
        <v>99</v>
      </c>
      <c r="G34" s="572"/>
      <c r="H34" s="573"/>
      <c r="I34" s="10" t="s">
        <v>100</v>
      </c>
      <c r="J34" s="13" t="s">
        <v>101</v>
      </c>
      <c r="K34" s="588"/>
      <c r="L34" s="589"/>
      <c r="M34" s="10" t="s">
        <v>116</v>
      </c>
      <c r="N34" s="10" t="s">
        <v>135</v>
      </c>
      <c r="O34" s="13" t="s">
        <v>118</v>
      </c>
      <c r="P34" s="1">
        <v>4.74</v>
      </c>
      <c r="Q34" s="1">
        <v>4.75</v>
      </c>
      <c r="R34" s="10" t="s">
        <v>136</v>
      </c>
      <c r="S34" s="13" t="s">
        <v>137</v>
      </c>
      <c r="T34" s="13" t="s">
        <v>138</v>
      </c>
      <c r="U34" s="1">
        <v>85</v>
      </c>
      <c r="V34" s="1">
        <v>167</v>
      </c>
      <c r="W34" s="1" t="s">
        <v>49</v>
      </c>
      <c r="X34" s="1"/>
      <c r="Y34" s="1" t="s">
        <v>115</v>
      </c>
      <c r="Z34" s="1">
        <v>22</v>
      </c>
      <c r="AA34" s="24"/>
      <c r="AB34" s="42" t="s">
        <v>1753</v>
      </c>
      <c r="AC34" s="158">
        <v>167</v>
      </c>
      <c r="AD34" s="156">
        <v>167</v>
      </c>
      <c r="AE34" s="156">
        <v>167</v>
      </c>
      <c r="AF34" s="156">
        <v>167</v>
      </c>
      <c r="AG34" s="377">
        <f t="shared" si="6"/>
        <v>668</v>
      </c>
      <c r="AH34" s="377" t="b">
        <f t="shared" si="3"/>
        <v>0</v>
      </c>
      <c r="AI34" s="67">
        <v>167</v>
      </c>
      <c r="AJ34" s="67">
        <v>167</v>
      </c>
      <c r="AK34" s="364">
        <v>167</v>
      </c>
      <c r="AL34" s="67">
        <v>167</v>
      </c>
      <c r="AM34" s="16">
        <f t="shared" si="4"/>
        <v>1</v>
      </c>
      <c r="AN34" s="158">
        <v>167</v>
      </c>
      <c r="AO34" s="67">
        <v>167</v>
      </c>
      <c r="AP34" s="67">
        <v>167</v>
      </c>
      <c r="AQ34" s="67"/>
      <c r="AR34" s="65">
        <f t="shared" si="9"/>
        <v>167</v>
      </c>
      <c r="AS34" s="21">
        <f>IFERROR(+AR34/AN34,0)</f>
        <v>1</v>
      </c>
      <c r="AT34" s="1">
        <f t="shared" si="1"/>
        <v>167</v>
      </c>
      <c r="AU34" s="31"/>
      <c r="AV34" s="31"/>
      <c r="AW34" s="31"/>
      <c r="AX34" s="16">
        <f t="shared" si="8"/>
        <v>1</v>
      </c>
      <c r="AY34" s="156">
        <v>167</v>
      </c>
      <c r="AZ34" s="108"/>
      <c r="BA34" s="31"/>
      <c r="BB34" s="31"/>
      <c r="BC34" s="31"/>
      <c r="BD34" s="16">
        <f t="shared" si="7"/>
        <v>0</v>
      </c>
      <c r="BE34" s="31"/>
      <c r="BF34" s="31"/>
      <c r="BG34" s="31"/>
      <c r="BH34" s="31"/>
      <c r="BI34" s="16"/>
      <c r="BJ34" s="16"/>
      <c r="BK34" s="31"/>
      <c r="BL34" s="31"/>
      <c r="BM34" s="31"/>
      <c r="BN34" s="31"/>
      <c r="BO34" s="16"/>
      <c r="BP34" s="31"/>
      <c r="BQ34" s="31"/>
      <c r="BR34" s="31"/>
      <c r="BS34" s="31"/>
      <c r="BT34" s="16"/>
      <c r="BU34" s="16"/>
      <c r="BV34" s="16"/>
      <c r="BW34" s="16"/>
      <c r="BX34" s="16"/>
      <c r="BY34" s="16"/>
      <c r="BZ34" s="16"/>
      <c r="CA34" s="10"/>
      <c r="CB34" s="10"/>
      <c r="CC34" s="19"/>
    </row>
    <row r="35" spans="1:81" s="52" customFormat="1" ht="87" customHeight="1" x14ac:dyDescent="0.25">
      <c r="A35" s="1">
        <v>1</v>
      </c>
      <c r="B35" s="13" t="s">
        <v>1746</v>
      </c>
      <c r="C35" s="588"/>
      <c r="D35" s="589"/>
      <c r="E35" s="10" t="s">
        <v>98</v>
      </c>
      <c r="F35" s="13" t="s">
        <v>99</v>
      </c>
      <c r="G35" s="572"/>
      <c r="H35" s="573"/>
      <c r="I35" s="10" t="s">
        <v>100</v>
      </c>
      <c r="J35" s="13" t="s">
        <v>101</v>
      </c>
      <c r="K35" s="588"/>
      <c r="L35" s="589"/>
      <c r="M35" s="10" t="s">
        <v>122</v>
      </c>
      <c r="N35" s="10" t="s">
        <v>139</v>
      </c>
      <c r="O35" s="13" t="s">
        <v>124</v>
      </c>
      <c r="P35" s="1">
        <v>4.5999999999999996</v>
      </c>
      <c r="Q35" s="1">
        <v>5</v>
      </c>
      <c r="R35" s="10" t="s">
        <v>140</v>
      </c>
      <c r="S35" s="13" t="s">
        <v>141</v>
      </c>
      <c r="T35" s="13" t="s">
        <v>142</v>
      </c>
      <c r="U35" s="1">
        <v>40</v>
      </c>
      <c r="V35" s="1">
        <v>150</v>
      </c>
      <c r="W35" s="1" t="s">
        <v>49</v>
      </c>
      <c r="X35" s="1"/>
      <c r="Y35" s="1" t="s">
        <v>115</v>
      </c>
      <c r="Z35" s="1">
        <v>22</v>
      </c>
      <c r="AA35" s="24"/>
      <c r="AB35" s="42" t="s">
        <v>1753</v>
      </c>
      <c r="AC35" s="158">
        <v>40</v>
      </c>
      <c r="AD35" s="156">
        <v>50</v>
      </c>
      <c r="AE35" s="156">
        <v>40</v>
      </c>
      <c r="AF35" s="156">
        <v>20</v>
      </c>
      <c r="AG35" s="377">
        <f t="shared" si="6"/>
        <v>150</v>
      </c>
      <c r="AH35" s="377" t="b">
        <f t="shared" si="3"/>
        <v>1</v>
      </c>
      <c r="AI35" s="67">
        <v>0</v>
      </c>
      <c r="AJ35" s="67">
        <v>0</v>
      </c>
      <c r="AK35" s="364">
        <v>0</v>
      </c>
      <c r="AL35" s="67">
        <v>0</v>
      </c>
      <c r="AM35" s="16">
        <f t="shared" si="4"/>
        <v>0</v>
      </c>
      <c r="AN35" s="158">
        <v>40</v>
      </c>
      <c r="AO35" s="67">
        <v>0</v>
      </c>
      <c r="AP35" s="67">
        <v>0</v>
      </c>
      <c r="AQ35" s="67"/>
      <c r="AR35" s="65">
        <f t="shared" si="9"/>
        <v>0</v>
      </c>
      <c r="AS35" s="21">
        <f>IFERROR(+AR35/AN35,0)</f>
        <v>0</v>
      </c>
      <c r="AT35" s="1">
        <f t="shared" si="1"/>
        <v>45</v>
      </c>
      <c r="AU35" s="31"/>
      <c r="AV35" s="31"/>
      <c r="AW35" s="31"/>
      <c r="AX35" s="16">
        <f t="shared" si="8"/>
        <v>0.3</v>
      </c>
      <c r="AY35" s="156">
        <v>50</v>
      </c>
      <c r="AZ35" s="108">
        <v>45</v>
      </c>
      <c r="BA35" s="31"/>
      <c r="BB35" s="31"/>
      <c r="BC35" s="31"/>
      <c r="BD35" s="16">
        <f t="shared" si="7"/>
        <v>0.9</v>
      </c>
      <c r="BE35" s="31"/>
      <c r="BF35" s="31"/>
      <c r="BG35" s="31"/>
      <c r="BH35" s="31"/>
      <c r="BI35" s="16"/>
      <c r="BJ35" s="16"/>
      <c r="BK35" s="31"/>
      <c r="BL35" s="31"/>
      <c r="BM35" s="31"/>
      <c r="BN35" s="31"/>
      <c r="BO35" s="16"/>
      <c r="BP35" s="31"/>
      <c r="BQ35" s="31"/>
      <c r="BR35" s="31"/>
      <c r="BS35" s="31"/>
      <c r="BT35" s="16"/>
      <c r="BU35" s="16"/>
      <c r="BV35" s="16"/>
      <c r="BW35" s="16"/>
      <c r="BX35" s="16"/>
      <c r="BY35" s="16"/>
      <c r="BZ35" s="16"/>
      <c r="CA35" s="10"/>
      <c r="CB35" s="10"/>
      <c r="CC35" s="19"/>
    </row>
    <row r="36" spans="1:81" s="52" customFormat="1" ht="96" customHeight="1" x14ac:dyDescent="0.25">
      <c r="A36" s="1">
        <v>1</v>
      </c>
      <c r="B36" s="13" t="s">
        <v>1746</v>
      </c>
      <c r="C36" s="588"/>
      <c r="D36" s="589"/>
      <c r="E36" s="10" t="s">
        <v>98</v>
      </c>
      <c r="F36" s="13" t="s">
        <v>99</v>
      </c>
      <c r="G36" s="572"/>
      <c r="H36" s="573"/>
      <c r="I36" s="10" t="s">
        <v>100</v>
      </c>
      <c r="J36" s="13" t="s">
        <v>101</v>
      </c>
      <c r="K36" s="588"/>
      <c r="L36" s="589"/>
      <c r="M36" s="10" t="s">
        <v>116</v>
      </c>
      <c r="N36" s="10" t="s">
        <v>143</v>
      </c>
      <c r="O36" s="13" t="s">
        <v>118</v>
      </c>
      <c r="P36" s="1">
        <v>4.74</v>
      </c>
      <c r="Q36" s="1">
        <v>4.75</v>
      </c>
      <c r="R36" s="10" t="s">
        <v>144</v>
      </c>
      <c r="S36" s="13" t="s">
        <v>145</v>
      </c>
      <c r="T36" s="13" t="s">
        <v>146</v>
      </c>
      <c r="U36" s="1">
        <v>60</v>
      </c>
      <c r="V36" s="1">
        <v>70</v>
      </c>
      <c r="W36" s="1" t="s">
        <v>49</v>
      </c>
      <c r="X36" s="1"/>
      <c r="Y36" s="1" t="s">
        <v>115</v>
      </c>
      <c r="Z36" s="1">
        <v>22</v>
      </c>
      <c r="AA36" s="24"/>
      <c r="AB36" s="42" t="s">
        <v>1753</v>
      </c>
      <c r="AC36" s="156"/>
      <c r="AD36" s="156">
        <v>30</v>
      </c>
      <c r="AE36" s="156">
        <v>30</v>
      </c>
      <c r="AF36" s="156">
        <v>10</v>
      </c>
      <c r="AG36" s="377">
        <f t="shared" si="6"/>
        <v>70</v>
      </c>
      <c r="AH36" s="377" t="b">
        <f t="shared" si="3"/>
        <v>1</v>
      </c>
      <c r="AI36" s="67"/>
      <c r="AJ36" s="67"/>
      <c r="AK36" s="364"/>
      <c r="AL36" s="67"/>
      <c r="AM36" s="16">
        <f t="shared" si="4"/>
        <v>0</v>
      </c>
      <c r="AN36" s="156"/>
      <c r="AO36" s="67"/>
      <c r="AP36" s="67"/>
      <c r="AQ36" s="67"/>
      <c r="AR36" s="65"/>
      <c r="AS36" s="21" t="s">
        <v>310</v>
      </c>
      <c r="AT36" s="1">
        <f t="shared" si="1"/>
        <v>20</v>
      </c>
      <c r="AU36" s="31"/>
      <c r="AV36" s="31"/>
      <c r="AW36" s="31"/>
      <c r="AX36" s="16">
        <f t="shared" si="8"/>
        <v>0.2857142857142857</v>
      </c>
      <c r="AY36" s="156">
        <v>30</v>
      </c>
      <c r="AZ36" s="76">
        <v>20</v>
      </c>
      <c r="BA36" s="31"/>
      <c r="BB36" s="31"/>
      <c r="BC36" s="31"/>
      <c r="BD36" s="16">
        <f t="shared" si="7"/>
        <v>0.66666666666666663</v>
      </c>
      <c r="BE36" s="31"/>
      <c r="BF36" s="31"/>
      <c r="BG36" s="31"/>
      <c r="BH36" s="31"/>
      <c r="BI36" s="16"/>
      <c r="BJ36" s="16"/>
      <c r="BK36" s="31"/>
      <c r="BL36" s="31"/>
      <c r="BM36" s="31"/>
      <c r="BN36" s="31"/>
      <c r="BO36" s="16"/>
      <c r="BP36" s="31"/>
      <c r="BQ36" s="31"/>
      <c r="BR36" s="31"/>
      <c r="BS36" s="31"/>
      <c r="BT36" s="16"/>
      <c r="BU36" s="16"/>
      <c r="BV36" s="16"/>
      <c r="BW36" s="16"/>
      <c r="BX36" s="16"/>
      <c r="BY36" s="16"/>
      <c r="BZ36" s="16"/>
      <c r="CA36" s="10"/>
      <c r="CB36" s="10"/>
      <c r="CC36" s="19"/>
    </row>
    <row r="37" spans="1:81" s="52" customFormat="1" ht="96" customHeight="1" x14ac:dyDescent="0.25">
      <c r="A37" s="1">
        <v>1</v>
      </c>
      <c r="B37" s="13" t="s">
        <v>1746</v>
      </c>
      <c r="C37" s="588"/>
      <c r="D37" s="589"/>
      <c r="E37" s="10" t="s">
        <v>98</v>
      </c>
      <c r="F37" s="13" t="s">
        <v>99</v>
      </c>
      <c r="G37" s="572"/>
      <c r="H37" s="573"/>
      <c r="I37" s="10" t="s">
        <v>100</v>
      </c>
      <c r="J37" s="13" t="s">
        <v>101</v>
      </c>
      <c r="K37" s="588"/>
      <c r="L37" s="589"/>
      <c r="M37" s="10" t="s">
        <v>116</v>
      </c>
      <c r="N37" s="10" t="s">
        <v>147</v>
      </c>
      <c r="O37" s="13" t="s">
        <v>118</v>
      </c>
      <c r="P37" s="1">
        <v>4.74</v>
      </c>
      <c r="Q37" s="1">
        <v>4.75</v>
      </c>
      <c r="R37" s="10" t="s">
        <v>148</v>
      </c>
      <c r="S37" s="13" t="s">
        <v>1992</v>
      </c>
      <c r="T37" s="13" t="s">
        <v>149</v>
      </c>
      <c r="U37" s="1">
        <v>24</v>
      </c>
      <c r="V37" s="1">
        <v>226</v>
      </c>
      <c r="W37" s="1" t="s">
        <v>49</v>
      </c>
      <c r="X37" s="1"/>
      <c r="Y37" s="1" t="s">
        <v>115</v>
      </c>
      <c r="Z37" s="1">
        <v>22</v>
      </c>
      <c r="AA37" s="24"/>
      <c r="AB37" s="42" t="s">
        <v>1753</v>
      </c>
      <c r="AC37" s="156">
        <v>226</v>
      </c>
      <c r="AD37" s="156">
        <v>226</v>
      </c>
      <c r="AE37" s="156">
        <v>226</v>
      </c>
      <c r="AF37" s="156">
        <v>226</v>
      </c>
      <c r="AG37" s="377">
        <f t="shared" si="6"/>
        <v>904</v>
      </c>
      <c r="AH37" s="377" t="b">
        <f t="shared" si="3"/>
        <v>0</v>
      </c>
      <c r="AI37" s="68">
        <v>0</v>
      </c>
      <c r="AJ37" s="68">
        <v>170</v>
      </c>
      <c r="AK37" s="43">
        <v>170</v>
      </c>
      <c r="AL37" s="68">
        <v>170</v>
      </c>
      <c r="AM37" s="16">
        <f t="shared" si="4"/>
        <v>0.75221238938053092</v>
      </c>
      <c r="AN37" s="156">
        <v>226</v>
      </c>
      <c r="AO37" s="68">
        <v>0</v>
      </c>
      <c r="AP37" s="68">
        <v>170</v>
      </c>
      <c r="AQ37" s="68"/>
      <c r="AR37" s="65">
        <f t="shared" si="9"/>
        <v>170</v>
      </c>
      <c r="AS37" s="21">
        <f>IFERROR(+AR37/AN37,0)</f>
        <v>0.75221238938053092</v>
      </c>
      <c r="AT37" s="1">
        <f t="shared" si="1"/>
        <v>200</v>
      </c>
      <c r="AU37" s="31"/>
      <c r="AV37" s="31"/>
      <c r="AW37" s="31"/>
      <c r="AX37" s="16">
        <f t="shared" si="8"/>
        <v>0.88495575221238942</v>
      </c>
      <c r="AY37" s="156">
        <v>226</v>
      </c>
      <c r="AZ37" s="76">
        <v>30</v>
      </c>
      <c r="BA37" s="31"/>
      <c r="BB37" s="31"/>
      <c r="BC37" s="31"/>
      <c r="BD37" s="16">
        <f t="shared" si="7"/>
        <v>0.13274336283185842</v>
      </c>
      <c r="BE37" s="31"/>
      <c r="BF37" s="31"/>
      <c r="BG37" s="31"/>
      <c r="BH37" s="31"/>
      <c r="BI37" s="16"/>
      <c r="BJ37" s="16"/>
      <c r="BK37" s="31"/>
      <c r="BL37" s="31"/>
      <c r="BM37" s="31"/>
      <c r="BN37" s="31"/>
      <c r="BO37" s="16"/>
      <c r="BP37" s="31"/>
      <c r="BQ37" s="31"/>
      <c r="BR37" s="31"/>
      <c r="BS37" s="31"/>
      <c r="BT37" s="16"/>
      <c r="BU37" s="16"/>
      <c r="BV37" s="16"/>
      <c r="BW37" s="16"/>
      <c r="BX37" s="16"/>
      <c r="BY37" s="16"/>
      <c r="BZ37" s="16"/>
      <c r="CA37" s="10"/>
      <c r="CB37" s="10"/>
      <c r="CC37" s="19"/>
    </row>
    <row r="38" spans="1:81" s="52" customFormat="1" ht="49.15" customHeight="1" x14ac:dyDescent="0.25">
      <c r="A38" s="1">
        <v>1</v>
      </c>
      <c r="B38" s="13" t="s">
        <v>1746</v>
      </c>
      <c r="C38" s="588"/>
      <c r="D38" s="589"/>
      <c r="E38" s="10" t="s">
        <v>98</v>
      </c>
      <c r="F38" s="13" t="s">
        <v>99</v>
      </c>
      <c r="G38" s="572"/>
      <c r="H38" s="573"/>
      <c r="I38" s="10" t="s">
        <v>100</v>
      </c>
      <c r="J38" s="13" t="s">
        <v>101</v>
      </c>
      <c r="K38" s="588"/>
      <c r="L38" s="589"/>
      <c r="M38" s="10" t="s">
        <v>116</v>
      </c>
      <c r="N38" s="10" t="s">
        <v>150</v>
      </c>
      <c r="O38" s="13" t="s">
        <v>118</v>
      </c>
      <c r="P38" s="1">
        <v>4.74</v>
      </c>
      <c r="Q38" s="1">
        <v>4.75</v>
      </c>
      <c r="R38" s="10" t="s">
        <v>151</v>
      </c>
      <c r="S38" s="13" t="s">
        <v>152</v>
      </c>
      <c r="T38" s="13" t="s">
        <v>153</v>
      </c>
      <c r="U38" s="1">
        <v>0</v>
      </c>
      <c r="V38" s="1">
        <v>1</v>
      </c>
      <c r="W38" s="1" t="s">
        <v>49</v>
      </c>
      <c r="X38" s="1"/>
      <c r="Y38" s="1" t="s">
        <v>108</v>
      </c>
      <c r="Z38" s="1">
        <v>22</v>
      </c>
      <c r="AA38" s="24"/>
      <c r="AB38" s="42" t="s">
        <v>1753</v>
      </c>
      <c r="AC38" s="156"/>
      <c r="AD38" s="156"/>
      <c r="AE38" s="156">
        <v>1</v>
      </c>
      <c r="AF38" s="156">
        <v>0</v>
      </c>
      <c r="AG38" s="377">
        <f t="shared" si="6"/>
        <v>1</v>
      </c>
      <c r="AH38" s="377" t="b">
        <f t="shared" si="3"/>
        <v>1</v>
      </c>
      <c r="AI38" s="67"/>
      <c r="AJ38" s="67"/>
      <c r="AK38" s="364">
        <v>0</v>
      </c>
      <c r="AL38" s="67">
        <v>0</v>
      </c>
      <c r="AM38" s="16">
        <f t="shared" si="4"/>
        <v>0</v>
      </c>
      <c r="AN38" s="156"/>
      <c r="AO38" s="67"/>
      <c r="AP38" s="67"/>
      <c r="AQ38" s="67"/>
      <c r="AR38" s="65"/>
      <c r="AS38" s="21" t="s">
        <v>310</v>
      </c>
      <c r="AT38" s="1">
        <f t="shared" si="1"/>
        <v>0</v>
      </c>
      <c r="AU38" s="31"/>
      <c r="AV38" s="31"/>
      <c r="AW38" s="31"/>
      <c r="AX38" s="16">
        <f t="shared" si="8"/>
        <v>0</v>
      </c>
      <c r="AY38" s="156" t="s">
        <v>310</v>
      </c>
      <c r="AZ38" s="76">
        <v>0</v>
      </c>
      <c r="BA38" s="31"/>
      <c r="BB38" s="31"/>
      <c r="BC38" s="31"/>
      <c r="BD38" s="16" t="str">
        <f t="shared" si="7"/>
        <v>NP</v>
      </c>
      <c r="BE38" s="31"/>
      <c r="BF38" s="31"/>
      <c r="BG38" s="31"/>
      <c r="BH38" s="31"/>
      <c r="BI38" s="16"/>
      <c r="BJ38" s="16"/>
      <c r="BK38" s="31"/>
      <c r="BL38" s="31"/>
      <c r="BM38" s="31"/>
      <c r="BN38" s="31"/>
      <c r="BO38" s="16"/>
      <c r="BP38" s="31"/>
      <c r="BQ38" s="31"/>
      <c r="BR38" s="31"/>
      <c r="BS38" s="31"/>
      <c r="BT38" s="16"/>
      <c r="BU38" s="16"/>
      <c r="BV38" s="16"/>
      <c r="BW38" s="16"/>
      <c r="BX38" s="16"/>
      <c r="BY38" s="16"/>
      <c r="BZ38" s="16"/>
      <c r="CA38" s="10"/>
      <c r="CB38" s="10"/>
      <c r="CC38" s="19"/>
    </row>
    <row r="39" spans="1:81" s="52" customFormat="1" ht="49.15" customHeight="1" x14ac:dyDescent="0.25">
      <c r="A39" s="1">
        <v>1</v>
      </c>
      <c r="B39" s="13" t="s">
        <v>1746</v>
      </c>
      <c r="C39" s="588"/>
      <c r="D39" s="589"/>
      <c r="E39" s="10" t="s">
        <v>98</v>
      </c>
      <c r="F39" s="13" t="s">
        <v>99</v>
      </c>
      <c r="G39" s="572"/>
      <c r="H39" s="573"/>
      <c r="I39" s="10" t="s">
        <v>100</v>
      </c>
      <c r="J39" s="13" t="s">
        <v>101</v>
      </c>
      <c r="K39" s="588"/>
      <c r="L39" s="589"/>
      <c r="M39" s="10" t="s">
        <v>122</v>
      </c>
      <c r="N39" s="10" t="s">
        <v>154</v>
      </c>
      <c r="O39" s="13" t="s">
        <v>124</v>
      </c>
      <c r="P39" s="10">
        <v>4.5999999999999996</v>
      </c>
      <c r="Q39" s="10">
        <v>5</v>
      </c>
      <c r="R39" s="10" t="s">
        <v>155</v>
      </c>
      <c r="S39" s="13" t="s">
        <v>156</v>
      </c>
      <c r="T39" s="13" t="s">
        <v>157</v>
      </c>
      <c r="U39" s="1">
        <v>0</v>
      </c>
      <c r="V39" s="1">
        <v>13</v>
      </c>
      <c r="W39" s="1" t="s">
        <v>49</v>
      </c>
      <c r="X39" s="1"/>
      <c r="Y39" s="1" t="s">
        <v>115</v>
      </c>
      <c r="Z39" s="1">
        <v>22</v>
      </c>
      <c r="AA39" s="24"/>
      <c r="AB39" s="42" t="s">
        <v>1753</v>
      </c>
      <c r="AC39" s="156"/>
      <c r="AD39" s="156">
        <v>7</v>
      </c>
      <c r="AE39" s="156">
        <v>4</v>
      </c>
      <c r="AF39" s="156">
        <v>4</v>
      </c>
      <c r="AG39" s="377">
        <f t="shared" si="6"/>
        <v>15</v>
      </c>
      <c r="AH39" s="377" t="b">
        <f t="shared" si="3"/>
        <v>0</v>
      </c>
      <c r="AI39" s="67"/>
      <c r="AJ39" s="67"/>
      <c r="AK39" s="364">
        <v>0</v>
      </c>
      <c r="AL39" s="67">
        <v>0</v>
      </c>
      <c r="AM39" s="16">
        <f t="shared" si="4"/>
        <v>0</v>
      </c>
      <c r="AN39" s="156"/>
      <c r="AO39" s="67"/>
      <c r="AP39" s="67"/>
      <c r="AQ39" s="67"/>
      <c r="AR39" s="65"/>
      <c r="AS39" s="21" t="s">
        <v>310</v>
      </c>
      <c r="AT39" s="1">
        <f t="shared" si="1"/>
        <v>0</v>
      </c>
      <c r="AU39" s="31"/>
      <c r="AV39" s="31"/>
      <c r="AW39" s="31"/>
      <c r="AX39" s="16">
        <f t="shared" si="8"/>
        <v>0</v>
      </c>
      <c r="AY39" s="156">
        <v>7</v>
      </c>
      <c r="AZ39" s="76">
        <v>0</v>
      </c>
      <c r="BA39" s="31"/>
      <c r="BB39" s="31"/>
      <c r="BC39" s="31"/>
      <c r="BD39" s="16">
        <f t="shared" si="7"/>
        <v>0</v>
      </c>
      <c r="BE39" s="31"/>
      <c r="BF39" s="31"/>
      <c r="BG39" s="31"/>
      <c r="BH39" s="31"/>
      <c r="BI39" s="16"/>
      <c r="BJ39" s="16"/>
      <c r="BK39" s="31"/>
      <c r="BL39" s="31"/>
      <c r="BM39" s="31"/>
      <c r="BN39" s="31"/>
      <c r="BO39" s="16"/>
      <c r="BP39" s="31"/>
      <c r="BQ39" s="31"/>
      <c r="BR39" s="31"/>
      <c r="BS39" s="31"/>
      <c r="BT39" s="16"/>
      <c r="BU39" s="16"/>
      <c r="BV39" s="16"/>
      <c r="BW39" s="16"/>
      <c r="BX39" s="16"/>
      <c r="BY39" s="16"/>
      <c r="BZ39" s="16"/>
      <c r="CA39" s="10"/>
      <c r="CB39" s="10"/>
      <c r="CC39" s="19"/>
    </row>
    <row r="40" spans="1:81" s="52" customFormat="1" ht="49.15" customHeight="1" x14ac:dyDescent="0.25">
      <c r="A40" s="1">
        <v>1</v>
      </c>
      <c r="B40" s="13" t="s">
        <v>1746</v>
      </c>
      <c r="C40" s="588"/>
      <c r="D40" s="589"/>
      <c r="E40" s="10" t="s">
        <v>98</v>
      </c>
      <c r="F40" s="13" t="s">
        <v>99</v>
      </c>
      <c r="G40" s="572"/>
      <c r="H40" s="573"/>
      <c r="I40" s="10" t="s">
        <v>100</v>
      </c>
      <c r="J40" s="13" t="s">
        <v>101</v>
      </c>
      <c r="K40" s="588"/>
      <c r="L40" s="589"/>
      <c r="M40" s="10" t="s">
        <v>109</v>
      </c>
      <c r="N40" s="10" t="s">
        <v>158</v>
      </c>
      <c r="O40" s="13" t="s">
        <v>111</v>
      </c>
      <c r="P40" s="1">
        <v>4.83</v>
      </c>
      <c r="Q40" s="1">
        <v>4.8499999999999996</v>
      </c>
      <c r="R40" s="10" t="s">
        <v>159</v>
      </c>
      <c r="S40" s="13" t="s">
        <v>160</v>
      </c>
      <c r="T40" s="13" t="s">
        <v>161</v>
      </c>
      <c r="U40" s="1">
        <v>89</v>
      </c>
      <c r="V40" s="1">
        <v>226</v>
      </c>
      <c r="W40" s="1" t="s">
        <v>78</v>
      </c>
      <c r="X40" s="1"/>
      <c r="Y40" s="1" t="s">
        <v>115</v>
      </c>
      <c r="Z40" s="1">
        <v>22</v>
      </c>
      <c r="AA40" s="24"/>
      <c r="AB40" s="42" t="s">
        <v>1753</v>
      </c>
      <c r="AC40" s="156">
        <v>226</v>
      </c>
      <c r="AD40" s="156">
        <v>226</v>
      </c>
      <c r="AE40" s="156">
        <v>226</v>
      </c>
      <c r="AF40" s="156">
        <v>226</v>
      </c>
      <c r="AG40" s="377">
        <f t="shared" si="6"/>
        <v>904</v>
      </c>
      <c r="AH40" s="377" t="b">
        <f t="shared" si="3"/>
        <v>0</v>
      </c>
      <c r="AI40" s="67">
        <v>0</v>
      </c>
      <c r="AJ40" s="67">
        <v>0</v>
      </c>
      <c r="AK40" s="364">
        <v>0</v>
      </c>
      <c r="AL40" s="67">
        <v>0</v>
      </c>
      <c r="AM40" s="16">
        <f t="shared" si="4"/>
        <v>0</v>
      </c>
      <c r="AN40" s="156">
        <v>226</v>
      </c>
      <c r="AO40" s="67">
        <v>0</v>
      </c>
      <c r="AP40" s="67">
        <v>0</v>
      </c>
      <c r="AQ40" s="67"/>
      <c r="AR40" s="65">
        <f t="shared" si="9"/>
        <v>0</v>
      </c>
      <c r="AS40" s="21">
        <f>IFERROR(+AR40/AN40,0)</f>
        <v>0</v>
      </c>
      <c r="AT40" s="1">
        <f t="shared" si="1"/>
        <v>0</v>
      </c>
      <c r="AU40" s="31"/>
      <c r="AV40" s="31"/>
      <c r="AW40" s="31"/>
      <c r="AX40" s="16">
        <f t="shared" si="8"/>
        <v>0</v>
      </c>
      <c r="AY40" s="156">
        <v>226</v>
      </c>
      <c r="AZ40" s="76">
        <v>0</v>
      </c>
      <c r="BA40" s="31"/>
      <c r="BB40" s="31"/>
      <c r="BC40" s="31"/>
      <c r="BD40" s="16">
        <f t="shared" si="7"/>
        <v>0</v>
      </c>
      <c r="BE40" s="31"/>
      <c r="BF40" s="31"/>
      <c r="BG40" s="31"/>
      <c r="BH40" s="31"/>
      <c r="BI40" s="16"/>
      <c r="BJ40" s="16"/>
      <c r="BK40" s="31"/>
      <c r="BL40" s="31"/>
      <c r="BM40" s="31"/>
      <c r="BN40" s="31"/>
      <c r="BO40" s="16"/>
      <c r="BP40" s="31"/>
      <c r="BQ40" s="31"/>
      <c r="BR40" s="31"/>
      <c r="BS40" s="31"/>
      <c r="BT40" s="16"/>
      <c r="BU40" s="16"/>
      <c r="BV40" s="16"/>
      <c r="BW40" s="16"/>
      <c r="BX40" s="16"/>
      <c r="BY40" s="16"/>
      <c r="BZ40" s="16"/>
      <c r="CA40" s="10"/>
      <c r="CB40" s="10"/>
      <c r="CC40" s="19"/>
    </row>
    <row r="41" spans="1:81" s="52" customFormat="1" ht="87" customHeight="1" x14ac:dyDescent="0.25">
      <c r="A41" s="1">
        <v>1</v>
      </c>
      <c r="B41" s="13" t="s">
        <v>1746</v>
      </c>
      <c r="C41" s="588"/>
      <c r="D41" s="589"/>
      <c r="E41" s="10" t="s">
        <v>98</v>
      </c>
      <c r="F41" s="13" t="s">
        <v>99</v>
      </c>
      <c r="G41" s="572"/>
      <c r="H41" s="573"/>
      <c r="I41" s="10" t="s">
        <v>100</v>
      </c>
      <c r="J41" s="13" t="s">
        <v>101</v>
      </c>
      <c r="K41" s="588"/>
      <c r="L41" s="589"/>
      <c r="M41" s="10" t="s">
        <v>116</v>
      </c>
      <c r="N41" s="10" t="s">
        <v>162</v>
      </c>
      <c r="O41" s="13" t="s">
        <v>118</v>
      </c>
      <c r="P41" s="1">
        <v>4.74</v>
      </c>
      <c r="Q41" s="1">
        <v>4.75</v>
      </c>
      <c r="R41" s="10" t="s">
        <v>163</v>
      </c>
      <c r="S41" s="13" t="s">
        <v>164</v>
      </c>
      <c r="T41" s="13" t="s">
        <v>165</v>
      </c>
      <c r="U41" s="1">
        <v>225</v>
      </c>
      <c r="V41" s="1">
        <v>226</v>
      </c>
      <c r="W41" s="1" t="s">
        <v>78</v>
      </c>
      <c r="X41" s="1"/>
      <c r="Y41" s="1" t="s">
        <v>115</v>
      </c>
      <c r="Z41" s="1">
        <v>22</v>
      </c>
      <c r="AA41" s="24"/>
      <c r="AB41" s="42" t="s">
        <v>1753</v>
      </c>
      <c r="AC41" s="156">
        <v>226</v>
      </c>
      <c r="AD41" s="156">
        <v>226</v>
      </c>
      <c r="AE41" s="156">
        <v>226</v>
      </c>
      <c r="AF41" s="156">
        <v>226</v>
      </c>
      <c r="AG41" s="377">
        <f t="shared" si="6"/>
        <v>904</v>
      </c>
      <c r="AH41" s="377" t="b">
        <f t="shared" si="3"/>
        <v>0</v>
      </c>
      <c r="AI41" s="67">
        <v>170</v>
      </c>
      <c r="AJ41" s="67">
        <v>170</v>
      </c>
      <c r="AK41" s="364">
        <v>170</v>
      </c>
      <c r="AL41" s="67">
        <v>170</v>
      </c>
      <c r="AM41" s="16">
        <f t="shared" si="4"/>
        <v>0.75221238938053092</v>
      </c>
      <c r="AN41" s="156">
        <v>226</v>
      </c>
      <c r="AO41" s="67">
        <v>170</v>
      </c>
      <c r="AP41" s="67">
        <v>170</v>
      </c>
      <c r="AQ41" s="67"/>
      <c r="AR41" s="65">
        <f t="shared" si="9"/>
        <v>170</v>
      </c>
      <c r="AS41" s="21">
        <f>IFERROR(+AR41/AN41,0)</f>
        <v>0.75221238938053092</v>
      </c>
      <c r="AT41" s="1">
        <f t="shared" si="1"/>
        <v>42.5</v>
      </c>
      <c r="AU41" s="31"/>
      <c r="AV41" s="31"/>
      <c r="AW41" s="31"/>
      <c r="AX41" s="16">
        <f t="shared" si="8"/>
        <v>0.18805309734513273</v>
      </c>
      <c r="AY41" s="156">
        <v>226</v>
      </c>
      <c r="AZ41" s="76">
        <v>0</v>
      </c>
      <c r="BA41" s="31"/>
      <c r="BB41" s="31"/>
      <c r="BC41" s="31"/>
      <c r="BD41" s="16">
        <f t="shared" si="7"/>
        <v>0</v>
      </c>
      <c r="BE41" s="31"/>
      <c r="BF41" s="31"/>
      <c r="BG41" s="31"/>
      <c r="BH41" s="31"/>
      <c r="BI41" s="16"/>
      <c r="BJ41" s="16"/>
      <c r="BK41" s="31"/>
      <c r="BL41" s="31"/>
      <c r="BM41" s="31"/>
      <c r="BN41" s="31"/>
      <c r="BO41" s="16"/>
      <c r="BP41" s="31"/>
      <c r="BQ41" s="31"/>
      <c r="BR41" s="31"/>
      <c r="BS41" s="31"/>
      <c r="BT41" s="16"/>
      <c r="BU41" s="16"/>
      <c r="BV41" s="16"/>
      <c r="BW41" s="16"/>
      <c r="BX41" s="16"/>
      <c r="BY41" s="16"/>
      <c r="BZ41" s="16"/>
      <c r="CA41" s="10"/>
      <c r="CB41" s="10"/>
      <c r="CC41" s="19"/>
    </row>
    <row r="42" spans="1:81" s="52" customFormat="1" ht="49.15" customHeight="1" x14ac:dyDescent="0.25">
      <c r="A42" s="1">
        <v>1</v>
      </c>
      <c r="B42" s="13" t="s">
        <v>1746</v>
      </c>
      <c r="C42" s="588"/>
      <c r="D42" s="589"/>
      <c r="E42" s="10" t="s">
        <v>98</v>
      </c>
      <c r="F42" s="13" t="s">
        <v>99</v>
      </c>
      <c r="G42" s="572"/>
      <c r="H42" s="573"/>
      <c r="I42" s="10" t="s">
        <v>100</v>
      </c>
      <c r="J42" s="13" t="s">
        <v>101</v>
      </c>
      <c r="K42" s="588"/>
      <c r="L42" s="589"/>
      <c r="M42" s="10" t="s">
        <v>116</v>
      </c>
      <c r="N42" s="10" t="s">
        <v>166</v>
      </c>
      <c r="O42" s="13" t="s">
        <v>118</v>
      </c>
      <c r="P42" s="1">
        <v>4.74</v>
      </c>
      <c r="Q42" s="1">
        <v>4.75</v>
      </c>
      <c r="R42" s="10" t="s">
        <v>167</v>
      </c>
      <c r="S42" s="13" t="s">
        <v>168</v>
      </c>
      <c r="T42" s="13" t="s">
        <v>169</v>
      </c>
      <c r="U42" s="1">
        <v>65</v>
      </c>
      <c r="V42" s="1">
        <v>96</v>
      </c>
      <c r="W42" s="1" t="s">
        <v>49</v>
      </c>
      <c r="X42" s="1"/>
      <c r="Y42" s="1" t="s">
        <v>115</v>
      </c>
      <c r="Z42" s="1">
        <v>22</v>
      </c>
      <c r="AA42" s="24"/>
      <c r="AB42" s="42" t="s">
        <v>1753</v>
      </c>
      <c r="AC42" s="156"/>
      <c r="AD42" s="156">
        <v>30</v>
      </c>
      <c r="AE42" s="156">
        <v>36</v>
      </c>
      <c r="AF42" s="156">
        <v>30</v>
      </c>
      <c r="AG42" s="377">
        <f t="shared" si="6"/>
        <v>96</v>
      </c>
      <c r="AH42" s="377" t="b">
        <f t="shared" si="3"/>
        <v>1</v>
      </c>
      <c r="AI42" s="67">
        <v>0</v>
      </c>
      <c r="AJ42" s="67">
        <v>0</v>
      </c>
      <c r="AK42" s="364">
        <v>0</v>
      </c>
      <c r="AL42" s="67">
        <v>0</v>
      </c>
      <c r="AM42" s="16">
        <f t="shared" si="4"/>
        <v>0</v>
      </c>
      <c r="AN42" s="156"/>
      <c r="AO42" s="67"/>
      <c r="AP42" s="67"/>
      <c r="AQ42" s="67"/>
      <c r="AR42" s="65"/>
      <c r="AS42" s="21" t="s">
        <v>310</v>
      </c>
      <c r="AT42" s="1">
        <f t="shared" si="1"/>
        <v>0</v>
      </c>
      <c r="AU42" s="31"/>
      <c r="AV42" s="31"/>
      <c r="AW42" s="31"/>
      <c r="AX42" s="16">
        <f t="shared" si="8"/>
        <v>0</v>
      </c>
      <c r="AY42" s="156">
        <v>30</v>
      </c>
      <c r="AZ42" s="76">
        <v>0</v>
      </c>
      <c r="BA42" s="31"/>
      <c r="BB42" s="31"/>
      <c r="BC42" s="31"/>
      <c r="BD42" s="16">
        <f t="shared" si="7"/>
        <v>0</v>
      </c>
      <c r="BE42" s="31"/>
      <c r="BF42" s="31"/>
      <c r="BG42" s="31"/>
      <c r="BH42" s="31"/>
      <c r="BI42" s="16"/>
      <c r="BJ42" s="16"/>
      <c r="BK42" s="31"/>
      <c r="BL42" s="31"/>
      <c r="BM42" s="31"/>
      <c r="BN42" s="31"/>
      <c r="BO42" s="16"/>
      <c r="BP42" s="31"/>
      <c r="BQ42" s="31"/>
      <c r="BR42" s="31"/>
      <c r="BS42" s="31"/>
      <c r="BT42" s="16"/>
      <c r="BU42" s="16"/>
      <c r="BV42" s="16"/>
      <c r="BW42" s="16"/>
      <c r="BX42" s="16"/>
      <c r="BY42" s="16"/>
      <c r="BZ42" s="16"/>
      <c r="CA42" s="10"/>
      <c r="CB42" s="10"/>
      <c r="CC42" s="19"/>
    </row>
    <row r="43" spans="1:81" s="52" customFormat="1" ht="73.5" customHeight="1" x14ac:dyDescent="0.25">
      <c r="A43" s="1">
        <v>1</v>
      </c>
      <c r="B43" s="13" t="s">
        <v>1746</v>
      </c>
      <c r="C43" s="588"/>
      <c r="D43" s="589"/>
      <c r="E43" s="10" t="s">
        <v>98</v>
      </c>
      <c r="F43" s="13" t="s">
        <v>99</v>
      </c>
      <c r="G43" s="572"/>
      <c r="H43" s="573"/>
      <c r="I43" s="10" t="s">
        <v>100</v>
      </c>
      <c r="J43" s="13" t="s">
        <v>101</v>
      </c>
      <c r="K43" s="588"/>
      <c r="L43" s="589"/>
      <c r="M43" s="10" t="s">
        <v>109</v>
      </c>
      <c r="N43" s="10" t="s">
        <v>170</v>
      </c>
      <c r="O43" s="13" t="s">
        <v>111</v>
      </c>
      <c r="P43" s="1">
        <v>4.83</v>
      </c>
      <c r="Q43" s="1">
        <v>4.8499999999999996</v>
      </c>
      <c r="R43" s="10" t="s">
        <v>171</v>
      </c>
      <c r="S43" s="13" t="s">
        <v>172</v>
      </c>
      <c r="T43" s="13" t="s">
        <v>173</v>
      </c>
      <c r="U43" s="10">
        <v>3031</v>
      </c>
      <c r="V43" s="1">
        <v>3506</v>
      </c>
      <c r="W43" s="1" t="s">
        <v>49</v>
      </c>
      <c r="X43" s="1"/>
      <c r="Y43" s="1" t="s">
        <v>115</v>
      </c>
      <c r="Z43" s="1">
        <v>22</v>
      </c>
      <c r="AA43" s="24"/>
      <c r="AB43" s="42" t="s">
        <v>1753</v>
      </c>
      <c r="AC43" s="156">
        <v>3254</v>
      </c>
      <c r="AD43" s="156">
        <v>3510</v>
      </c>
      <c r="AE43" s="156">
        <v>3580</v>
      </c>
      <c r="AF43" s="156">
        <v>3600</v>
      </c>
      <c r="AG43" s="377">
        <f t="shared" si="6"/>
        <v>13944</v>
      </c>
      <c r="AH43" s="377" t="b">
        <f t="shared" si="3"/>
        <v>0</v>
      </c>
      <c r="AI43" s="67">
        <v>3254</v>
      </c>
      <c r="AJ43" s="67">
        <v>3254</v>
      </c>
      <c r="AK43" s="364">
        <v>3254</v>
      </c>
      <c r="AL43" s="67">
        <v>3254</v>
      </c>
      <c r="AM43" s="16">
        <f t="shared" si="4"/>
        <v>0.92812321734169989</v>
      </c>
      <c r="AN43" s="156">
        <v>3254</v>
      </c>
      <c r="AO43" s="67">
        <v>3254</v>
      </c>
      <c r="AP43" s="67">
        <v>3254</v>
      </c>
      <c r="AQ43" s="67"/>
      <c r="AR43" s="65">
        <f t="shared" si="9"/>
        <v>3254</v>
      </c>
      <c r="AS43" s="21">
        <f>IFERROR(+AR43/AN43,0)</f>
        <v>1</v>
      </c>
      <c r="AT43" s="1">
        <f t="shared" si="1"/>
        <v>3254</v>
      </c>
      <c r="AU43" s="31"/>
      <c r="AV43" s="31"/>
      <c r="AW43" s="31"/>
      <c r="AX43" s="456">
        <f t="shared" si="8"/>
        <v>0.92812321734169989</v>
      </c>
      <c r="AY43" s="156">
        <v>3510</v>
      </c>
      <c r="AZ43" s="76">
        <v>0</v>
      </c>
      <c r="BA43" s="31"/>
      <c r="BB43" s="31"/>
      <c r="BC43" s="31"/>
      <c r="BD43" s="16">
        <f t="shared" si="7"/>
        <v>0</v>
      </c>
      <c r="BE43" s="31"/>
      <c r="BF43" s="31"/>
      <c r="BG43" s="31"/>
      <c r="BH43" s="31"/>
      <c r="BI43" s="16"/>
      <c r="BJ43" s="16"/>
      <c r="BK43" s="31"/>
      <c r="BL43" s="31"/>
      <c r="BM43" s="31"/>
      <c r="BN43" s="31"/>
      <c r="BO43" s="16"/>
      <c r="BP43" s="31"/>
      <c r="BQ43" s="31"/>
      <c r="BR43" s="31"/>
      <c r="BS43" s="31"/>
      <c r="BT43" s="16"/>
      <c r="BU43" s="16"/>
      <c r="BV43" s="16"/>
      <c r="BW43" s="16"/>
      <c r="BX43" s="16"/>
      <c r="BY43" s="16"/>
      <c r="BZ43" s="16"/>
      <c r="CA43" s="10"/>
      <c r="CB43" s="10"/>
      <c r="CC43" s="19"/>
    </row>
    <row r="44" spans="1:81" s="52" customFormat="1" ht="49.15" customHeight="1" x14ac:dyDescent="0.25">
      <c r="A44" s="1">
        <v>1</v>
      </c>
      <c r="B44" s="13" t="s">
        <v>1746</v>
      </c>
      <c r="C44" s="588"/>
      <c r="D44" s="589"/>
      <c r="E44" s="10" t="s">
        <v>98</v>
      </c>
      <c r="F44" s="13" t="s">
        <v>99</v>
      </c>
      <c r="G44" s="572"/>
      <c r="H44" s="573"/>
      <c r="I44" s="10" t="s">
        <v>100</v>
      </c>
      <c r="J44" s="13" t="s">
        <v>101</v>
      </c>
      <c r="K44" s="588"/>
      <c r="L44" s="589"/>
      <c r="M44" s="10" t="s">
        <v>109</v>
      </c>
      <c r="N44" s="10" t="s">
        <v>174</v>
      </c>
      <c r="O44" s="13" t="s">
        <v>111</v>
      </c>
      <c r="P44" s="1">
        <v>4.83</v>
      </c>
      <c r="Q44" s="1">
        <v>4.8499999999999996</v>
      </c>
      <c r="R44" s="10" t="s">
        <v>175</v>
      </c>
      <c r="S44" s="13" t="s">
        <v>176</v>
      </c>
      <c r="T44" s="13" t="s">
        <v>177</v>
      </c>
      <c r="U44" s="1">
        <v>252</v>
      </c>
      <c r="V44" s="1">
        <v>252</v>
      </c>
      <c r="W44" s="1" t="s">
        <v>49</v>
      </c>
      <c r="X44" s="1"/>
      <c r="Y44" s="1" t="s">
        <v>108</v>
      </c>
      <c r="Z44" s="1">
        <v>22</v>
      </c>
      <c r="AA44" s="24"/>
      <c r="AB44" s="42" t="s">
        <v>1753</v>
      </c>
      <c r="AC44" s="156">
        <v>252</v>
      </c>
      <c r="AD44" s="156">
        <v>252</v>
      </c>
      <c r="AE44" s="156">
        <v>252</v>
      </c>
      <c r="AF44" s="156">
        <v>252</v>
      </c>
      <c r="AG44" s="377">
        <f t="shared" si="6"/>
        <v>1008</v>
      </c>
      <c r="AH44" s="377" t="b">
        <f t="shared" si="3"/>
        <v>0</v>
      </c>
      <c r="AI44" s="67">
        <v>252</v>
      </c>
      <c r="AJ44" s="67">
        <v>252</v>
      </c>
      <c r="AK44" s="364">
        <v>252</v>
      </c>
      <c r="AL44" s="67">
        <v>252</v>
      </c>
      <c r="AM44" s="16">
        <f t="shared" si="4"/>
        <v>1</v>
      </c>
      <c r="AN44" s="156">
        <v>252</v>
      </c>
      <c r="AO44" s="67">
        <v>252</v>
      </c>
      <c r="AP44" s="67">
        <v>252</v>
      </c>
      <c r="AQ44" s="67"/>
      <c r="AR44" s="65">
        <f t="shared" si="9"/>
        <v>252</v>
      </c>
      <c r="AS44" s="21">
        <f>IFERROR(+AR44/AN44,0)</f>
        <v>1</v>
      </c>
      <c r="AT44" s="1">
        <f t="shared" si="1"/>
        <v>252</v>
      </c>
      <c r="AU44" s="31"/>
      <c r="AV44" s="31"/>
      <c r="AW44" s="31"/>
      <c r="AX44" s="16">
        <f t="shared" si="8"/>
        <v>1</v>
      </c>
      <c r="AY44" s="156">
        <v>252</v>
      </c>
      <c r="AZ44" s="76">
        <v>0</v>
      </c>
      <c r="BA44" s="31"/>
      <c r="BB44" s="31"/>
      <c r="BC44" s="31"/>
      <c r="BD44" s="16">
        <f t="shared" si="7"/>
        <v>0</v>
      </c>
      <c r="BE44" s="31"/>
      <c r="BF44" s="31"/>
      <c r="BG44" s="31"/>
      <c r="BH44" s="31"/>
      <c r="BI44" s="16"/>
      <c r="BJ44" s="16"/>
      <c r="BK44" s="31"/>
      <c r="BL44" s="31"/>
      <c r="BM44" s="31"/>
      <c r="BN44" s="31"/>
      <c r="BO44" s="16"/>
      <c r="BP44" s="31"/>
      <c r="BQ44" s="31"/>
      <c r="BR44" s="31"/>
      <c r="BS44" s="31"/>
      <c r="BT44" s="16"/>
      <c r="BU44" s="16"/>
      <c r="BV44" s="16"/>
      <c r="BW44" s="16"/>
      <c r="BX44" s="16"/>
      <c r="BY44" s="16"/>
      <c r="BZ44" s="16"/>
      <c r="CA44" s="10"/>
      <c r="CB44" s="10"/>
      <c r="CC44" s="19"/>
    </row>
    <row r="45" spans="1:81" s="52" customFormat="1" ht="49.15" customHeight="1" x14ac:dyDescent="0.25">
      <c r="A45" s="1">
        <v>1</v>
      </c>
      <c r="B45" s="13" t="s">
        <v>1746</v>
      </c>
      <c r="C45" s="588"/>
      <c r="D45" s="589"/>
      <c r="E45" s="10" t="s">
        <v>98</v>
      </c>
      <c r="F45" s="13" t="s">
        <v>99</v>
      </c>
      <c r="G45" s="572"/>
      <c r="H45" s="573"/>
      <c r="I45" s="10" t="s">
        <v>100</v>
      </c>
      <c r="J45" s="13" t="s">
        <v>101</v>
      </c>
      <c r="K45" s="588"/>
      <c r="L45" s="589"/>
      <c r="M45" s="10" t="s">
        <v>122</v>
      </c>
      <c r="N45" s="10" t="s">
        <v>178</v>
      </c>
      <c r="O45" s="13" t="s">
        <v>124</v>
      </c>
      <c r="P45" s="10">
        <v>4.5999999999999996</v>
      </c>
      <c r="Q45" s="10">
        <v>5</v>
      </c>
      <c r="R45" s="10" t="s">
        <v>179</v>
      </c>
      <c r="S45" s="13" t="s">
        <v>180</v>
      </c>
      <c r="T45" s="13" t="s">
        <v>181</v>
      </c>
      <c r="U45" s="1">
        <v>0</v>
      </c>
      <c r="V45" s="1">
        <v>11</v>
      </c>
      <c r="W45" s="1" t="s">
        <v>78</v>
      </c>
      <c r="X45" s="1"/>
      <c r="Y45" s="1" t="s">
        <v>108</v>
      </c>
      <c r="Z45" s="1">
        <v>22</v>
      </c>
      <c r="AA45" s="24"/>
      <c r="AB45" s="42" t="s">
        <v>1753</v>
      </c>
      <c r="AC45" s="156">
        <v>11</v>
      </c>
      <c r="AD45" s="156">
        <v>11</v>
      </c>
      <c r="AE45" s="156">
        <v>11</v>
      </c>
      <c r="AF45" s="156">
        <v>11</v>
      </c>
      <c r="AG45" s="377">
        <f t="shared" si="6"/>
        <v>44</v>
      </c>
      <c r="AH45" s="377" t="b">
        <f t="shared" si="3"/>
        <v>0</v>
      </c>
      <c r="AI45" s="67">
        <v>1</v>
      </c>
      <c r="AJ45" s="67">
        <v>2</v>
      </c>
      <c r="AK45" s="364">
        <v>3</v>
      </c>
      <c r="AL45" s="67">
        <v>3</v>
      </c>
      <c r="AM45" s="16">
        <f t="shared" si="4"/>
        <v>0.27272727272727271</v>
      </c>
      <c r="AN45" s="156">
        <v>11</v>
      </c>
      <c r="AO45" s="67">
        <v>1</v>
      </c>
      <c r="AP45" s="67">
        <v>2</v>
      </c>
      <c r="AQ45" s="67"/>
      <c r="AR45" s="65">
        <f t="shared" si="9"/>
        <v>3</v>
      </c>
      <c r="AS45" s="21">
        <f>IFERROR(+AR45/AN45,0)</f>
        <v>0.27272727272727271</v>
      </c>
      <c r="AT45" s="1">
        <f t="shared" si="1"/>
        <v>0.75</v>
      </c>
      <c r="AU45" s="31"/>
      <c r="AV45" s="31"/>
      <c r="AW45" s="31"/>
      <c r="AX45" s="16">
        <f t="shared" si="8"/>
        <v>6.8181818181818177E-2</v>
      </c>
      <c r="AY45" s="156">
        <v>11</v>
      </c>
      <c r="AZ45" s="76">
        <v>0</v>
      </c>
      <c r="BA45" s="31"/>
      <c r="BB45" s="31"/>
      <c r="BC45" s="31"/>
      <c r="BD45" s="16">
        <f t="shared" si="7"/>
        <v>0</v>
      </c>
      <c r="BE45" s="31"/>
      <c r="BF45" s="31"/>
      <c r="BG45" s="31"/>
      <c r="BH45" s="31"/>
      <c r="BI45" s="16"/>
      <c r="BJ45" s="16"/>
      <c r="BK45" s="31"/>
      <c r="BL45" s="31"/>
      <c r="BM45" s="31"/>
      <c r="BN45" s="31"/>
      <c r="BO45" s="16"/>
      <c r="BP45" s="31"/>
      <c r="BQ45" s="31"/>
      <c r="BR45" s="31"/>
      <c r="BS45" s="31"/>
      <c r="BT45" s="16"/>
      <c r="BU45" s="16"/>
      <c r="BV45" s="16"/>
      <c r="BW45" s="16"/>
      <c r="BX45" s="16"/>
      <c r="BY45" s="16"/>
      <c r="BZ45" s="16"/>
      <c r="CA45" s="10"/>
      <c r="CB45" s="10"/>
      <c r="CC45" s="19"/>
    </row>
    <row r="46" spans="1:81" s="52" customFormat="1" ht="49.15" customHeight="1" x14ac:dyDescent="0.25">
      <c r="A46" s="1">
        <v>1</v>
      </c>
      <c r="B46" s="13" t="s">
        <v>1746</v>
      </c>
      <c r="C46" s="588"/>
      <c r="D46" s="589"/>
      <c r="E46" s="10" t="s">
        <v>98</v>
      </c>
      <c r="F46" s="13" t="s">
        <v>99</v>
      </c>
      <c r="G46" s="572"/>
      <c r="H46" s="573"/>
      <c r="I46" s="10" t="s">
        <v>100</v>
      </c>
      <c r="J46" s="13" t="s">
        <v>101</v>
      </c>
      <c r="K46" s="588"/>
      <c r="L46" s="589"/>
      <c r="M46" s="10" t="s">
        <v>109</v>
      </c>
      <c r="N46" s="10" t="s">
        <v>182</v>
      </c>
      <c r="O46" s="13" t="s">
        <v>111</v>
      </c>
      <c r="P46" s="1">
        <v>4.83</v>
      </c>
      <c r="Q46" s="1">
        <v>4.8499999999999996</v>
      </c>
      <c r="R46" s="10" t="s">
        <v>183</v>
      </c>
      <c r="S46" s="13" t="s">
        <v>184</v>
      </c>
      <c r="T46" s="13" t="s">
        <v>185</v>
      </c>
      <c r="U46" s="1">
        <v>358</v>
      </c>
      <c r="V46" s="1">
        <v>500</v>
      </c>
      <c r="W46" s="1" t="s">
        <v>49</v>
      </c>
      <c r="X46" s="1"/>
      <c r="Y46" s="1" t="s">
        <v>108</v>
      </c>
      <c r="Z46" s="1">
        <v>22</v>
      </c>
      <c r="AA46" s="24"/>
      <c r="AB46" s="42" t="s">
        <v>1753</v>
      </c>
      <c r="AC46" s="156"/>
      <c r="AD46" s="156"/>
      <c r="AE46" s="156">
        <v>250</v>
      </c>
      <c r="AF46" s="156">
        <v>250</v>
      </c>
      <c r="AG46" s="377">
        <f t="shared" si="6"/>
        <v>500</v>
      </c>
      <c r="AH46" s="377" t="b">
        <f t="shared" si="3"/>
        <v>1</v>
      </c>
      <c r="AI46" s="67"/>
      <c r="AJ46" s="67"/>
      <c r="AK46" s="364">
        <v>0</v>
      </c>
      <c r="AL46" s="67">
        <v>0</v>
      </c>
      <c r="AM46" s="16">
        <f t="shared" si="4"/>
        <v>0</v>
      </c>
      <c r="AN46" s="156"/>
      <c r="AO46" s="67"/>
      <c r="AP46" s="67"/>
      <c r="AQ46" s="67"/>
      <c r="AR46" s="65"/>
      <c r="AS46" s="21" t="s">
        <v>310</v>
      </c>
      <c r="AT46" s="1">
        <f t="shared" si="1"/>
        <v>0</v>
      </c>
      <c r="AU46" s="31"/>
      <c r="AV46" s="31"/>
      <c r="AW46" s="31"/>
      <c r="AX46" s="16">
        <f t="shared" si="8"/>
        <v>0</v>
      </c>
      <c r="AY46" s="156" t="s">
        <v>310</v>
      </c>
      <c r="AZ46" s="76">
        <v>0</v>
      </c>
      <c r="BA46" s="31"/>
      <c r="BB46" s="31"/>
      <c r="BC46" s="31"/>
      <c r="BD46" s="16" t="str">
        <f t="shared" si="7"/>
        <v>NP</v>
      </c>
      <c r="BE46" s="31"/>
      <c r="BF46" s="31"/>
      <c r="BG46" s="31"/>
      <c r="BH46" s="31"/>
      <c r="BI46" s="16"/>
      <c r="BJ46" s="16"/>
      <c r="BK46" s="31"/>
      <c r="BL46" s="31"/>
      <c r="BM46" s="31"/>
      <c r="BN46" s="31"/>
      <c r="BO46" s="16"/>
      <c r="BP46" s="31"/>
      <c r="BQ46" s="31"/>
      <c r="BR46" s="31"/>
      <c r="BS46" s="31"/>
      <c r="BT46" s="16"/>
      <c r="BU46" s="16"/>
      <c r="BV46" s="16"/>
      <c r="BW46" s="16"/>
      <c r="BX46" s="16"/>
      <c r="BY46" s="16"/>
      <c r="BZ46" s="16"/>
      <c r="CA46" s="10"/>
      <c r="CB46" s="10"/>
      <c r="CC46" s="19"/>
    </row>
    <row r="47" spans="1:81" s="52" customFormat="1" ht="49.15" customHeight="1" x14ac:dyDescent="0.25">
      <c r="A47" s="1">
        <v>1</v>
      </c>
      <c r="B47" s="13" t="s">
        <v>1746</v>
      </c>
      <c r="C47" s="588"/>
      <c r="D47" s="589"/>
      <c r="E47" s="10" t="s">
        <v>98</v>
      </c>
      <c r="F47" s="13" t="s">
        <v>99</v>
      </c>
      <c r="G47" s="572"/>
      <c r="H47" s="573"/>
      <c r="I47" s="10" t="s">
        <v>100</v>
      </c>
      <c r="J47" s="13" t="s">
        <v>101</v>
      </c>
      <c r="K47" s="588"/>
      <c r="L47" s="589"/>
      <c r="M47" s="10" t="s">
        <v>122</v>
      </c>
      <c r="N47" s="10" t="s">
        <v>186</v>
      </c>
      <c r="O47" s="13" t="s">
        <v>124</v>
      </c>
      <c r="P47" s="10">
        <v>4.5999999999999996</v>
      </c>
      <c r="Q47" s="10">
        <v>5</v>
      </c>
      <c r="R47" s="10" t="s">
        <v>187</v>
      </c>
      <c r="S47" s="13" t="s">
        <v>188</v>
      </c>
      <c r="T47" s="13" t="s">
        <v>189</v>
      </c>
      <c r="U47" s="1">
        <v>2000</v>
      </c>
      <c r="V47" s="1">
        <v>2000</v>
      </c>
      <c r="W47" s="1" t="s">
        <v>78</v>
      </c>
      <c r="X47" s="1"/>
      <c r="Y47" s="1" t="s">
        <v>108</v>
      </c>
      <c r="Z47" s="1">
        <v>22</v>
      </c>
      <c r="AA47" s="24"/>
      <c r="AB47" s="42" t="s">
        <v>1753</v>
      </c>
      <c r="AC47" s="156">
        <v>2000</v>
      </c>
      <c r="AD47" s="156">
        <v>2000</v>
      </c>
      <c r="AE47" s="156">
        <v>2000</v>
      </c>
      <c r="AF47" s="156">
        <v>2000</v>
      </c>
      <c r="AG47" s="377">
        <f t="shared" si="6"/>
        <v>8000</v>
      </c>
      <c r="AH47" s="377" t="b">
        <f t="shared" si="3"/>
        <v>0</v>
      </c>
      <c r="AI47" s="67">
        <v>0</v>
      </c>
      <c r="AJ47" s="69">
        <v>0</v>
      </c>
      <c r="AK47" s="365">
        <v>0</v>
      </c>
      <c r="AL47" s="69">
        <v>0</v>
      </c>
      <c r="AM47" s="16">
        <f t="shared" si="4"/>
        <v>0</v>
      </c>
      <c r="AN47" s="156">
        <v>2000</v>
      </c>
      <c r="AO47" s="67">
        <v>0</v>
      </c>
      <c r="AP47" s="69">
        <v>0</v>
      </c>
      <c r="AQ47" s="69"/>
      <c r="AR47" s="65">
        <f t="shared" si="9"/>
        <v>0</v>
      </c>
      <c r="AS47" s="21">
        <f>IFERROR(+AR47/AN47,0)</f>
        <v>0</v>
      </c>
      <c r="AT47" s="1">
        <f t="shared" si="1"/>
        <v>0</v>
      </c>
      <c r="AU47" s="31"/>
      <c r="AV47" s="31"/>
      <c r="AW47" s="31"/>
      <c r="AX47" s="16">
        <f t="shared" si="8"/>
        <v>0</v>
      </c>
      <c r="AY47" s="156">
        <v>2000</v>
      </c>
      <c r="AZ47" s="76">
        <v>0</v>
      </c>
      <c r="BA47" s="31"/>
      <c r="BB47" s="31"/>
      <c r="BC47" s="31"/>
      <c r="BD47" s="16">
        <f t="shared" si="7"/>
        <v>0</v>
      </c>
      <c r="BE47" s="31"/>
      <c r="BF47" s="31"/>
      <c r="BG47" s="31"/>
      <c r="BH47" s="31"/>
      <c r="BI47" s="16"/>
      <c r="BJ47" s="16"/>
      <c r="BK47" s="31"/>
      <c r="BL47" s="31"/>
      <c r="BM47" s="31"/>
      <c r="BN47" s="31"/>
      <c r="BO47" s="16"/>
      <c r="BP47" s="31"/>
      <c r="BQ47" s="31"/>
      <c r="BR47" s="31"/>
      <c r="BS47" s="31"/>
      <c r="BT47" s="16"/>
      <c r="BU47" s="16"/>
      <c r="BV47" s="16"/>
      <c r="BW47" s="16"/>
      <c r="BX47" s="16"/>
      <c r="BY47" s="16"/>
      <c r="BZ47" s="16"/>
      <c r="CA47" s="10"/>
      <c r="CB47" s="10"/>
      <c r="CC47" s="19"/>
    </row>
    <row r="48" spans="1:81" s="52" customFormat="1" ht="49.15" customHeight="1" x14ac:dyDescent="0.25">
      <c r="A48" s="1">
        <v>1</v>
      </c>
      <c r="B48" s="13" t="s">
        <v>1746</v>
      </c>
      <c r="C48" s="588"/>
      <c r="D48" s="589"/>
      <c r="E48" s="10" t="s">
        <v>98</v>
      </c>
      <c r="F48" s="13" t="s">
        <v>99</v>
      </c>
      <c r="G48" s="572"/>
      <c r="H48" s="573"/>
      <c r="I48" s="10" t="s">
        <v>100</v>
      </c>
      <c r="J48" s="13" t="s">
        <v>101</v>
      </c>
      <c r="K48" s="588"/>
      <c r="L48" s="589"/>
      <c r="M48" s="10" t="s">
        <v>109</v>
      </c>
      <c r="N48" s="10" t="s">
        <v>190</v>
      </c>
      <c r="O48" s="13" t="s">
        <v>111</v>
      </c>
      <c r="P48" s="1">
        <v>4.83</v>
      </c>
      <c r="Q48" s="1">
        <v>4.8499999999999996</v>
      </c>
      <c r="R48" s="10" t="s">
        <v>191</v>
      </c>
      <c r="S48" s="13" t="s">
        <v>192</v>
      </c>
      <c r="T48" s="13" t="s">
        <v>193</v>
      </c>
      <c r="U48" s="1">
        <v>10</v>
      </c>
      <c r="V48" s="1">
        <v>10</v>
      </c>
      <c r="W48" s="1" t="s">
        <v>49</v>
      </c>
      <c r="X48" s="1"/>
      <c r="Y48" s="1" t="s">
        <v>108</v>
      </c>
      <c r="Z48" s="1">
        <v>22</v>
      </c>
      <c r="AA48" s="24"/>
      <c r="AB48" s="42" t="s">
        <v>1753</v>
      </c>
      <c r="AC48" s="156"/>
      <c r="AD48" s="156">
        <v>4</v>
      </c>
      <c r="AE48" s="156">
        <v>3</v>
      </c>
      <c r="AF48" s="156">
        <v>3</v>
      </c>
      <c r="AG48" s="377">
        <f t="shared" si="6"/>
        <v>10</v>
      </c>
      <c r="AH48" s="377" t="b">
        <f t="shared" si="3"/>
        <v>1</v>
      </c>
      <c r="AI48" s="67"/>
      <c r="AJ48" s="67"/>
      <c r="AK48" s="364">
        <v>0</v>
      </c>
      <c r="AL48" s="67">
        <v>0</v>
      </c>
      <c r="AM48" s="16">
        <f t="shared" si="4"/>
        <v>0</v>
      </c>
      <c r="AN48" s="156"/>
      <c r="AO48" s="67"/>
      <c r="AP48" s="67"/>
      <c r="AQ48" s="67"/>
      <c r="AR48" s="65"/>
      <c r="AS48" s="21" t="s">
        <v>310</v>
      </c>
      <c r="AT48" s="1">
        <f t="shared" si="1"/>
        <v>2</v>
      </c>
      <c r="AU48" s="31"/>
      <c r="AV48" s="31"/>
      <c r="AW48" s="31"/>
      <c r="AX48" s="16">
        <f t="shared" si="8"/>
        <v>0.2</v>
      </c>
      <c r="AY48" s="156">
        <v>4</v>
      </c>
      <c r="AZ48" s="76">
        <v>2</v>
      </c>
      <c r="BA48" s="31"/>
      <c r="BB48" s="31"/>
      <c r="BC48" s="31"/>
      <c r="BD48" s="16">
        <f t="shared" si="7"/>
        <v>0.5</v>
      </c>
      <c r="BE48" s="31"/>
      <c r="BF48" s="31"/>
      <c r="BG48" s="31"/>
      <c r="BH48" s="31"/>
      <c r="BI48" s="16"/>
      <c r="BJ48" s="16"/>
      <c r="BK48" s="31"/>
      <c r="BL48" s="31"/>
      <c r="BM48" s="31"/>
      <c r="BN48" s="31"/>
      <c r="BO48" s="16"/>
      <c r="BP48" s="31"/>
      <c r="BQ48" s="31"/>
      <c r="BR48" s="31"/>
      <c r="BS48" s="31"/>
      <c r="BT48" s="16"/>
      <c r="BU48" s="16"/>
      <c r="BV48" s="16"/>
      <c r="BW48" s="16"/>
      <c r="BX48" s="16"/>
      <c r="BY48" s="16"/>
      <c r="BZ48" s="16"/>
      <c r="CA48" s="10"/>
      <c r="CB48" s="10"/>
      <c r="CC48" s="19"/>
    </row>
    <row r="49" spans="1:81" s="52" customFormat="1" ht="49.15" customHeight="1" x14ac:dyDescent="0.25">
      <c r="A49" s="1">
        <v>1</v>
      </c>
      <c r="B49" s="13" t="s">
        <v>1746</v>
      </c>
      <c r="C49" s="588"/>
      <c r="D49" s="589"/>
      <c r="E49" s="10" t="s">
        <v>98</v>
      </c>
      <c r="F49" s="13" t="s">
        <v>99</v>
      </c>
      <c r="G49" s="572"/>
      <c r="H49" s="573"/>
      <c r="I49" s="10" t="s">
        <v>194</v>
      </c>
      <c r="J49" s="13" t="s">
        <v>195</v>
      </c>
      <c r="K49" s="588">
        <f>AVERAGE(AX49:AX56)</f>
        <v>0.38777812259164557</v>
      </c>
      <c r="L49" s="589">
        <f>AVERAGE(BD49:BD56)</f>
        <v>0.40960833333333335</v>
      </c>
      <c r="M49" s="10" t="s">
        <v>196</v>
      </c>
      <c r="N49" s="10" t="s">
        <v>197</v>
      </c>
      <c r="O49" s="24" t="s">
        <v>198</v>
      </c>
      <c r="P49" s="1" t="s">
        <v>199</v>
      </c>
      <c r="Q49" s="1">
        <v>90</v>
      </c>
      <c r="R49" s="10" t="s">
        <v>200</v>
      </c>
      <c r="S49" s="13" t="s">
        <v>201</v>
      </c>
      <c r="T49" s="13" t="s">
        <v>202</v>
      </c>
      <c r="U49" s="25">
        <v>211987</v>
      </c>
      <c r="V49" s="25">
        <v>219505</v>
      </c>
      <c r="W49" s="1" t="s">
        <v>203</v>
      </c>
      <c r="X49" s="1"/>
      <c r="Y49" s="1" t="s">
        <v>204</v>
      </c>
      <c r="Z49" s="1">
        <v>22</v>
      </c>
      <c r="AA49" s="50"/>
      <c r="AB49" s="42" t="s">
        <v>1753</v>
      </c>
      <c r="AC49" s="162">
        <v>1880</v>
      </c>
      <c r="AD49" s="156">
        <v>1880</v>
      </c>
      <c r="AE49" s="156">
        <v>1879</v>
      </c>
      <c r="AF49" s="156">
        <v>1879</v>
      </c>
      <c r="AG49" s="377">
        <f t="shared" si="6"/>
        <v>7518</v>
      </c>
      <c r="AH49" s="377" t="b">
        <f t="shared" si="3"/>
        <v>0</v>
      </c>
      <c r="AI49" s="68">
        <v>2463</v>
      </c>
      <c r="AJ49" s="68">
        <v>2463</v>
      </c>
      <c r="AK49" s="180">
        <v>213562</v>
      </c>
      <c r="AL49" s="180">
        <v>213562</v>
      </c>
      <c r="AM49" s="16">
        <f t="shared" si="4"/>
        <v>0.97292544588961527</v>
      </c>
      <c r="AN49" s="162">
        <v>1880</v>
      </c>
      <c r="AO49" s="180">
        <v>2463</v>
      </c>
      <c r="AP49" s="180"/>
      <c r="AQ49" s="180"/>
      <c r="AR49" s="317">
        <v>1575</v>
      </c>
      <c r="AS49" s="21">
        <f>IFERROR(+AR49/AN49,0)</f>
        <v>0.83776595744680848</v>
      </c>
      <c r="AT49" s="1">
        <f t="shared" si="1"/>
        <v>216762</v>
      </c>
      <c r="AU49" s="31"/>
      <c r="AV49" s="31"/>
      <c r="AW49" s="31"/>
      <c r="AX49" s="16">
        <f t="shared" si="8"/>
        <v>0.98750370151021616</v>
      </c>
      <c r="AY49" s="156">
        <v>1880</v>
      </c>
      <c r="AZ49" s="76">
        <v>3200</v>
      </c>
      <c r="BA49" s="31"/>
      <c r="BB49" s="31"/>
      <c r="BC49" s="31"/>
      <c r="BD49" s="16">
        <f t="shared" si="7"/>
        <v>1</v>
      </c>
      <c r="BE49" s="31"/>
      <c r="BF49" s="31"/>
      <c r="BG49" s="31"/>
      <c r="BH49" s="31"/>
      <c r="BI49" s="16"/>
      <c r="BJ49" s="16"/>
      <c r="BK49" s="31"/>
      <c r="BL49" s="31"/>
      <c r="BM49" s="31"/>
      <c r="BN49" s="31"/>
      <c r="BO49" s="16"/>
      <c r="BP49" s="31"/>
      <c r="BQ49" s="31"/>
      <c r="BR49" s="31"/>
      <c r="BS49" s="31"/>
      <c r="BT49" s="16"/>
      <c r="BU49" s="16"/>
      <c r="BV49" s="16"/>
      <c r="BW49" s="16"/>
      <c r="BX49" s="16"/>
      <c r="BY49" s="16"/>
      <c r="BZ49" s="16"/>
      <c r="CA49" s="10"/>
      <c r="CB49" s="10"/>
      <c r="CC49" s="19"/>
    </row>
    <row r="50" spans="1:81" s="52" customFormat="1" ht="49.15" customHeight="1" x14ac:dyDescent="0.25">
      <c r="A50" s="1">
        <v>1</v>
      </c>
      <c r="B50" s="13" t="s">
        <v>1746</v>
      </c>
      <c r="C50" s="588"/>
      <c r="D50" s="589"/>
      <c r="E50" s="10" t="s">
        <v>98</v>
      </c>
      <c r="F50" s="13" t="s">
        <v>99</v>
      </c>
      <c r="G50" s="572"/>
      <c r="H50" s="573"/>
      <c r="I50" s="10" t="s">
        <v>194</v>
      </c>
      <c r="J50" s="13" t="s">
        <v>195</v>
      </c>
      <c r="K50" s="588"/>
      <c r="L50" s="589"/>
      <c r="M50" s="10" t="s">
        <v>196</v>
      </c>
      <c r="N50" s="10" t="s">
        <v>205</v>
      </c>
      <c r="O50" s="24" t="s">
        <v>198</v>
      </c>
      <c r="P50" s="1" t="s">
        <v>199</v>
      </c>
      <c r="Q50" s="1">
        <v>90</v>
      </c>
      <c r="R50" s="10" t="s">
        <v>206</v>
      </c>
      <c r="S50" s="13" t="s">
        <v>207</v>
      </c>
      <c r="T50" s="13" t="s">
        <v>208</v>
      </c>
      <c r="U50" s="1">
        <v>9491</v>
      </c>
      <c r="V50" s="25">
        <v>2500</v>
      </c>
      <c r="W50" s="1" t="s">
        <v>203</v>
      </c>
      <c r="X50" s="1"/>
      <c r="Y50" s="1" t="s">
        <v>204</v>
      </c>
      <c r="Z50" s="1">
        <v>22</v>
      </c>
      <c r="AA50" s="24"/>
      <c r="AB50" s="42" t="s">
        <v>1753</v>
      </c>
      <c r="AC50" s="162">
        <v>625</v>
      </c>
      <c r="AD50" s="156">
        <v>625</v>
      </c>
      <c r="AE50" s="156">
        <v>625</v>
      </c>
      <c r="AF50" s="156">
        <v>625</v>
      </c>
      <c r="AG50" s="377">
        <f t="shared" si="6"/>
        <v>2500</v>
      </c>
      <c r="AH50" s="377" t="b">
        <f t="shared" si="3"/>
        <v>1</v>
      </c>
      <c r="AI50" s="66">
        <v>280</v>
      </c>
      <c r="AJ50" s="66">
        <v>280</v>
      </c>
      <c r="AK50" s="42">
        <v>859</v>
      </c>
      <c r="AL50" s="66">
        <v>859</v>
      </c>
      <c r="AM50" s="16">
        <f t="shared" si="4"/>
        <v>0.34360000000000002</v>
      </c>
      <c r="AN50" s="162">
        <v>625</v>
      </c>
      <c r="AO50" s="66">
        <v>280</v>
      </c>
      <c r="AP50" s="66">
        <v>280</v>
      </c>
      <c r="AQ50" s="66"/>
      <c r="AR50" s="65">
        <f t="shared" si="9"/>
        <v>859</v>
      </c>
      <c r="AS50" s="21">
        <v>1</v>
      </c>
      <c r="AT50" s="1">
        <f t="shared" si="1"/>
        <v>5208</v>
      </c>
      <c r="AU50" s="31"/>
      <c r="AV50" s="31"/>
      <c r="AW50" s="31"/>
      <c r="AX50" s="456">
        <f t="shared" si="8"/>
        <v>1</v>
      </c>
      <c r="AY50" s="156">
        <v>625</v>
      </c>
      <c r="AZ50" s="76">
        <v>4349</v>
      </c>
      <c r="BA50" s="31"/>
      <c r="BB50" s="31"/>
      <c r="BC50" s="31"/>
      <c r="BD50" s="16">
        <f t="shared" si="7"/>
        <v>1</v>
      </c>
      <c r="BE50" s="31"/>
      <c r="BF50" s="31"/>
      <c r="BG50" s="31"/>
      <c r="BH50" s="31"/>
      <c r="BI50" s="16"/>
      <c r="BJ50" s="16"/>
      <c r="BK50" s="31"/>
      <c r="BL50" s="31"/>
      <c r="BM50" s="31"/>
      <c r="BN50" s="31"/>
      <c r="BO50" s="16"/>
      <c r="BP50" s="31"/>
      <c r="BQ50" s="31"/>
      <c r="BR50" s="31"/>
      <c r="BS50" s="31"/>
      <c r="BT50" s="16"/>
      <c r="BU50" s="16"/>
      <c r="BV50" s="16"/>
      <c r="BW50" s="16"/>
      <c r="BX50" s="16"/>
      <c r="BY50" s="16"/>
      <c r="BZ50" s="16"/>
      <c r="CA50" s="10"/>
      <c r="CB50" s="10"/>
      <c r="CC50" s="19"/>
    </row>
    <row r="51" spans="1:81" s="52" customFormat="1" ht="49.15" customHeight="1" x14ac:dyDescent="0.25">
      <c r="A51" s="1">
        <v>1</v>
      </c>
      <c r="B51" s="13" t="s">
        <v>1746</v>
      </c>
      <c r="C51" s="588"/>
      <c r="D51" s="589"/>
      <c r="E51" s="10" t="s">
        <v>98</v>
      </c>
      <c r="F51" s="13" t="s">
        <v>99</v>
      </c>
      <c r="G51" s="572"/>
      <c r="H51" s="573"/>
      <c r="I51" s="10" t="s">
        <v>194</v>
      </c>
      <c r="J51" s="13" t="s">
        <v>195</v>
      </c>
      <c r="K51" s="588"/>
      <c r="L51" s="589"/>
      <c r="M51" s="10" t="s">
        <v>209</v>
      </c>
      <c r="N51" s="10" t="s">
        <v>210</v>
      </c>
      <c r="O51" s="24" t="s">
        <v>211</v>
      </c>
      <c r="P51" s="1" t="s">
        <v>212</v>
      </c>
      <c r="Q51" s="1" t="s">
        <v>213</v>
      </c>
      <c r="R51" s="10" t="s">
        <v>214</v>
      </c>
      <c r="S51" s="13" t="s">
        <v>215</v>
      </c>
      <c r="T51" s="13" t="s">
        <v>216</v>
      </c>
      <c r="U51" s="25">
        <v>1000</v>
      </c>
      <c r="V51" s="1">
        <v>7000</v>
      </c>
      <c r="W51" s="1" t="s">
        <v>78</v>
      </c>
      <c r="X51" s="1"/>
      <c r="Y51" s="1" t="s">
        <v>204</v>
      </c>
      <c r="Z51" s="1">
        <v>22</v>
      </c>
      <c r="AA51" s="24"/>
      <c r="AB51" s="42" t="s">
        <v>1753</v>
      </c>
      <c r="AC51" s="162">
        <v>1000</v>
      </c>
      <c r="AD51" s="156">
        <v>2000</v>
      </c>
      <c r="AE51" s="156">
        <v>2000</v>
      </c>
      <c r="AF51" s="156">
        <v>2000</v>
      </c>
      <c r="AG51" s="377">
        <f t="shared" si="6"/>
        <v>7000</v>
      </c>
      <c r="AH51" s="377" t="b">
        <f t="shared" si="3"/>
        <v>1</v>
      </c>
      <c r="AI51" s="70">
        <v>0</v>
      </c>
      <c r="AJ51" s="70"/>
      <c r="AK51" s="366">
        <v>0</v>
      </c>
      <c r="AL51" s="70">
        <v>0</v>
      </c>
      <c r="AM51" s="16">
        <f t="shared" si="4"/>
        <v>0</v>
      </c>
      <c r="AN51" s="162">
        <v>1000</v>
      </c>
      <c r="AO51" s="68">
        <v>0</v>
      </c>
      <c r="AP51" s="68"/>
      <c r="AQ51" s="68"/>
      <c r="AR51" s="65">
        <f t="shared" si="9"/>
        <v>0</v>
      </c>
      <c r="AS51" s="21">
        <f>IFERROR(+AR51/AN51,0)</f>
        <v>0</v>
      </c>
      <c r="AT51" s="1">
        <f t="shared" si="1"/>
        <v>166.25</v>
      </c>
      <c r="AU51" s="31"/>
      <c r="AV51" s="31"/>
      <c r="AW51" s="31"/>
      <c r="AX51" s="16">
        <f t="shared" si="8"/>
        <v>2.375E-2</v>
      </c>
      <c r="AY51" s="156">
        <v>2000</v>
      </c>
      <c r="AZ51" s="76">
        <v>665</v>
      </c>
      <c r="BA51" s="31"/>
      <c r="BB51" s="31"/>
      <c r="BC51" s="31"/>
      <c r="BD51" s="16">
        <f t="shared" si="7"/>
        <v>0.33250000000000002</v>
      </c>
      <c r="BE51" s="31"/>
      <c r="BF51" s="31"/>
      <c r="BG51" s="31"/>
      <c r="BH51" s="31"/>
      <c r="BI51" s="16"/>
      <c r="BJ51" s="16"/>
      <c r="BK51" s="31"/>
      <c r="BL51" s="31"/>
      <c r="BM51" s="31"/>
      <c r="BN51" s="31"/>
      <c r="BO51" s="16"/>
      <c r="BP51" s="31"/>
      <c r="BQ51" s="31"/>
      <c r="BR51" s="31"/>
      <c r="BS51" s="31"/>
      <c r="BT51" s="16"/>
      <c r="BU51" s="16"/>
      <c r="BV51" s="16"/>
      <c r="BW51" s="16"/>
      <c r="BX51" s="16"/>
      <c r="BY51" s="16"/>
      <c r="BZ51" s="16"/>
      <c r="CA51" s="10"/>
      <c r="CB51" s="10"/>
      <c r="CC51" s="19"/>
    </row>
    <row r="52" spans="1:81" s="52" customFormat="1" ht="49.15" customHeight="1" x14ac:dyDescent="0.25">
      <c r="A52" s="1">
        <v>1</v>
      </c>
      <c r="B52" s="13" t="s">
        <v>1746</v>
      </c>
      <c r="C52" s="588"/>
      <c r="D52" s="589"/>
      <c r="E52" s="10" t="s">
        <v>98</v>
      </c>
      <c r="F52" s="13" t="s">
        <v>99</v>
      </c>
      <c r="G52" s="572"/>
      <c r="H52" s="573"/>
      <c r="I52" s="10" t="s">
        <v>194</v>
      </c>
      <c r="J52" s="13" t="s">
        <v>195</v>
      </c>
      <c r="K52" s="588"/>
      <c r="L52" s="589"/>
      <c r="M52" s="10" t="s">
        <v>217</v>
      </c>
      <c r="N52" s="10" t="s">
        <v>218</v>
      </c>
      <c r="O52" s="24" t="s">
        <v>219</v>
      </c>
      <c r="P52" s="1" t="s">
        <v>220</v>
      </c>
      <c r="Q52" s="1" t="s">
        <v>221</v>
      </c>
      <c r="R52" s="10" t="s">
        <v>222</v>
      </c>
      <c r="S52" s="13" t="s">
        <v>223</v>
      </c>
      <c r="T52" s="13" t="s">
        <v>224</v>
      </c>
      <c r="U52" s="25">
        <v>104885</v>
      </c>
      <c r="V52" s="25">
        <v>480000</v>
      </c>
      <c r="W52" s="1" t="s">
        <v>78</v>
      </c>
      <c r="X52" s="1"/>
      <c r="Y52" s="1" t="s">
        <v>204</v>
      </c>
      <c r="Z52" s="1">
        <v>22</v>
      </c>
      <c r="AA52" s="24"/>
      <c r="AB52" s="42" t="s">
        <v>1753</v>
      </c>
      <c r="AC52" s="162">
        <v>120000</v>
      </c>
      <c r="AD52" s="156">
        <v>120000</v>
      </c>
      <c r="AE52" s="156">
        <v>120000</v>
      </c>
      <c r="AF52" s="156">
        <v>120000</v>
      </c>
      <c r="AG52" s="377">
        <f t="shared" si="6"/>
        <v>480000</v>
      </c>
      <c r="AH52" s="377" t="b">
        <f t="shared" si="3"/>
        <v>1</v>
      </c>
      <c r="AI52" s="71">
        <v>113324</v>
      </c>
      <c r="AJ52" s="71">
        <v>113324</v>
      </c>
      <c r="AK52" s="367">
        <v>113324</v>
      </c>
      <c r="AL52" s="71">
        <v>113324</v>
      </c>
      <c r="AM52" s="16">
        <f t="shared" si="4"/>
        <v>0.23609166666666667</v>
      </c>
      <c r="AN52" s="162">
        <v>120000</v>
      </c>
      <c r="AO52" s="71">
        <v>113324</v>
      </c>
      <c r="AP52" s="71">
        <v>113324</v>
      </c>
      <c r="AQ52" s="71"/>
      <c r="AR52" s="65">
        <f t="shared" si="9"/>
        <v>113324</v>
      </c>
      <c r="AS52" s="21">
        <f>IFERROR(+AR52/AN52,0)</f>
        <v>0.94436666666666669</v>
      </c>
      <c r="AT52" s="1">
        <f t="shared" si="1"/>
        <v>56662</v>
      </c>
      <c r="AU52" s="31"/>
      <c r="AV52" s="31"/>
      <c r="AW52" s="31"/>
      <c r="AX52" s="16">
        <f t="shared" si="8"/>
        <v>0.11804583333333334</v>
      </c>
      <c r="AY52" s="156">
        <v>120000</v>
      </c>
      <c r="AZ52" s="76">
        <v>113324</v>
      </c>
      <c r="BA52" s="31"/>
      <c r="BB52" s="31"/>
      <c r="BC52" s="31"/>
      <c r="BD52" s="16">
        <f t="shared" si="7"/>
        <v>0.94436666666666669</v>
      </c>
      <c r="BE52" s="31"/>
      <c r="BF52" s="31"/>
      <c r="BG52" s="31"/>
      <c r="BH52" s="31"/>
      <c r="BI52" s="16"/>
      <c r="BJ52" s="16"/>
      <c r="BK52" s="31"/>
      <c r="BL52" s="31"/>
      <c r="BM52" s="31"/>
      <c r="BN52" s="31"/>
      <c r="BO52" s="16"/>
      <c r="BP52" s="31"/>
      <c r="BQ52" s="31"/>
      <c r="BR52" s="31"/>
      <c r="BS52" s="31"/>
      <c r="BT52" s="16"/>
      <c r="BU52" s="16"/>
      <c r="BV52" s="16"/>
      <c r="BW52" s="16"/>
      <c r="BX52" s="16"/>
      <c r="BY52" s="16"/>
      <c r="BZ52" s="16"/>
      <c r="CA52" s="10"/>
      <c r="CB52" s="10"/>
      <c r="CC52" s="19"/>
    </row>
    <row r="53" spans="1:81" s="52" customFormat="1" ht="49.15" customHeight="1" x14ac:dyDescent="0.25">
      <c r="A53" s="1">
        <v>1</v>
      </c>
      <c r="B53" s="13" t="s">
        <v>1746</v>
      </c>
      <c r="C53" s="588"/>
      <c r="D53" s="589"/>
      <c r="E53" s="10" t="s">
        <v>98</v>
      </c>
      <c r="F53" s="13" t="s">
        <v>99</v>
      </c>
      <c r="G53" s="572"/>
      <c r="H53" s="573"/>
      <c r="I53" s="10" t="s">
        <v>194</v>
      </c>
      <c r="J53" s="13" t="s">
        <v>195</v>
      </c>
      <c r="K53" s="588"/>
      <c r="L53" s="589"/>
      <c r="M53" s="10" t="s">
        <v>217</v>
      </c>
      <c r="N53" s="10" t="s">
        <v>225</v>
      </c>
      <c r="O53" s="24" t="s">
        <v>219</v>
      </c>
      <c r="P53" s="1" t="s">
        <v>220</v>
      </c>
      <c r="Q53" s="1" t="s">
        <v>221</v>
      </c>
      <c r="R53" s="10" t="s">
        <v>226</v>
      </c>
      <c r="S53" s="13" t="s">
        <v>227</v>
      </c>
      <c r="T53" s="13" t="s">
        <v>228</v>
      </c>
      <c r="U53" s="1">
        <v>0</v>
      </c>
      <c r="V53" s="1">
        <v>1</v>
      </c>
      <c r="W53" s="1" t="s">
        <v>203</v>
      </c>
      <c r="X53" s="1"/>
      <c r="Y53" s="1" t="s">
        <v>204</v>
      </c>
      <c r="Z53" s="1">
        <v>22</v>
      </c>
      <c r="AA53" s="24"/>
      <c r="AB53" s="42" t="s">
        <v>1753</v>
      </c>
      <c r="AC53" s="156"/>
      <c r="AD53" s="156">
        <v>1</v>
      </c>
      <c r="AE53" s="156">
        <v>0</v>
      </c>
      <c r="AF53" s="156">
        <v>0</v>
      </c>
      <c r="AG53" s="377">
        <f t="shared" si="6"/>
        <v>1</v>
      </c>
      <c r="AH53" s="377" t="b">
        <f t="shared" si="3"/>
        <v>1</v>
      </c>
      <c r="AI53" s="68"/>
      <c r="AJ53" s="68"/>
      <c r="AK53" s="43">
        <v>0</v>
      </c>
      <c r="AL53" s="68">
        <v>0</v>
      </c>
      <c r="AM53" s="16">
        <f t="shared" si="4"/>
        <v>0</v>
      </c>
      <c r="AN53" s="162"/>
      <c r="AO53" s="68"/>
      <c r="AP53" s="68"/>
      <c r="AQ53" s="68"/>
      <c r="AR53" s="65"/>
      <c r="AS53" s="21" t="s">
        <v>310</v>
      </c>
      <c r="AT53" s="1">
        <f t="shared" si="1"/>
        <v>0</v>
      </c>
      <c r="AU53" s="31"/>
      <c r="AV53" s="31"/>
      <c r="AW53" s="31"/>
      <c r="AX53" s="16">
        <f t="shared" si="8"/>
        <v>0</v>
      </c>
      <c r="AY53" s="156">
        <v>1</v>
      </c>
      <c r="AZ53" s="76">
        <v>0</v>
      </c>
      <c r="BA53" s="31"/>
      <c r="BB53" s="31"/>
      <c r="BC53" s="31"/>
      <c r="BD53" s="16">
        <f t="shared" si="7"/>
        <v>0</v>
      </c>
      <c r="BE53" s="31"/>
      <c r="BF53" s="31"/>
      <c r="BG53" s="31"/>
      <c r="BH53" s="31"/>
      <c r="BI53" s="16"/>
      <c r="BJ53" s="16"/>
      <c r="BK53" s="31"/>
      <c r="BL53" s="31"/>
      <c r="BM53" s="31"/>
      <c r="BN53" s="31"/>
      <c r="BO53" s="16"/>
      <c r="BP53" s="31"/>
      <c r="BQ53" s="31"/>
      <c r="BR53" s="31"/>
      <c r="BS53" s="31"/>
      <c r="BT53" s="16"/>
      <c r="BU53" s="16"/>
      <c r="BV53" s="16"/>
      <c r="BW53" s="16"/>
      <c r="BX53" s="16"/>
      <c r="BY53" s="16"/>
      <c r="BZ53" s="16"/>
      <c r="CA53" s="10"/>
      <c r="CB53" s="10"/>
      <c r="CC53" s="19"/>
    </row>
    <row r="54" spans="1:81" s="52" customFormat="1" ht="49.15" customHeight="1" x14ac:dyDescent="0.25">
      <c r="A54" s="1">
        <v>1</v>
      </c>
      <c r="B54" s="13" t="s">
        <v>1746</v>
      </c>
      <c r="C54" s="588"/>
      <c r="D54" s="589"/>
      <c r="E54" s="10" t="s">
        <v>98</v>
      </c>
      <c r="F54" s="13" t="s">
        <v>99</v>
      </c>
      <c r="G54" s="572"/>
      <c r="H54" s="573"/>
      <c r="I54" s="10" t="s">
        <v>194</v>
      </c>
      <c r="J54" s="13" t="s">
        <v>195</v>
      </c>
      <c r="K54" s="588"/>
      <c r="L54" s="589"/>
      <c r="M54" s="10" t="s">
        <v>217</v>
      </c>
      <c r="N54" s="10" t="s">
        <v>225</v>
      </c>
      <c r="O54" s="24" t="s">
        <v>219</v>
      </c>
      <c r="P54" s="1" t="s">
        <v>220</v>
      </c>
      <c r="Q54" s="1" t="s">
        <v>221</v>
      </c>
      <c r="R54" s="10" t="s">
        <v>229</v>
      </c>
      <c r="S54" s="13" t="s">
        <v>230</v>
      </c>
      <c r="T54" s="13" t="s">
        <v>231</v>
      </c>
      <c r="U54" s="1">
        <v>1</v>
      </c>
      <c r="V54" s="1">
        <v>4</v>
      </c>
      <c r="W54" s="1" t="s">
        <v>78</v>
      </c>
      <c r="X54" s="1"/>
      <c r="Y54" s="1" t="s">
        <v>204</v>
      </c>
      <c r="Z54" s="1">
        <v>22</v>
      </c>
      <c r="AA54" s="24"/>
      <c r="AB54" s="42" t="s">
        <v>1753</v>
      </c>
      <c r="AC54" s="162">
        <v>1</v>
      </c>
      <c r="AD54" s="156">
        <v>1</v>
      </c>
      <c r="AE54" s="156">
        <v>1</v>
      </c>
      <c r="AF54" s="156">
        <v>2</v>
      </c>
      <c r="AG54" s="377">
        <f t="shared" si="6"/>
        <v>5</v>
      </c>
      <c r="AH54" s="377" t="b">
        <f t="shared" si="3"/>
        <v>0</v>
      </c>
      <c r="AI54" s="68">
        <v>0</v>
      </c>
      <c r="AJ54" s="68">
        <v>0</v>
      </c>
      <c r="AK54" s="43">
        <v>0</v>
      </c>
      <c r="AL54" s="68">
        <v>0</v>
      </c>
      <c r="AM54" s="16">
        <f t="shared" si="4"/>
        <v>0</v>
      </c>
      <c r="AN54" s="162">
        <v>1</v>
      </c>
      <c r="AO54" s="68">
        <v>0</v>
      </c>
      <c r="AP54" s="68">
        <v>0</v>
      </c>
      <c r="AQ54" s="68"/>
      <c r="AR54" s="65">
        <f t="shared" si="9"/>
        <v>0</v>
      </c>
      <c r="AS54" s="21">
        <f>IFERROR(+AR54/AN54,0)</f>
        <v>0</v>
      </c>
      <c r="AT54" s="1">
        <f t="shared" si="1"/>
        <v>0</v>
      </c>
      <c r="AU54" s="31"/>
      <c r="AV54" s="31"/>
      <c r="AW54" s="31"/>
      <c r="AX54" s="16">
        <f t="shared" si="8"/>
        <v>0</v>
      </c>
      <c r="AY54" s="156">
        <v>1</v>
      </c>
      <c r="AZ54" s="76">
        <v>0</v>
      </c>
      <c r="BA54" s="31"/>
      <c r="BB54" s="31"/>
      <c r="BC54" s="31"/>
      <c r="BD54" s="16">
        <f t="shared" si="7"/>
        <v>0</v>
      </c>
      <c r="BE54" s="31"/>
      <c r="BF54" s="31"/>
      <c r="BG54" s="31"/>
      <c r="BH54" s="31"/>
      <c r="BI54" s="16"/>
      <c r="BJ54" s="16"/>
      <c r="BK54" s="31"/>
      <c r="BL54" s="31"/>
      <c r="BM54" s="31"/>
      <c r="BN54" s="31"/>
      <c r="BO54" s="16"/>
      <c r="BP54" s="31"/>
      <c r="BQ54" s="31"/>
      <c r="BR54" s="31"/>
      <c r="BS54" s="31"/>
      <c r="BT54" s="16"/>
      <c r="BU54" s="16"/>
      <c r="BV54" s="16"/>
      <c r="BW54" s="16"/>
      <c r="BX54" s="16"/>
      <c r="BY54" s="16"/>
      <c r="BZ54" s="16"/>
      <c r="CA54" s="10"/>
      <c r="CB54" s="10"/>
      <c r="CC54" s="19"/>
    </row>
    <row r="55" spans="1:81" s="52" customFormat="1" ht="49.15" customHeight="1" x14ac:dyDescent="0.25">
      <c r="A55" s="1">
        <v>1</v>
      </c>
      <c r="B55" s="13" t="s">
        <v>1746</v>
      </c>
      <c r="C55" s="588"/>
      <c r="D55" s="589"/>
      <c r="E55" s="10" t="s">
        <v>98</v>
      </c>
      <c r="F55" s="13" t="s">
        <v>99</v>
      </c>
      <c r="G55" s="572"/>
      <c r="H55" s="573"/>
      <c r="I55" s="10" t="s">
        <v>194</v>
      </c>
      <c r="J55" s="13" t="s">
        <v>195</v>
      </c>
      <c r="K55" s="588"/>
      <c r="L55" s="589"/>
      <c r="M55" s="10" t="s">
        <v>217</v>
      </c>
      <c r="N55" s="10" t="s">
        <v>225</v>
      </c>
      <c r="O55" s="24" t="s">
        <v>219</v>
      </c>
      <c r="P55" s="1" t="s">
        <v>220</v>
      </c>
      <c r="Q55" s="1" t="s">
        <v>221</v>
      </c>
      <c r="R55" s="10" t="s">
        <v>232</v>
      </c>
      <c r="S55" s="13" t="s">
        <v>233</v>
      </c>
      <c r="T55" s="13" t="s">
        <v>234</v>
      </c>
      <c r="U55" s="25">
        <v>211987</v>
      </c>
      <c r="V55" s="25">
        <v>219505</v>
      </c>
      <c r="W55" s="1" t="s">
        <v>203</v>
      </c>
      <c r="X55" s="1"/>
      <c r="Y55" s="1" t="s">
        <v>204</v>
      </c>
      <c r="Z55" s="1">
        <v>22</v>
      </c>
      <c r="AA55" s="24"/>
      <c r="AB55" s="42" t="s">
        <v>1753</v>
      </c>
      <c r="AC55" s="162">
        <v>219505</v>
      </c>
      <c r="AD55" s="156">
        <v>219505</v>
      </c>
      <c r="AE55" s="156">
        <v>219505</v>
      </c>
      <c r="AF55" s="156">
        <v>219505</v>
      </c>
      <c r="AG55" s="377">
        <f t="shared" si="6"/>
        <v>878020</v>
      </c>
      <c r="AH55" s="377" t="b">
        <f t="shared" si="3"/>
        <v>0</v>
      </c>
      <c r="AI55" s="71">
        <v>212000</v>
      </c>
      <c r="AJ55" s="71">
        <v>212000</v>
      </c>
      <c r="AK55" s="367">
        <v>213562</v>
      </c>
      <c r="AL55" s="71">
        <v>213562</v>
      </c>
      <c r="AM55" s="16">
        <f t="shared" si="4"/>
        <v>0.97292544588961527</v>
      </c>
      <c r="AN55" s="162">
        <v>219505</v>
      </c>
      <c r="AO55" s="71">
        <v>212000</v>
      </c>
      <c r="AP55" s="71">
        <v>212000</v>
      </c>
      <c r="AQ55" s="71"/>
      <c r="AR55" s="65">
        <f t="shared" si="9"/>
        <v>213562</v>
      </c>
      <c r="AS55" s="21">
        <f>IFERROR(+AR55/AN55,0)</f>
        <v>0.97292544588961527</v>
      </c>
      <c r="AT55" s="1">
        <f t="shared" si="1"/>
        <v>213562</v>
      </c>
      <c r="AU55" s="31"/>
      <c r="AV55" s="31"/>
      <c r="AW55" s="31"/>
      <c r="AX55" s="16">
        <f t="shared" si="8"/>
        <v>0.97292544588961527</v>
      </c>
      <c r="AY55" s="156">
        <v>219505</v>
      </c>
      <c r="AZ55" s="76">
        <v>0</v>
      </c>
      <c r="BA55" s="31"/>
      <c r="BB55" s="31"/>
      <c r="BC55" s="31"/>
      <c r="BD55" s="16">
        <f t="shared" si="7"/>
        <v>0</v>
      </c>
      <c r="BE55" s="31"/>
      <c r="BF55" s="31"/>
      <c r="BG55" s="31"/>
      <c r="BH55" s="31"/>
      <c r="BI55" s="16"/>
      <c r="BJ55" s="16"/>
      <c r="BK55" s="31"/>
      <c r="BL55" s="31"/>
      <c r="BM55" s="31"/>
      <c r="BN55" s="31"/>
      <c r="BO55" s="16"/>
      <c r="BP55" s="31"/>
      <c r="BQ55" s="31"/>
      <c r="BR55" s="31"/>
      <c r="BS55" s="31"/>
      <c r="BT55" s="16"/>
      <c r="BU55" s="16"/>
      <c r="BV55" s="16"/>
      <c r="BW55" s="16"/>
      <c r="BX55" s="16"/>
      <c r="BY55" s="16"/>
      <c r="BZ55" s="16"/>
      <c r="CA55" s="10"/>
      <c r="CB55" s="10"/>
      <c r="CC55" s="19"/>
    </row>
    <row r="56" spans="1:81" s="52" customFormat="1" ht="49.15" customHeight="1" x14ac:dyDescent="0.25">
      <c r="A56" s="1">
        <v>1</v>
      </c>
      <c r="B56" s="13" t="s">
        <v>1746</v>
      </c>
      <c r="C56" s="588"/>
      <c r="D56" s="589"/>
      <c r="E56" s="10" t="s">
        <v>98</v>
      </c>
      <c r="F56" s="13" t="s">
        <v>99</v>
      </c>
      <c r="G56" s="572"/>
      <c r="H56" s="573"/>
      <c r="I56" s="10" t="s">
        <v>194</v>
      </c>
      <c r="J56" s="13" t="s">
        <v>195</v>
      </c>
      <c r="K56" s="588"/>
      <c r="L56" s="589"/>
      <c r="M56" s="10" t="s">
        <v>217</v>
      </c>
      <c r="N56" s="10" t="s">
        <v>225</v>
      </c>
      <c r="O56" s="24" t="s">
        <v>219</v>
      </c>
      <c r="P56" s="1" t="s">
        <v>220</v>
      </c>
      <c r="Q56" s="1" t="s">
        <v>221</v>
      </c>
      <c r="R56" s="10" t="s">
        <v>235</v>
      </c>
      <c r="S56" s="13" t="s">
        <v>236</v>
      </c>
      <c r="T56" s="13" t="s">
        <v>237</v>
      </c>
      <c r="U56" s="25">
        <v>1880</v>
      </c>
      <c r="V56" s="25">
        <v>12120</v>
      </c>
      <c r="W56" s="1" t="s">
        <v>203</v>
      </c>
      <c r="X56" s="1"/>
      <c r="Y56" s="1" t="s">
        <v>204</v>
      </c>
      <c r="Z56" s="1">
        <v>22</v>
      </c>
      <c r="AA56" s="24"/>
      <c r="AB56" s="42" t="s">
        <v>1753</v>
      </c>
      <c r="AC56" s="162">
        <v>1880</v>
      </c>
      <c r="AD56" s="156">
        <v>4040</v>
      </c>
      <c r="AE56" s="156">
        <v>4040</v>
      </c>
      <c r="AF56" s="156">
        <v>4040</v>
      </c>
      <c r="AG56" s="377">
        <f t="shared" si="6"/>
        <v>14000</v>
      </c>
      <c r="AH56" s="377" t="b">
        <f t="shared" si="3"/>
        <v>0</v>
      </c>
      <c r="AI56" s="68">
        <v>0</v>
      </c>
      <c r="AJ56" s="68">
        <v>0</v>
      </c>
      <c r="AK56" s="43">
        <v>0</v>
      </c>
      <c r="AL56" s="68">
        <v>0</v>
      </c>
      <c r="AM56" s="16">
        <f t="shared" si="4"/>
        <v>0</v>
      </c>
      <c r="AN56" s="162">
        <v>1880</v>
      </c>
      <c r="AO56" s="68">
        <v>0</v>
      </c>
      <c r="AP56" s="68">
        <v>0</v>
      </c>
      <c r="AQ56" s="68"/>
      <c r="AR56" s="65">
        <f t="shared" si="9"/>
        <v>0</v>
      </c>
      <c r="AS56" s="21">
        <f>IFERROR(+AR56/AN56,0)</f>
        <v>0</v>
      </c>
      <c r="AT56" s="1">
        <f t="shared" si="1"/>
        <v>0</v>
      </c>
      <c r="AU56" s="31"/>
      <c r="AV56" s="31"/>
      <c r="AW56" s="31"/>
      <c r="AX56" s="16">
        <f t="shared" si="8"/>
        <v>0</v>
      </c>
      <c r="AY56" s="156">
        <v>4040</v>
      </c>
      <c r="AZ56" s="76">
        <v>0</v>
      </c>
      <c r="BA56" s="31"/>
      <c r="BB56" s="31"/>
      <c r="BC56" s="31"/>
      <c r="BD56" s="16">
        <f t="shared" si="7"/>
        <v>0</v>
      </c>
      <c r="BE56" s="31"/>
      <c r="BF56" s="31"/>
      <c r="BG56" s="31"/>
      <c r="BH56" s="31"/>
      <c r="BI56" s="16"/>
      <c r="BJ56" s="16"/>
      <c r="BK56" s="31"/>
      <c r="BL56" s="31"/>
      <c r="BM56" s="31"/>
      <c r="BN56" s="31"/>
      <c r="BO56" s="16"/>
      <c r="BP56" s="31"/>
      <c r="BQ56" s="31"/>
      <c r="BR56" s="31"/>
      <c r="BS56" s="31"/>
      <c r="BT56" s="16"/>
      <c r="BU56" s="16"/>
      <c r="BV56" s="16"/>
      <c r="BW56" s="16"/>
      <c r="BX56" s="16"/>
      <c r="BY56" s="16"/>
      <c r="BZ56" s="16"/>
      <c r="CA56" s="10"/>
      <c r="CB56" s="10"/>
      <c r="CC56" s="19"/>
    </row>
    <row r="57" spans="1:81" s="52" customFormat="1" ht="86.25" customHeight="1" x14ac:dyDescent="0.25">
      <c r="A57" s="1">
        <v>1</v>
      </c>
      <c r="B57" s="13" t="s">
        <v>1746</v>
      </c>
      <c r="C57" s="588"/>
      <c r="D57" s="589"/>
      <c r="E57" s="10" t="s">
        <v>98</v>
      </c>
      <c r="F57" s="13" t="s">
        <v>99</v>
      </c>
      <c r="G57" s="572"/>
      <c r="H57" s="573"/>
      <c r="I57" s="10" t="s">
        <v>238</v>
      </c>
      <c r="J57" s="13" t="s">
        <v>239</v>
      </c>
      <c r="K57" s="588">
        <f>AVERAGE(AX57:AX70)</f>
        <v>0.41188775510204084</v>
      </c>
      <c r="L57" s="589">
        <f>AVERAGE(BD57:BD70)</f>
        <v>0.51476190476190475</v>
      </c>
      <c r="M57" s="10" t="s">
        <v>240</v>
      </c>
      <c r="N57" s="23" t="s">
        <v>241</v>
      </c>
      <c r="O57" s="13" t="s">
        <v>242</v>
      </c>
      <c r="P57" s="1">
        <v>50</v>
      </c>
      <c r="Q57" s="1">
        <v>100</v>
      </c>
      <c r="R57" s="10" t="s">
        <v>243</v>
      </c>
      <c r="S57" s="13" t="s">
        <v>244</v>
      </c>
      <c r="T57" s="13" t="s">
        <v>245</v>
      </c>
      <c r="U57" s="1">
        <v>226</v>
      </c>
      <c r="V57" s="1">
        <v>226</v>
      </c>
      <c r="W57" s="1" t="s">
        <v>78</v>
      </c>
      <c r="X57" s="1"/>
      <c r="Y57" s="1" t="s">
        <v>246</v>
      </c>
      <c r="Z57" s="1">
        <v>22</v>
      </c>
      <c r="AA57" s="24"/>
      <c r="AB57" s="42" t="s">
        <v>1753</v>
      </c>
      <c r="AC57" s="162">
        <v>226</v>
      </c>
      <c r="AD57" s="156">
        <v>226</v>
      </c>
      <c r="AE57" s="156">
        <v>226</v>
      </c>
      <c r="AF57" s="156">
        <v>226</v>
      </c>
      <c r="AG57" s="377">
        <f t="shared" si="6"/>
        <v>904</v>
      </c>
      <c r="AH57" s="377" t="b">
        <f t="shared" si="3"/>
        <v>0</v>
      </c>
      <c r="AI57" s="68">
        <v>0</v>
      </c>
      <c r="AJ57" s="68">
        <v>226</v>
      </c>
      <c r="AK57" s="43">
        <v>226</v>
      </c>
      <c r="AL57" s="68">
        <v>226</v>
      </c>
      <c r="AM57" s="16">
        <f t="shared" si="4"/>
        <v>1</v>
      </c>
      <c r="AN57" s="162">
        <v>226</v>
      </c>
      <c r="AO57" s="68">
        <v>0</v>
      </c>
      <c r="AP57" s="68">
        <v>226</v>
      </c>
      <c r="AQ57" s="68"/>
      <c r="AR57" s="65">
        <f t="shared" si="9"/>
        <v>226</v>
      </c>
      <c r="AS57" s="21">
        <f>IFERROR(+AR57/AN57,0)</f>
        <v>1</v>
      </c>
      <c r="AT57" s="1">
        <f t="shared" si="1"/>
        <v>56.5</v>
      </c>
      <c r="AU57" s="31"/>
      <c r="AV57" s="31"/>
      <c r="AW57" s="31"/>
      <c r="AX57" s="16">
        <f t="shared" si="8"/>
        <v>0.25</v>
      </c>
      <c r="AY57" s="156">
        <v>226</v>
      </c>
      <c r="AZ57" s="76">
        <v>0</v>
      </c>
      <c r="BA57" s="31"/>
      <c r="BB57" s="31"/>
      <c r="BC57" s="31"/>
      <c r="BD57" s="16">
        <f t="shared" si="7"/>
        <v>0</v>
      </c>
      <c r="BE57" s="31"/>
      <c r="BF57" s="31"/>
      <c r="BG57" s="31"/>
      <c r="BH57" s="31"/>
      <c r="BI57" s="16"/>
      <c r="BJ57" s="16"/>
      <c r="BK57" s="31"/>
      <c r="BL57" s="31"/>
      <c r="BM57" s="31"/>
      <c r="BN57" s="31"/>
      <c r="BO57" s="16"/>
      <c r="BP57" s="31"/>
      <c r="BQ57" s="31"/>
      <c r="BR57" s="31"/>
      <c r="BS57" s="31"/>
      <c r="BT57" s="16"/>
      <c r="BU57" s="16"/>
      <c r="BV57" s="16"/>
      <c r="BW57" s="16"/>
      <c r="BX57" s="16"/>
      <c r="BY57" s="16"/>
      <c r="BZ57" s="16"/>
      <c r="CA57" s="10"/>
      <c r="CB57" s="10"/>
      <c r="CC57" s="19"/>
    </row>
    <row r="58" spans="1:81" s="52" customFormat="1" ht="113.25" customHeight="1" x14ac:dyDescent="0.25">
      <c r="A58" s="1">
        <v>1</v>
      </c>
      <c r="B58" s="13" t="s">
        <v>1746</v>
      </c>
      <c r="C58" s="588"/>
      <c r="D58" s="589"/>
      <c r="E58" s="10" t="s">
        <v>98</v>
      </c>
      <c r="F58" s="13" t="s">
        <v>99</v>
      </c>
      <c r="G58" s="572"/>
      <c r="H58" s="573"/>
      <c r="I58" s="10" t="s">
        <v>238</v>
      </c>
      <c r="J58" s="13" t="s">
        <v>239</v>
      </c>
      <c r="K58" s="588"/>
      <c r="L58" s="589"/>
      <c r="M58" s="10" t="s">
        <v>240</v>
      </c>
      <c r="N58" s="23" t="s">
        <v>241</v>
      </c>
      <c r="O58" s="13" t="s">
        <v>242</v>
      </c>
      <c r="P58" s="10">
        <v>50</v>
      </c>
      <c r="Q58" s="1">
        <v>100</v>
      </c>
      <c r="R58" s="10" t="s">
        <v>247</v>
      </c>
      <c r="S58" s="13" t="s">
        <v>248</v>
      </c>
      <c r="T58" s="13" t="s">
        <v>249</v>
      </c>
      <c r="U58" s="1">
        <v>1180</v>
      </c>
      <c r="V58" s="1">
        <v>1200</v>
      </c>
      <c r="W58" s="1" t="s">
        <v>49</v>
      </c>
      <c r="X58" s="1"/>
      <c r="Y58" s="1" t="s">
        <v>250</v>
      </c>
      <c r="Z58" s="1">
        <v>22</v>
      </c>
      <c r="AA58" s="24"/>
      <c r="AB58" s="42" t="s">
        <v>1753</v>
      </c>
      <c r="AC58" s="162">
        <v>300</v>
      </c>
      <c r="AD58" s="108">
        <v>300</v>
      </c>
      <c r="AE58" s="156">
        <v>300</v>
      </c>
      <c r="AF58" s="156">
        <v>300</v>
      </c>
      <c r="AG58" s="377">
        <f t="shared" si="6"/>
        <v>1200</v>
      </c>
      <c r="AH58" s="377" t="b">
        <f t="shared" si="3"/>
        <v>1</v>
      </c>
      <c r="AI58" s="68">
        <v>0</v>
      </c>
      <c r="AJ58" s="68">
        <v>240</v>
      </c>
      <c r="AK58" s="43">
        <v>300</v>
      </c>
      <c r="AL58" s="68">
        <v>300</v>
      </c>
      <c r="AM58" s="16">
        <f t="shared" si="4"/>
        <v>0.25</v>
      </c>
      <c r="AN58" s="162">
        <v>300</v>
      </c>
      <c r="AO58" s="68">
        <v>0</v>
      </c>
      <c r="AP58" s="68">
        <v>240</v>
      </c>
      <c r="AQ58" s="68"/>
      <c r="AR58" s="65">
        <f t="shared" si="9"/>
        <v>300</v>
      </c>
      <c r="AS58" s="21">
        <f>IFERROR(+AR58/AN58,0)</f>
        <v>1</v>
      </c>
      <c r="AT58" s="1">
        <f t="shared" si="1"/>
        <v>600</v>
      </c>
      <c r="AU58" s="31"/>
      <c r="AV58" s="31"/>
      <c r="AW58" s="31"/>
      <c r="AX58" s="16">
        <f t="shared" si="8"/>
        <v>0.5</v>
      </c>
      <c r="AY58" s="108">
        <v>300</v>
      </c>
      <c r="AZ58" s="108">
        <v>300</v>
      </c>
      <c r="BA58" s="31"/>
      <c r="BB58" s="31"/>
      <c r="BC58" s="31"/>
      <c r="BD58" s="16">
        <f t="shared" si="7"/>
        <v>1</v>
      </c>
      <c r="BE58" s="31"/>
      <c r="BF58" s="31"/>
      <c r="BG58" s="31"/>
      <c r="BH58" s="31"/>
      <c r="BI58" s="16"/>
      <c r="BJ58" s="16"/>
      <c r="BK58" s="31"/>
      <c r="BL58" s="31"/>
      <c r="BM58" s="31"/>
      <c r="BN58" s="31"/>
      <c r="BO58" s="16"/>
      <c r="BP58" s="31"/>
      <c r="BQ58" s="31"/>
      <c r="BR58" s="31"/>
      <c r="BS58" s="31"/>
      <c r="BT58" s="16"/>
      <c r="BU58" s="16"/>
      <c r="BV58" s="16"/>
      <c r="BW58" s="16"/>
      <c r="BX58" s="16"/>
      <c r="BY58" s="16"/>
      <c r="BZ58" s="16"/>
      <c r="CA58" s="10"/>
      <c r="CB58" s="10"/>
      <c r="CC58" s="19"/>
    </row>
    <row r="59" spans="1:81" s="52" customFormat="1" ht="129.75" customHeight="1" x14ac:dyDescent="0.25">
      <c r="A59" s="1">
        <v>1</v>
      </c>
      <c r="B59" s="13" t="s">
        <v>1746</v>
      </c>
      <c r="C59" s="588"/>
      <c r="D59" s="589"/>
      <c r="E59" s="10" t="s">
        <v>98</v>
      </c>
      <c r="F59" s="13" t="s">
        <v>99</v>
      </c>
      <c r="G59" s="572"/>
      <c r="H59" s="573"/>
      <c r="I59" s="10" t="s">
        <v>238</v>
      </c>
      <c r="J59" s="13" t="s">
        <v>239</v>
      </c>
      <c r="K59" s="588"/>
      <c r="L59" s="589"/>
      <c r="M59" s="10" t="s">
        <v>240</v>
      </c>
      <c r="N59" s="23" t="s">
        <v>241</v>
      </c>
      <c r="O59" s="13" t="s">
        <v>242</v>
      </c>
      <c r="P59" s="10">
        <v>50</v>
      </c>
      <c r="Q59" s="1">
        <v>100</v>
      </c>
      <c r="R59" s="10" t="s">
        <v>251</v>
      </c>
      <c r="S59" s="13" t="s">
        <v>252</v>
      </c>
      <c r="T59" s="13" t="s">
        <v>1915</v>
      </c>
      <c r="U59" s="1">
        <v>10</v>
      </c>
      <c r="V59" s="1">
        <v>15</v>
      </c>
      <c r="W59" s="1" t="s">
        <v>49</v>
      </c>
      <c r="X59" s="1"/>
      <c r="Y59" s="1" t="s">
        <v>246</v>
      </c>
      <c r="Z59" s="1">
        <v>22</v>
      </c>
      <c r="AA59" s="24"/>
      <c r="AB59" s="42" t="s">
        <v>1753</v>
      </c>
      <c r="AC59" s="162"/>
      <c r="AD59" s="108">
        <v>5</v>
      </c>
      <c r="AE59" s="162">
        <v>5</v>
      </c>
      <c r="AF59" s="162">
        <v>5</v>
      </c>
      <c r="AG59" s="377">
        <f t="shared" si="6"/>
        <v>15</v>
      </c>
      <c r="AH59" s="377" t="b">
        <f t="shared" si="3"/>
        <v>1</v>
      </c>
      <c r="AI59" s="68"/>
      <c r="AJ59" s="68"/>
      <c r="AK59" s="43"/>
      <c r="AL59" s="68"/>
      <c r="AM59" s="16">
        <f t="shared" si="4"/>
        <v>0</v>
      </c>
      <c r="AN59" s="162"/>
      <c r="AO59" s="68"/>
      <c r="AP59" s="68"/>
      <c r="AQ59" s="68"/>
      <c r="AR59" s="65"/>
      <c r="AS59" s="21" t="s">
        <v>310</v>
      </c>
      <c r="AT59" s="1">
        <f t="shared" si="1"/>
        <v>15</v>
      </c>
      <c r="AU59" s="31"/>
      <c r="AV59" s="31"/>
      <c r="AW59" s="31"/>
      <c r="AX59" s="16">
        <f t="shared" si="8"/>
        <v>1</v>
      </c>
      <c r="AY59" s="108">
        <v>5</v>
      </c>
      <c r="AZ59" s="108">
        <v>15</v>
      </c>
      <c r="BA59" s="31"/>
      <c r="BB59" s="31"/>
      <c r="BC59" s="31"/>
      <c r="BD59" s="16">
        <f t="shared" si="7"/>
        <v>1</v>
      </c>
      <c r="BE59" s="31"/>
      <c r="BF59" s="31"/>
      <c r="BG59" s="31"/>
      <c r="BH59" s="31"/>
      <c r="BI59" s="16"/>
      <c r="BJ59" s="16"/>
      <c r="BK59" s="31"/>
      <c r="BL59" s="31"/>
      <c r="BM59" s="31"/>
      <c r="BN59" s="31"/>
      <c r="BO59" s="16"/>
      <c r="BP59" s="31"/>
      <c r="BQ59" s="31"/>
      <c r="BR59" s="31"/>
      <c r="BS59" s="31"/>
      <c r="BT59" s="16"/>
      <c r="BU59" s="16"/>
      <c r="BV59" s="16"/>
      <c r="BW59" s="16"/>
      <c r="BX59" s="16"/>
      <c r="BY59" s="16"/>
      <c r="BZ59" s="16"/>
      <c r="CA59" s="10"/>
      <c r="CB59" s="10"/>
      <c r="CC59" s="19"/>
    </row>
    <row r="60" spans="1:81" s="52" customFormat="1" ht="49.15" customHeight="1" x14ac:dyDescent="0.25">
      <c r="A60" s="1">
        <v>1</v>
      </c>
      <c r="B60" s="13" t="s">
        <v>1746</v>
      </c>
      <c r="C60" s="588"/>
      <c r="D60" s="589"/>
      <c r="E60" s="10" t="s">
        <v>98</v>
      </c>
      <c r="F60" s="13" t="s">
        <v>99</v>
      </c>
      <c r="G60" s="572"/>
      <c r="H60" s="573"/>
      <c r="I60" s="10" t="s">
        <v>238</v>
      </c>
      <c r="J60" s="13" t="s">
        <v>239</v>
      </c>
      <c r="K60" s="588"/>
      <c r="L60" s="589"/>
      <c r="M60" s="10" t="s">
        <v>240</v>
      </c>
      <c r="N60" s="23" t="s">
        <v>241</v>
      </c>
      <c r="O60" s="13" t="s">
        <v>242</v>
      </c>
      <c r="P60" s="10">
        <v>50</v>
      </c>
      <c r="Q60" s="1">
        <v>100</v>
      </c>
      <c r="R60" s="10" t="s">
        <v>253</v>
      </c>
      <c r="S60" s="13" t="s">
        <v>254</v>
      </c>
      <c r="T60" s="13" t="s">
        <v>255</v>
      </c>
      <c r="U60" s="1">
        <v>35</v>
      </c>
      <c r="V60" s="1">
        <v>100</v>
      </c>
      <c r="W60" s="1" t="s">
        <v>49</v>
      </c>
      <c r="X60" s="1"/>
      <c r="Y60" s="1" t="s">
        <v>246</v>
      </c>
      <c r="Z60" s="1">
        <v>22</v>
      </c>
      <c r="AA60" s="24"/>
      <c r="AB60" s="42" t="s">
        <v>1753</v>
      </c>
      <c r="AC60" s="162">
        <v>10</v>
      </c>
      <c r="AD60" s="156">
        <v>50</v>
      </c>
      <c r="AE60" s="156">
        <v>20</v>
      </c>
      <c r="AF60" s="156">
        <v>20</v>
      </c>
      <c r="AG60" s="377">
        <f t="shared" si="6"/>
        <v>100</v>
      </c>
      <c r="AH60" s="377" t="b">
        <f t="shared" si="3"/>
        <v>1</v>
      </c>
      <c r="AI60" s="68">
        <v>0</v>
      </c>
      <c r="AJ60" s="68">
        <v>11</v>
      </c>
      <c r="AK60" s="43">
        <v>11</v>
      </c>
      <c r="AL60" s="68">
        <v>11</v>
      </c>
      <c r="AM60" s="16">
        <f t="shared" si="4"/>
        <v>0.11</v>
      </c>
      <c r="AN60" s="162">
        <v>10</v>
      </c>
      <c r="AO60" s="68">
        <v>0</v>
      </c>
      <c r="AP60" s="68">
        <v>10</v>
      </c>
      <c r="AQ60" s="68"/>
      <c r="AR60" s="65">
        <f t="shared" si="9"/>
        <v>11</v>
      </c>
      <c r="AS60" s="21">
        <v>1</v>
      </c>
      <c r="AT60" s="1">
        <f t="shared" si="1"/>
        <v>22</v>
      </c>
      <c r="AU60" s="31"/>
      <c r="AV60" s="31"/>
      <c r="AW60" s="31"/>
      <c r="AX60" s="16">
        <f t="shared" si="8"/>
        <v>0.22</v>
      </c>
      <c r="AY60" s="156">
        <v>50</v>
      </c>
      <c r="AZ60" s="76">
        <v>11</v>
      </c>
      <c r="BA60" s="31"/>
      <c r="BB60" s="31"/>
      <c r="BC60" s="31"/>
      <c r="BD60" s="16">
        <f t="shared" si="7"/>
        <v>0.22</v>
      </c>
      <c r="BE60" s="31"/>
      <c r="BF60" s="31"/>
      <c r="BG60" s="31"/>
      <c r="BH60" s="31"/>
      <c r="BI60" s="16"/>
      <c r="BJ60" s="16"/>
      <c r="BK60" s="31"/>
      <c r="BL60" s="31"/>
      <c r="BM60" s="31"/>
      <c r="BN60" s="31"/>
      <c r="BO60" s="16"/>
      <c r="BP60" s="31"/>
      <c r="BQ60" s="31"/>
      <c r="BR60" s="31"/>
      <c r="BS60" s="31"/>
      <c r="BT60" s="16"/>
      <c r="BU60" s="16"/>
      <c r="BV60" s="16"/>
      <c r="BW60" s="16"/>
      <c r="BX60" s="16"/>
      <c r="BY60" s="16"/>
      <c r="BZ60" s="16"/>
      <c r="CA60" s="10"/>
      <c r="CB60" s="10"/>
      <c r="CC60" s="19"/>
    </row>
    <row r="61" spans="1:81" s="52" customFormat="1" ht="49.15" customHeight="1" x14ac:dyDescent="0.25">
      <c r="A61" s="1">
        <v>1</v>
      </c>
      <c r="B61" s="13" t="s">
        <v>1746</v>
      </c>
      <c r="C61" s="588"/>
      <c r="D61" s="589"/>
      <c r="E61" s="10" t="s">
        <v>98</v>
      </c>
      <c r="F61" s="13" t="s">
        <v>99</v>
      </c>
      <c r="G61" s="572"/>
      <c r="H61" s="573"/>
      <c r="I61" s="10" t="s">
        <v>238</v>
      </c>
      <c r="J61" s="13" t="s">
        <v>239</v>
      </c>
      <c r="K61" s="588"/>
      <c r="L61" s="589"/>
      <c r="M61" s="10" t="s">
        <v>240</v>
      </c>
      <c r="N61" s="23" t="s">
        <v>241</v>
      </c>
      <c r="O61" s="13" t="s">
        <v>242</v>
      </c>
      <c r="P61" s="10">
        <v>50</v>
      </c>
      <c r="Q61" s="1">
        <v>100</v>
      </c>
      <c r="R61" s="10" t="s">
        <v>256</v>
      </c>
      <c r="S61" s="13" t="s">
        <v>257</v>
      </c>
      <c r="T61" s="13" t="s">
        <v>258</v>
      </c>
      <c r="U61" s="1">
        <v>6</v>
      </c>
      <c r="V61" s="108">
        <v>4</v>
      </c>
      <c r="W61" s="1" t="s">
        <v>49</v>
      </c>
      <c r="X61" s="1"/>
      <c r="Y61" s="1" t="s">
        <v>246</v>
      </c>
      <c r="Z61" s="1">
        <v>22</v>
      </c>
      <c r="AA61" s="24"/>
      <c r="AB61" s="42" t="s">
        <v>1753</v>
      </c>
      <c r="AC61" s="162">
        <v>5.5</v>
      </c>
      <c r="AD61" s="156">
        <v>5</v>
      </c>
      <c r="AE61" s="156">
        <v>4.5</v>
      </c>
      <c r="AF61" s="156">
        <v>4</v>
      </c>
      <c r="AG61" s="377">
        <f t="shared" si="6"/>
        <v>19</v>
      </c>
      <c r="AH61" s="377" t="b">
        <f t="shared" si="3"/>
        <v>0</v>
      </c>
      <c r="AI61" s="68">
        <v>5.7</v>
      </c>
      <c r="AJ61" s="180">
        <v>5.7</v>
      </c>
      <c r="AK61" s="180">
        <v>5.7</v>
      </c>
      <c r="AL61" s="180">
        <v>5.7</v>
      </c>
      <c r="AM61" s="16">
        <v>1</v>
      </c>
      <c r="AN61" s="162">
        <v>5.5</v>
      </c>
      <c r="AO61" s="68">
        <v>5.7</v>
      </c>
      <c r="AP61" s="68">
        <v>5.5</v>
      </c>
      <c r="AQ61" s="68"/>
      <c r="AR61" s="318">
        <f t="shared" si="9"/>
        <v>5.7</v>
      </c>
      <c r="AS61" s="21">
        <v>1</v>
      </c>
      <c r="AT61" s="1">
        <f t="shared" si="1"/>
        <v>11.4</v>
      </c>
      <c r="AU61" s="31"/>
      <c r="AV61" s="31"/>
      <c r="AW61" s="31"/>
      <c r="AX61" s="456">
        <f t="shared" si="8"/>
        <v>1</v>
      </c>
      <c r="AY61" s="156">
        <v>5</v>
      </c>
      <c r="AZ61" s="76">
        <v>5.7</v>
      </c>
      <c r="BA61" s="31"/>
      <c r="BB61" s="31"/>
      <c r="BC61" s="31"/>
      <c r="BD61" s="16">
        <f t="shared" si="7"/>
        <v>1</v>
      </c>
      <c r="BE61" s="31"/>
      <c r="BF61" s="31"/>
      <c r="BG61" s="31"/>
      <c r="BH61" s="31"/>
      <c r="BI61" s="16"/>
      <c r="BJ61" s="16"/>
      <c r="BK61" s="31"/>
      <c r="BL61" s="31"/>
      <c r="BM61" s="31"/>
      <c r="BN61" s="31"/>
      <c r="BO61" s="16"/>
      <c r="BP61" s="31"/>
      <c r="BQ61" s="31"/>
      <c r="BR61" s="31"/>
      <c r="BS61" s="31"/>
      <c r="BT61" s="16"/>
      <c r="BU61" s="16"/>
      <c r="BV61" s="16"/>
      <c r="BW61" s="16"/>
      <c r="BX61" s="16"/>
      <c r="BY61" s="16"/>
      <c r="BZ61" s="16"/>
      <c r="CA61" s="10"/>
      <c r="CB61" s="10"/>
      <c r="CC61" s="19"/>
    </row>
    <row r="62" spans="1:81" s="52" customFormat="1" ht="49.15" customHeight="1" x14ac:dyDescent="0.25">
      <c r="A62" s="1">
        <v>1</v>
      </c>
      <c r="B62" s="13" t="s">
        <v>1746</v>
      </c>
      <c r="C62" s="588"/>
      <c r="D62" s="589"/>
      <c r="E62" s="10" t="s">
        <v>98</v>
      </c>
      <c r="F62" s="13" t="s">
        <v>99</v>
      </c>
      <c r="G62" s="572"/>
      <c r="H62" s="573"/>
      <c r="I62" s="10" t="s">
        <v>238</v>
      </c>
      <c r="J62" s="13" t="s">
        <v>239</v>
      </c>
      <c r="K62" s="588"/>
      <c r="L62" s="589"/>
      <c r="M62" s="10" t="s">
        <v>240</v>
      </c>
      <c r="N62" s="23" t="s">
        <v>241</v>
      </c>
      <c r="O62" s="13" t="s">
        <v>242</v>
      </c>
      <c r="P62" s="10">
        <v>50</v>
      </c>
      <c r="Q62" s="1">
        <v>100</v>
      </c>
      <c r="R62" s="10" t="s">
        <v>259</v>
      </c>
      <c r="S62" s="13" t="s">
        <v>260</v>
      </c>
      <c r="T62" s="13" t="s">
        <v>261</v>
      </c>
      <c r="U62" s="1">
        <v>0</v>
      </c>
      <c r="V62" s="1">
        <v>1</v>
      </c>
      <c r="W62" s="1" t="s">
        <v>49</v>
      </c>
      <c r="X62" s="1"/>
      <c r="Y62" s="1" t="s">
        <v>246</v>
      </c>
      <c r="Z62" s="1">
        <v>22</v>
      </c>
      <c r="AA62" s="24"/>
      <c r="AB62" s="42" t="s">
        <v>1753</v>
      </c>
      <c r="AC62" s="162"/>
      <c r="AD62" s="156">
        <v>1</v>
      </c>
      <c r="AE62" s="156">
        <v>0</v>
      </c>
      <c r="AF62" s="156">
        <v>0</v>
      </c>
      <c r="AG62" s="377">
        <f t="shared" si="6"/>
        <v>1</v>
      </c>
      <c r="AH62" s="377" t="b">
        <f t="shared" si="3"/>
        <v>1</v>
      </c>
      <c r="AI62" s="68"/>
      <c r="AJ62" s="68"/>
      <c r="AK62" s="43"/>
      <c r="AL62" s="68"/>
      <c r="AM62" s="16">
        <f t="shared" si="4"/>
        <v>0</v>
      </c>
      <c r="AN62" s="162"/>
      <c r="AO62" s="68"/>
      <c r="AP62" s="68"/>
      <c r="AQ62" s="68"/>
      <c r="AR62" s="65"/>
      <c r="AS62" s="21" t="s">
        <v>310</v>
      </c>
      <c r="AT62" s="1">
        <f t="shared" si="1"/>
        <v>0</v>
      </c>
      <c r="AU62" s="31"/>
      <c r="AV62" s="31"/>
      <c r="AW62" s="31"/>
      <c r="AX62" s="16">
        <f t="shared" si="8"/>
        <v>0</v>
      </c>
      <c r="AY62" s="156">
        <v>1</v>
      </c>
      <c r="AZ62" s="76">
        <v>0</v>
      </c>
      <c r="BA62" s="31"/>
      <c r="BB62" s="31"/>
      <c r="BC62" s="31"/>
      <c r="BD62" s="16">
        <f t="shared" si="7"/>
        <v>0</v>
      </c>
      <c r="BE62" s="31"/>
      <c r="BF62" s="31"/>
      <c r="BG62" s="31"/>
      <c r="BH62" s="31"/>
      <c r="BI62" s="16"/>
      <c r="BJ62" s="16"/>
      <c r="BK62" s="31"/>
      <c r="BL62" s="31"/>
      <c r="BM62" s="31"/>
      <c r="BN62" s="31"/>
      <c r="BO62" s="16"/>
      <c r="BP62" s="31"/>
      <c r="BQ62" s="31"/>
      <c r="BR62" s="31"/>
      <c r="BS62" s="31"/>
      <c r="BT62" s="16"/>
      <c r="BU62" s="16"/>
      <c r="BV62" s="16"/>
      <c r="BW62" s="16"/>
      <c r="BX62" s="16"/>
      <c r="BY62" s="16"/>
      <c r="BZ62" s="16"/>
      <c r="CA62" s="10"/>
      <c r="CB62" s="10"/>
      <c r="CC62" s="19"/>
    </row>
    <row r="63" spans="1:81" s="52" customFormat="1" ht="49.15" customHeight="1" x14ac:dyDescent="0.25">
      <c r="A63" s="1">
        <v>1</v>
      </c>
      <c r="B63" s="13" t="s">
        <v>1746</v>
      </c>
      <c r="C63" s="588"/>
      <c r="D63" s="589"/>
      <c r="E63" s="10" t="s">
        <v>98</v>
      </c>
      <c r="F63" s="13" t="s">
        <v>99</v>
      </c>
      <c r="G63" s="572"/>
      <c r="H63" s="573"/>
      <c r="I63" s="10" t="s">
        <v>238</v>
      </c>
      <c r="J63" s="13" t="s">
        <v>239</v>
      </c>
      <c r="K63" s="588"/>
      <c r="L63" s="589"/>
      <c r="M63" s="10" t="s">
        <v>240</v>
      </c>
      <c r="N63" s="23" t="s">
        <v>241</v>
      </c>
      <c r="O63" s="13" t="s">
        <v>242</v>
      </c>
      <c r="P63" s="10">
        <v>50</v>
      </c>
      <c r="Q63" s="1">
        <v>100</v>
      </c>
      <c r="R63" s="10" t="s">
        <v>262</v>
      </c>
      <c r="S63" s="13" t="s">
        <v>263</v>
      </c>
      <c r="T63" s="13" t="s">
        <v>264</v>
      </c>
      <c r="U63" s="1">
        <v>0</v>
      </c>
      <c r="V63" s="1">
        <v>100</v>
      </c>
      <c r="W63" s="1" t="s">
        <v>49</v>
      </c>
      <c r="X63" s="1"/>
      <c r="Y63" s="1" t="s">
        <v>246</v>
      </c>
      <c r="Z63" s="1">
        <v>22</v>
      </c>
      <c r="AA63" s="24"/>
      <c r="AB63" s="42" t="s">
        <v>1753</v>
      </c>
      <c r="AC63" s="162">
        <v>20</v>
      </c>
      <c r="AD63" s="156">
        <v>30</v>
      </c>
      <c r="AE63" s="156">
        <v>30</v>
      </c>
      <c r="AF63" s="156">
        <v>20</v>
      </c>
      <c r="AG63" s="377">
        <f t="shared" si="6"/>
        <v>100</v>
      </c>
      <c r="AH63" s="377" t="b">
        <f t="shared" si="3"/>
        <v>1</v>
      </c>
      <c r="AI63" s="68">
        <v>0</v>
      </c>
      <c r="AJ63" s="68">
        <v>20</v>
      </c>
      <c r="AK63" s="43">
        <v>20</v>
      </c>
      <c r="AL63" s="68">
        <v>20</v>
      </c>
      <c r="AM63" s="16">
        <f t="shared" si="4"/>
        <v>0.2</v>
      </c>
      <c r="AN63" s="162">
        <v>20</v>
      </c>
      <c r="AO63" s="68">
        <v>0</v>
      </c>
      <c r="AP63" s="68">
        <v>20</v>
      </c>
      <c r="AQ63" s="68"/>
      <c r="AR63" s="65">
        <f t="shared" si="9"/>
        <v>20</v>
      </c>
      <c r="AS63" s="21">
        <f>IFERROR(+AR63/AN63,0)</f>
        <v>1</v>
      </c>
      <c r="AT63" s="1">
        <f t="shared" si="1"/>
        <v>20</v>
      </c>
      <c r="AU63" s="31"/>
      <c r="AV63" s="31"/>
      <c r="AW63" s="31"/>
      <c r="AX63" s="16">
        <f t="shared" si="8"/>
        <v>0.2</v>
      </c>
      <c r="AY63" s="156">
        <v>30</v>
      </c>
      <c r="AZ63" s="76">
        <v>0</v>
      </c>
      <c r="BA63" s="31"/>
      <c r="BB63" s="31"/>
      <c r="BC63" s="31"/>
      <c r="BD63" s="16">
        <f t="shared" si="7"/>
        <v>0</v>
      </c>
      <c r="BE63" s="31"/>
      <c r="BF63" s="31"/>
      <c r="BG63" s="31"/>
      <c r="BH63" s="31"/>
      <c r="BI63" s="16"/>
      <c r="BJ63" s="16"/>
      <c r="BK63" s="31"/>
      <c r="BL63" s="31"/>
      <c r="BM63" s="31"/>
      <c r="BN63" s="31"/>
      <c r="BO63" s="16"/>
      <c r="BP63" s="31"/>
      <c r="BQ63" s="31"/>
      <c r="BR63" s="31"/>
      <c r="BS63" s="31"/>
      <c r="BT63" s="16"/>
      <c r="BU63" s="16"/>
      <c r="BV63" s="16"/>
      <c r="BW63" s="16"/>
      <c r="BX63" s="16"/>
      <c r="BY63" s="16"/>
      <c r="BZ63" s="16"/>
      <c r="CA63" s="10"/>
      <c r="CB63" s="10"/>
      <c r="CC63" s="19"/>
    </row>
    <row r="64" spans="1:81" s="52" customFormat="1" ht="49.15" customHeight="1" x14ac:dyDescent="0.25">
      <c r="A64" s="1">
        <v>1</v>
      </c>
      <c r="B64" s="13" t="s">
        <v>1746</v>
      </c>
      <c r="C64" s="588"/>
      <c r="D64" s="589"/>
      <c r="E64" s="10" t="s">
        <v>98</v>
      </c>
      <c r="F64" s="13" t="s">
        <v>99</v>
      </c>
      <c r="G64" s="572"/>
      <c r="H64" s="573"/>
      <c r="I64" s="10" t="s">
        <v>238</v>
      </c>
      <c r="J64" s="13" t="s">
        <v>239</v>
      </c>
      <c r="K64" s="588"/>
      <c r="L64" s="589"/>
      <c r="M64" s="10" t="s">
        <v>240</v>
      </c>
      <c r="N64" s="23" t="s">
        <v>241</v>
      </c>
      <c r="O64" s="13" t="s">
        <v>242</v>
      </c>
      <c r="P64" s="10">
        <v>50</v>
      </c>
      <c r="Q64" s="1">
        <v>100</v>
      </c>
      <c r="R64" s="10" t="s">
        <v>265</v>
      </c>
      <c r="S64" s="13" t="s">
        <v>266</v>
      </c>
      <c r="T64" s="13" t="s">
        <v>267</v>
      </c>
      <c r="U64" s="27">
        <v>0</v>
      </c>
      <c r="V64" s="27">
        <v>4</v>
      </c>
      <c r="W64" s="1" t="s">
        <v>49</v>
      </c>
      <c r="X64" s="1"/>
      <c r="Y64" s="1" t="s">
        <v>246</v>
      </c>
      <c r="Z64" s="1">
        <v>22</v>
      </c>
      <c r="AA64" s="24"/>
      <c r="AB64" s="42" t="s">
        <v>1753</v>
      </c>
      <c r="AC64" s="162">
        <v>1</v>
      </c>
      <c r="AD64" s="156">
        <v>1</v>
      </c>
      <c r="AE64" s="156">
        <v>1</v>
      </c>
      <c r="AF64" s="156">
        <v>1</v>
      </c>
      <c r="AG64" s="377">
        <f t="shared" si="6"/>
        <v>4</v>
      </c>
      <c r="AH64" s="377" t="b">
        <f t="shared" si="3"/>
        <v>1</v>
      </c>
      <c r="AI64" s="68">
        <v>0</v>
      </c>
      <c r="AJ64" s="68">
        <v>0</v>
      </c>
      <c r="AK64" s="43">
        <v>0</v>
      </c>
      <c r="AL64" s="68">
        <v>0</v>
      </c>
      <c r="AM64" s="16">
        <f t="shared" si="4"/>
        <v>0</v>
      </c>
      <c r="AN64" s="162">
        <v>1</v>
      </c>
      <c r="AO64" s="68">
        <v>0</v>
      </c>
      <c r="AP64" s="68">
        <v>0</v>
      </c>
      <c r="AQ64" s="68"/>
      <c r="AR64" s="65">
        <f t="shared" si="9"/>
        <v>0</v>
      </c>
      <c r="AS64" s="21">
        <f>IFERROR(+AR64/AN64,0)</f>
        <v>0</v>
      </c>
      <c r="AT64" s="1">
        <f t="shared" si="1"/>
        <v>0</v>
      </c>
      <c r="AU64" s="31"/>
      <c r="AV64" s="31"/>
      <c r="AW64" s="31"/>
      <c r="AX64" s="16">
        <f t="shared" si="8"/>
        <v>0</v>
      </c>
      <c r="AY64" s="156">
        <v>1</v>
      </c>
      <c r="AZ64" s="76">
        <v>0</v>
      </c>
      <c r="BA64" s="31"/>
      <c r="BB64" s="31"/>
      <c r="BC64" s="31"/>
      <c r="BD64" s="16">
        <f t="shared" si="7"/>
        <v>0</v>
      </c>
      <c r="BE64" s="31"/>
      <c r="BF64" s="31"/>
      <c r="BG64" s="31"/>
      <c r="BH64" s="31"/>
      <c r="BI64" s="16"/>
      <c r="BJ64" s="16"/>
      <c r="BK64" s="31"/>
      <c r="BL64" s="31"/>
      <c r="BM64" s="31"/>
      <c r="BN64" s="31"/>
      <c r="BO64" s="16"/>
      <c r="BP64" s="31"/>
      <c r="BQ64" s="31"/>
      <c r="BR64" s="31"/>
      <c r="BS64" s="31"/>
      <c r="BT64" s="16"/>
      <c r="BU64" s="16"/>
      <c r="BV64" s="16"/>
      <c r="BW64" s="16"/>
      <c r="BX64" s="16"/>
      <c r="BY64" s="16"/>
      <c r="BZ64" s="16"/>
      <c r="CA64" s="10"/>
      <c r="CB64" s="10"/>
      <c r="CC64" s="19"/>
    </row>
    <row r="65" spans="1:81" s="52" customFormat="1" ht="49.15" customHeight="1" x14ac:dyDescent="0.25">
      <c r="A65" s="1">
        <v>1</v>
      </c>
      <c r="B65" s="13" t="s">
        <v>1746</v>
      </c>
      <c r="C65" s="588"/>
      <c r="D65" s="589"/>
      <c r="E65" s="10" t="s">
        <v>98</v>
      </c>
      <c r="F65" s="13" t="s">
        <v>99</v>
      </c>
      <c r="G65" s="572"/>
      <c r="H65" s="573"/>
      <c r="I65" s="10" t="s">
        <v>238</v>
      </c>
      <c r="J65" s="13" t="s">
        <v>239</v>
      </c>
      <c r="K65" s="588"/>
      <c r="L65" s="589"/>
      <c r="M65" s="10" t="s">
        <v>240</v>
      </c>
      <c r="N65" s="23" t="s">
        <v>241</v>
      </c>
      <c r="O65" s="13" t="s">
        <v>242</v>
      </c>
      <c r="P65" s="10">
        <v>50</v>
      </c>
      <c r="Q65" s="1">
        <v>100</v>
      </c>
      <c r="R65" s="10" t="s">
        <v>268</v>
      </c>
      <c r="S65" s="13" t="s">
        <v>269</v>
      </c>
      <c r="T65" s="13" t="s">
        <v>270</v>
      </c>
      <c r="U65" s="27">
        <v>35</v>
      </c>
      <c r="V65" s="27">
        <v>35</v>
      </c>
      <c r="W65" s="1" t="s">
        <v>49</v>
      </c>
      <c r="X65" s="1"/>
      <c r="Y65" s="1" t="s">
        <v>246</v>
      </c>
      <c r="Z65" s="1">
        <v>22</v>
      </c>
      <c r="AA65" s="24"/>
      <c r="AB65" s="42" t="s">
        <v>1753</v>
      </c>
      <c r="AC65" s="162">
        <v>3</v>
      </c>
      <c r="AD65" s="156">
        <v>15</v>
      </c>
      <c r="AE65" s="156">
        <v>10</v>
      </c>
      <c r="AF65" s="156">
        <v>7</v>
      </c>
      <c r="AG65" s="377">
        <f t="shared" si="6"/>
        <v>35</v>
      </c>
      <c r="AH65" s="377" t="b">
        <f t="shared" si="3"/>
        <v>1</v>
      </c>
      <c r="AI65" s="68">
        <v>0</v>
      </c>
      <c r="AJ65" s="68">
        <v>5</v>
      </c>
      <c r="AK65" s="43">
        <v>10</v>
      </c>
      <c r="AL65" s="68">
        <v>10</v>
      </c>
      <c r="AM65" s="16">
        <f t="shared" si="4"/>
        <v>0.2857142857142857</v>
      </c>
      <c r="AN65" s="162">
        <v>3</v>
      </c>
      <c r="AO65" s="68">
        <v>0</v>
      </c>
      <c r="AP65" s="68">
        <v>3</v>
      </c>
      <c r="AQ65" s="68"/>
      <c r="AR65" s="65">
        <f t="shared" si="9"/>
        <v>10</v>
      </c>
      <c r="AS65" s="21">
        <v>1</v>
      </c>
      <c r="AT65" s="1">
        <f t="shared" si="1"/>
        <v>20</v>
      </c>
      <c r="AU65" s="31"/>
      <c r="AV65" s="31"/>
      <c r="AW65" s="31"/>
      <c r="AX65" s="16">
        <f t="shared" si="8"/>
        <v>0.5714285714285714</v>
      </c>
      <c r="AY65" s="156">
        <v>15</v>
      </c>
      <c r="AZ65" s="76">
        <v>10</v>
      </c>
      <c r="BA65" s="31"/>
      <c r="BB65" s="31"/>
      <c r="BC65" s="31"/>
      <c r="BD65" s="16">
        <f t="shared" si="7"/>
        <v>0.66666666666666663</v>
      </c>
      <c r="BE65" s="31"/>
      <c r="BF65" s="31"/>
      <c r="BG65" s="31"/>
      <c r="BH65" s="31"/>
      <c r="BI65" s="16"/>
      <c r="BJ65" s="16"/>
      <c r="BK65" s="31"/>
      <c r="BL65" s="31"/>
      <c r="BM65" s="31"/>
      <c r="BN65" s="31"/>
      <c r="BO65" s="16"/>
      <c r="BP65" s="31"/>
      <c r="BQ65" s="31"/>
      <c r="BR65" s="31"/>
      <c r="BS65" s="31"/>
      <c r="BT65" s="16"/>
      <c r="BU65" s="16"/>
      <c r="BV65" s="16"/>
      <c r="BW65" s="16"/>
      <c r="BX65" s="16"/>
      <c r="BY65" s="16"/>
      <c r="BZ65" s="16"/>
      <c r="CA65" s="10"/>
      <c r="CB65" s="10"/>
      <c r="CC65" s="19"/>
    </row>
    <row r="66" spans="1:81" s="52" customFormat="1" ht="49.15" customHeight="1" x14ac:dyDescent="0.25">
      <c r="A66" s="1">
        <v>1</v>
      </c>
      <c r="B66" s="13" t="s">
        <v>1746</v>
      </c>
      <c r="C66" s="588"/>
      <c r="D66" s="589"/>
      <c r="E66" s="10" t="s">
        <v>98</v>
      </c>
      <c r="F66" s="13" t="s">
        <v>99</v>
      </c>
      <c r="G66" s="572"/>
      <c r="H66" s="573"/>
      <c r="I66" s="10" t="s">
        <v>238</v>
      </c>
      <c r="J66" s="13" t="s">
        <v>239</v>
      </c>
      <c r="K66" s="588"/>
      <c r="L66" s="589"/>
      <c r="M66" s="10" t="s">
        <v>271</v>
      </c>
      <c r="N66" s="10" t="s">
        <v>272</v>
      </c>
      <c r="O66" s="13" t="s">
        <v>273</v>
      </c>
      <c r="P66" s="1">
        <v>0</v>
      </c>
      <c r="Q66" s="1">
        <v>100</v>
      </c>
      <c r="R66" s="10" t="s">
        <v>274</v>
      </c>
      <c r="S66" s="13" t="s">
        <v>275</v>
      </c>
      <c r="T66" s="13" t="s">
        <v>276</v>
      </c>
      <c r="U66" s="1">
        <v>30</v>
      </c>
      <c r="V66" s="1">
        <v>100</v>
      </c>
      <c r="W66" s="1" t="s">
        <v>49</v>
      </c>
      <c r="X66" s="1"/>
      <c r="Y66" s="1" t="s">
        <v>246</v>
      </c>
      <c r="Z66" s="1">
        <v>22</v>
      </c>
      <c r="AA66" s="24"/>
      <c r="AB66" s="42" t="s">
        <v>1753</v>
      </c>
      <c r="AC66" s="162">
        <v>20</v>
      </c>
      <c r="AD66" s="156">
        <v>20</v>
      </c>
      <c r="AE66" s="156">
        <v>15</v>
      </c>
      <c r="AF66" s="156">
        <v>15</v>
      </c>
      <c r="AG66" s="377">
        <f t="shared" si="6"/>
        <v>70</v>
      </c>
      <c r="AH66" s="377" t="b">
        <f t="shared" si="3"/>
        <v>0</v>
      </c>
      <c r="AI66" s="68">
        <v>10</v>
      </c>
      <c r="AJ66" s="68">
        <v>5</v>
      </c>
      <c r="AK66" s="43">
        <v>20</v>
      </c>
      <c r="AL66" s="68">
        <v>20</v>
      </c>
      <c r="AM66" s="16">
        <f t="shared" si="4"/>
        <v>0.2</v>
      </c>
      <c r="AN66" s="162">
        <v>20</v>
      </c>
      <c r="AO66" s="68">
        <v>10</v>
      </c>
      <c r="AP66" s="68">
        <v>5</v>
      </c>
      <c r="AQ66" s="68"/>
      <c r="AR66" s="65">
        <f t="shared" si="9"/>
        <v>20</v>
      </c>
      <c r="AS66" s="21">
        <f>IFERROR(+AR66/AN66,0)</f>
        <v>1</v>
      </c>
      <c r="AT66" s="1">
        <f t="shared" si="1"/>
        <v>20</v>
      </c>
      <c r="AU66" s="31"/>
      <c r="AV66" s="31"/>
      <c r="AW66" s="31"/>
      <c r="AX66" s="16">
        <f t="shared" si="8"/>
        <v>0.2</v>
      </c>
      <c r="AY66" s="156">
        <v>20</v>
      </c>
      <c r="AZ66" s="76">
        <v>0</v>
      </c>
      <c r="BA66" s="31"/>
      <c r="BB66" s="31"/>
      <c r="BC66" s="31"/>
      <c r="BD66" s="16">
        <f t="shared" si="7"/>
        <v>0</v>
      </c>
      <c r="BE66" s="31"/>
      <c r="BF66" s="31"/>
      <c r="BG66" s="31"/>
      <c r="BH66" s="31"/>
      <c r="BI66" s="16"/>
      <c r="BJ66" s="16"/>
      <c r="BK66" s="31"/>
      <c r="BL66" s="31"/>
      <c r="BM66" s="31"/>
      <c r="BN66" s="31"/>
      <c r="BO66" s="16"/>
      <c r="BP66" s="31"/>
      <c r="BQ66" s="31"/>
      <c r="BR66" s="31"/>
      <c r="BS66" s="31"/>
      <c r="BT66" s="16"/>
      <c r="BU66" s="16"/>
      <c r="BV66" s="16"/>
      <c r="BW66" s="16"/>
      <c r="BX66" s="16"/>
      <c r="BY66" s="16"/>
      <c r="BZ66" s="16"/>
      <c r="CA66" s="10"/>
      <c r="CB66" s="10"/>
      <c r="CC66" s="19"/>
    </row>
    <row r="67" spans="1:81" s="52" customFormat="1" ht="49.15" customHeight="1" x14ac:dyDescent="0.25">
      <c r="A67" s="1">
        <v>1</v>
      </c>
      <c r="B67" s="13" t="s">
        <v>1746</v>
      </c>
      <c r="C67" s="588"/>
      <c r="D67" s="589"/>
      <c r="E67" s="10" t="s">
        <v>98</v>
      </c>
      <c r="F67" s="13" t="s">
        <v>99</v>
      </c>
      <c r="G67" s="572"/>
      <c r="H67" s="573"/>
      <c r="I67" s="10" t="s">
        <v>238</v>
      </c>
      <c r="J67" s="13" t="s">
        <v>239</v>
      </c>
      <c r="K67" s="588"/>
      <c r="L67" s="589"/>
      <c r="M67" s="10" t="s">
        <v>277</v>
      </c>
      <c r="N67" s="10" t="s">
        <v>278</v>
      </c>
      <c r="O67" s="13" t="s">
        <v>279</v>
      </c>
      <c r="P67" s="26">
        <v>1</v>
      </c>
      <c r="Q67" s="26">
        <v>1</v>
      </c>
      <c r="R67" s="10" t="s">
        <v>280</v>
      </c>
      <c r="S67" s="13" t="s">
        <v>281</v>
      </c>
      <c r="T67" s="13" t="s">
        <v>282</v>
      </c>
      <c r="U67" s="1">
        <v>50</v>
      </c>
      <c r="V67" s="1">
        <v>180</v>
      </c>
      <c r="W67" s="1" t="s">
        <v>49</v>
      </c>
      <c r="X67" s="1"/>
      <c r="Y67" s="1" t="s">
        <v>283</v>
      </c>
      <c r="Z67" s="1">
        <v>22</v>
      </c>
      <c r="AA67" s="24"/>
      <c r="AB67" s="42" t="s">
        <v>1753</v>
      </c>
      <c r="AC67" s="162">
        <v>20</v>
      </c>
      <c r="AD67" s="156">
        <v>50</v>
      </c>
      <c r="AE67" s="156">
        <v>50</v>
      </c>
      <c r="AF67" s="156">
        <v>60</v>
      </c>
      <c r="AG67" s="377">
        <f t="shared" si="6"/>
        <v>180</v>
      </c>
      <c r="AH67" s="377" t="b">
        <f t="shared" si="3"/>
        <v>1</v>
      </c>
      <c r="AI67" s="68">
        <v>6</v>
      </c>
      <c r="AJ67" s="68">
        <v>4</v>
      </c>
      <c r="AK67" s="43">
        <v>20</v>
      </c>
      <c r="AL67" s="68">
        <v>20</v>
      </c>
      <c r="AM67" s="16">
        <f t="shared" si="4"/>
        <v>0.1111111111111111</v>
      </c>
      <c r="AN67" s="162">
        <v>20</v>
      </c>
      <c r="AO67" s="68">
        <v>6</v>
      </c>
      <c r="AP67" s="72">
        <v>4</v>
      </c>
      <c r="AQ67" s="72"/>
      <c r="AR67" s="65">
        <f t="shared" si="9"/>
        <v>20</v>
      </c>
      <c r="AS67" s="21">
        <f>IFERROR(+AR67/AN67,0)</f>
        <v>1</v>
      </c>
      <c r="AT67" s="1">
        <f t="shared" si="1"/>
        <v>36</v>
      </c>
      <c r="AU67" s="31"/>
      <c r="AV67" s="31"/>
      <c r="AW67" s="31"/>
      <c r="AX67" s="16">
        <f t="shared" si="8"/>
        <v>0.2</v>
      </c>
      <c r="AY67" s="156">
        <v>50</v>
      </c>
      <c r="AZ67" s="76">
        <v>16</v>
      </c>
      <c r="BA67" s="31"/>
      <c r="BB67" s="31"/>
      <c r="BC67" s="31"/>
      <c r="BD67" s="16">
        <f t="shared" si="7"/>
        <v>0.32</v>
      </c>
      <c r="BE67" s="31"/>
      <c r="BF67" s="31"/>
      <c r="BG67" s="31"/>
      <c r="BH67" s="31"/>
      <c r="BI67" s="16"/>
      <c r="BJ67" s="16"/>
      <c r="BK67" s="31"/>
      <c r="BL67" s="31"/>
      <c r="BM67" s="31"/>
      <c r="BN67" s="31"/>
      <c r="BO67" s="16"/>
      <c r="BP67" s="31"/>
      <c r="BQ67" s="31"/>
      <c r="BR67" s="31"/>
      <c r="BS67" s="31"/>
      <c r="BT67" s="16"/>
      <c r="BU67" s="16"/>
      <c r="BV67" s="16"/>
      <c r="BW67" s="16"/>
      <c r="BX67" s="16"/>
      <c r="BY67" s="16"/>
      <c r="BZ67" s="16"/>
      <c r="CA67" s="10"/>
      <c r="CB67" s="10"/>
      <c r="CC67" s="19"/>
    </row>
    <row r="68" spans="1:81" s="52" customFormat="1" ht="49.15" customHeight="1" x14ac:dyDescent="0.25">
      <c r="A68" s="1">
        <v>1</v>
      </c>
      <c r="B68" s="13" t="s">
        <v>1746</v>
      </c>
      <c r="C68" s="588"/>
      <c r="D68" s="589"/>
      <c r="E68" s="10" t="s">
        <v>98</v>
      </c>
      <c r="F68" s="13" t="s">
        <v>99</v>
      </c>
      <c r="G68" s="572"/>
      <c r="H68" s="573"/>
      <c r="I68" s="10" t="s">
        <v>238</v>
      </c>
      <c r="J68" s="13" t="s">
        <v>239</v>
      </c>
      <c r="K68" s="588"/>
      <c r="L68" s="589"/>
      <c r="M68" s="10" t="s">
        <v>277</v>
      </c>
      <c r="N68" s="10" t="s">
        <v>279</v>
      </c>
      <c r="O68" s="13" t="s">
        <v>279</v>
      </c>
      <c r="P68" s="26">
        <v>1</v>
      </c>
      <c r="Q68" s="26">
        <v>1</v>
      </c>
      <c r="R68" s="10" t="s">
        <v>284</v>
      </c>
      <c r="S68" s="13" t="s">
        <v>285</v>
      </c>
      <c r="T68" s="13" t="s">
        <v>286</v>
      </c>
      <c r="U68" s="1">
        <v>224</v>
      </c>
      <c r="V68" s="1">
        <v>226</v>
      </c>
      <c r="W68" s="1" t="s">
        <v>78</v>
      </c>
      <c r="X68" s="1"/>
      <c r="Y68" s="1" t="s">
        <v>246</v>
      </c>
      <c r="Z68" s="1">
        <v>22</v>
      </c>
      <c r="AA68" s="24"/>
      <c r="AB68" s="42" t="s">
        <v>1753</v>
      </c>
      <c r="AC68" s="162">
        <v>226</v>
      </c>
      <c r="AD68" s="156">
        <v>226</v>
      </c>
      <c r="AE68" s="156">
        <v>226</v>
      </c>
      <c r="AF68" s="156">
        <v>226</v>
      </c>
      <c r="AG68" s="377">
        <f t="shared" si="6"/>
        <v>904</v>
      </c>
      <c r="AH68" s="377" t="b">
        <f t="shared" si="3"/>
        <v>0</v>
      </c>
      <c r="AI68" s="68">
        <v>226</v>
      </c>
      <c r="AJ68" s="68">
        <v>226</v>
      </c>
      <c r="AK68" s="43">
        <v>226</v>
      </c>
      <c r="AL68" s="68">
        <v>226</v>
      </c>
      <c r="AM68" s="16">
        <f t="shared" si="4"/>
        <v>1</v>
      </c>
      <c r="AN68" s="162">
        <v>226</v>
      </c>
      <c r="AO68" s="68">
        <v>226</v>
      </c>
      <c r="AP68" s="68">
        <v>226</v>
      </c>
      <c r="AQ68" s="68"/>
      <c r="AR68" s="65">
        <f t="shared" si="9"/>
        <v>226</v>
      </c>
      <c r="AS68" s="21">
        <f>IFERROR(+AR68/AN68,0)</f>
        <v>1</v>
      </c>
      <c r="AT68" s="1">
        <f t="shared" si="1"/>
        <v>113</v>
      </c>
      <c r="AU68" s="31"/>
      <c r="AV68" s="31"/>
      <c r="AW68" s="31"/>
      <c r="AX68" s="16">
        <f t="shared" si="8"/>
        <v>0.5</v>
      </c>
      <c r="AY68" s="156">
        <v>226</v>
      </c>
      <c r="AZ68" s="76">
        <v>226</v>
      </c>
      <c r="BA68" s="31"/>
      <c r="BB68" s="31"/>
      <c r="BC68" s="31"/>
      <c r="BD68" s="16">
        <f t="shared" si="7"/>
        <v>1</v>
      </c>
      <c r="BE68" s="31"/>
      <c r="BF68" s="31"/>
      <c r="BG68" s="31"/>
      <c r="BH68" s="31"/>
      <c r="BI68" s="16"/>
      <c r="BJ68" s="16"/>
      <c r="BK68" s="31"/>
      <c r="BL68" s="31"/>
      <c r="BM68" s="31"/>
      <c r="BN68" s="31"/>
      <c r="BO68" s="16"/>
      <c r="BP68" s="31"/>
      <c r="BQ68" s="31"/>
      <c r="BR68" s="31"/>
      <c r="BS68" s="31"/>
      <c r="BT68" s="16"/>
      <c r="BU68" s="16"/>
      <c r="BV68" s="16"/>
      <c r="BW68" s="16"/>
      <c r="BX68" s="16"/>
      <c r="BY68" s="16"/>
      <c r="BZ68" s="16"/>
      <c r="CA68" s="10"/>
      <c r="CB68" s="10"/>
      <c r="CC68" s="19"/>
    </row>
    <row r="69" spans="1:81" s="52" customFormat="1" ht="49.15" customHeight="1" x14ac:dyDescent="0.25">
      <c r="A69" s="1">
        <v>1</v>
      </c>
      <c r="B69" s="13" t="s">
        <v>1746</v>
      </c>
      <c r="C69" s="588"/>
      <c r="D69" s="589"/>
      <c r="E69" s="10" t="s">
        <v>98</v>
      </c>
      <c r="F69" s="13" t="s">
        <v>99</v>
      </c>
      <c r="G69" s="572"/>
      <c r="H69" s="573"/>
      <c r="I69" s="10" t="s">
        <v>238</v>
      </c>
      <c r="J69" s="13" t="s">
        <v>239</v>
      </c>
      <c r="K69" s="588"/>
      <c r="L69" s="589"/>
      <c r="M69" s="10" t="s">
        <v>277</v>
      </c>
      <c r="N69" s="10" t="s">
        <v>279</v>
      </c>
      <c r="O69" s="13" t="s">
        <v>279</v>
      </c>
      <c r="P69" s="26">
        <v>1</v>
      </c>
      <c r="Q69" s="26">
        <v>1</v>
      </c>
      <c r="R69" s="10" t="s">
        <v>287</v>
      </c>
      <c r="S69" s="13" t="s">
        <v>288</v>
      </c>
      <c r="T69" s="13" t="s">
        <v>288</v>
      </c>
      <c r="U69" s="1">
        <v>0</v>
      </c>
      <c r="V69" s="26">
        <v>0.5</v>
      </c>
      <c r="W69" s="1" t="s">
        <v>78</v>
      </c>
      <c r="X69" s="1"/>
      <c r="Y69" s="1" t="s">
        <v>246</v>
      </c>
      <c r="Z69" s="1">
        <v>22</v>
      </c>
      <c r="AA69" s="24"/>
      <c r="AB69" s="42" t="s">
        <v>1753</v>
      </c>
      <c r="AC69" s="162">
        <v>0.5</v>
      </c>
      <c r="AD69" s="156">
        <v>0.5</v>
      </c>
      <c r="AE69" s="156">
        <v>0.5</v>
      </c>
      <c r="AF69" s="156">
        <v>0.5</v>
      </c>
      <c r="AG69" s="377">
        <f t="shared" si="6"/>
        <v>2</v>
      </c>
      <c r="AH69" s="377" t="b">
        <f t="shared" si="3"/>
        <v>0</v>
      </c>
      <c r="AI69" s="73">
        <v>1</v>
      </c>
      <c r="AJ69" s="73">
        <v>0.5</v>
      </c>
      <c r="AK69" s="368">
        <v>1</v>
      </c>
      <c r="AL69" s="73">
        <v>1</v>
      </c>
      <c r="AM69" s="16">
        <v>1</v>
      </c>
      <c r="AN69" s="162">
        <v>0.5</v>
      </c>
      <c r="AO69" s="70">
        <v>0.5</v>
      </c>
      <c r="AP69" s="70">
        <v>0.5</v>
      </c>
      <c r="AQ69" s="70"/>
      <c r="AR69" s="65">
        <f t="shared" si="9"/>
        <v>1</v>
      </c>
      <c r="AS69" s="21">
        <v>1</v>
      </c>
      <c r="AT69" s="1">
        <f t="shared" si="1"/>
        <v>0.375</v>
      </c>
      <c r="AU69" s="31"/>
      <c r="AV69" s="31"/>
      <c r="AW69" s="31"/>
      <c r="AX69" s="16">
        <f t="shared" si="8"/>
        <v>0.75</v>
      </c>
      <c r="AY69" s="156">
        <v>0.5</v>
      </c>
      <c r="AZ69" s="76">
        <v>0.5</v>
      </c>
      <c r="BA69" s="31"/>
      <c r="BB69" s="31"/>
      <c r="BC69" s="31"/>
      <c r="BD69" s="16">
        <f t="shared" si="7"/>
        <v>1</v>
      </c>
      <c r="BE69" s="31"/>
      <c r="BF69" s="31"/>
      <c r="BG69" s="31"/>
      <c r="BH69" s="31"/>
      <c r="BI69" s="16"/>
      <c r="BJ69" s="16"/>
      <c r="BK69" s="31"/>
      <c r="BL69" s="31"/>
      <c r="BM69" s="31"/>
      <c r="BN69" s="31"/>
      <c r="BO69" s="16"/>
      <c r="BP69" s="31"/>
      <c r="BQ69" s="31"/>
      <c r="BR69" s="31"/>
      <c r="BS69" s="31"/>
      <c r="BT69" s="16"/>
      <c r="BU69" s="16"/>
      <c r="BV69" s="16"/>
      <c r="BW69" s="16"/>
      <c r="BX69" s="16"/>
      <c r="BY69" s="16"/>
      <c r="BZ69" s="16"/>
      <c r="CA69" s="10"/>
      <c r="CB69" s="10"/>
      <c r="CC69" s="19"/>
    </row>
    <row r="70" spans="1:81" s="52" customFormat="1" ht="49.15" customHeight="1" x14ac:dyDescent="0.25">
      <c r="A70" s="1">
        <v>1</v>
      </c>
      <c r="B70" s="13" t="s">
        <v>1746</v>
      </c>
      <c r="C70" s="588"/>
      <c r="D70" s="589"/>
      <c r="E70" s="10" t="s">
        <v>98</v>
      </c>
      <c r="F70" s="13" t="s">
        <v>99</v>
      </c>
      <c r="G70" s="568"/>
      <c r="H70" s="570"/>
      <c r="I70" s="10" t="s">
        <v>238</v>
      </c>
      <c r="J70" s="13" t="s">
        <v>239</v>
      </c>
      <c r="K70" s="588"/>
      <c r="L70" s="589"/>
      <c r="M70" s="10" t="s">
        <v>277</v>
      </c>
      <c r="N70" s="10" t="s">
        <v>289</v>
      </c>
      <c r="O70" s="13" t="s">
        <v>279</v>
      </c>
      <c r="P70" s="26">
        <v>1</v>
      </c>
      <c r="Q70" s="26">
        <v>1</v>
      </c>
      <c r="R70" s="10" t="s">
        <v>290</v>
      </c>
      <c r="S70" s="13" t="s">
        <v>291</v>
      </c>
      <c r="T70" s="13" t="s">
        <v>292</v>
      </c>
      <c r="U70" s="1">
        <v>4</v>
      </c>
      <c r="V70" s="1">
        <v>4</v>
      </c>
      <c r="W70" s="1" t="s">
        <v>78</v>
      </c>
      <c r="X70" s="1"/>
      <c r="Y70" s="1" t="s">
        <v>246</v>
      </c>
      <c r="Z70" s="1">
        <v>22</v>
      </c>
      <c r="AA70" s="24"/>
      <c r="AB70" s="42" t="s">
        <v>1753</v>
      </c>
      <c r="AC70" s="162">
        <v>1</v>
      </c>
      <c r="AD70" s="156">
        <v>1</v>
      </c>
      <c r="AE70" s="156">
        <v>1</v>
      </c>
      <c r="AF70" s="156">
        <v>1</v>
      </c>
      <c r="AG70" s="377">
        <f t="shared" si="6"/>
        <v>4</v>
      </c>
      <c r="AH70" s="377" t="b">
        <f t="shared" si="3"/>
        <v>1</v>
      </c>
      <c r="AI70" s="68">
        <v>1</v>
      </c>
      <c r="AJ70" s="68">
        <v>1</v>
      </c>
      <c r="AK70" s="43">
        <v>1</v>
      </c>
      <c r="AL70" s="68">
        <v>1</v>
      </c>
      <c r="AM70" s="16">
        <f t="shared" si="4"/>
        <v>0.25</v>
      </c>
      <c r="AN70" s="162">
        <v>1</v>
      </c>
      <c r="AO70" s="68">
        <v>1</v>
      </c>
      <c r="AP70" s="68">
        <v>1</v>
      </c>
      <c r="AQ70" s="68"/>
      <c r="AR70" s="65">
        <f t="shared" si="9"/>
        <v>1</v>
      </c>
      <c r="AS70" s="21">
        <f>IFERROR(+AR70/AN70,0)</f>
        <v>1</v>
      </c>
      <c r="AT70" s="1">
        <f t="shared" si="1"/>
        <v>1.5</v>
      </c>
      <c r="AU70" s="31"/>
      <c r="AV70" s="31"/>
      <c r="AW70" s="31"/>
      <c r="AX70" s="16">
        <f t="shared" si="8"/>
        <v>0.375</v>
      </c>
      <c r="AY70" s="156">
        <v>1</v>
      </c>
      <c r="AZ70" s="76">
        <v>5</v>
      </c>
      <c r="BA70" s="31"/>
      <c r="BB70" s="31"/>
      <c r="BC70" s="31"/>
      <c r="BD70" s="16">
        <f t="shared" si="7"/>
        <v>1</v>
      </c>
      <c r="BE70" s="31"/>
      <c r="BF70" s="31"/>
      <c r="BG70" s="31"/>
      <c r="BH70" s="31"/>
      <c r="BI70" s="16"/>
      <c r="BJ70" s="16"/>
      <c r="BK70" s="31"/>
      <c r="BL70" s="31"/>
      <c r="BM70" s="31"/>
      <c r="BN70" s="31"/>
      <c r="BO70" s="16"/>
      <c r="BP70" s="31"/>
      <c r="BQ70" s="31"/>
      <c r="BR70" s="31"/>
      <c r="BS70" s="31"/>
      <c r="BT70" s="16"/>
      <c r="BU70" s="16"/>
      <c r="BV70" s="16"/>
      <c r="BW70" s="16"/>
      <c r="BX70" s="16"/>
      <c r="BY70" s="16"/>
      <c r="BZ70" s="16"/>
      <c r="CA70" s="10"/>
      <c r="CB70" s="10"/>
      <c r="CC70" s="19"/>
    </row>
    <row r="71" spans="1:81" s="52" customFormat="1" ht="78.75" x14ac:dyDescent="0.25">
      <c r="A71" s="1">
        <v>1</v>
      </c>
      <c r="B71" s="13" t="s">
        <v>1746</v>
      </c>
      <c r="C71" s="588"/>
      <c r="D71" s="589"/>
      <c r="E71" s="10" t="s">
        <v>293</v>
      </c>
      <c r="F71" s="13" t="s">
        <v>294</v>
      </c>
      <c r="G71" s="588">
        <f>+AVERAGEIF(F14:F567,F71,AX14:AX567)</f>
        <v>0.28276062546652453</v>
      </c>
      <c r="H71" s="589">
        <f>+AVERAGEIF(F14:F567,F71,BD14:BD567)</f>
        <v>0.16094372529261297</v>
      </c>
      <c r="I71" s="10" t="s">
        <v>295</v>
      </c>
      <c r="J71" s="13" t="s">
        <v>296</v>
      </c>
      <c r="K71" s="567">
        <f>AVERAGE(AX71:AX76)</f>
        <v>0.30396365309408785</v>
      </c>
      <c r="L71" s="569">
        <f>AVERAGE(BD71:BD76)</f>
        <v>8.8888888888888889E-3</v>
      </c>
      <c r="M71" s="10" t="s">
        <v>297</v>
      </c>
      <c r="N71" s="23" t="s">
        <v>298</v>
      </c>
      <c r="O71" s="13" t="s">
        <v>298</v>
      </c>
      <c r="P71" s="10" t="s">
        <v>299</v>
      </c>
      <c r="Q71" s="10" t="s">
        <v>299</v>
      </c>
      <c r="R71" s="10" t="s">
        <v>300</v>
      </c>
      <c r="S71" s="13" t="s">
        <v>301</v>
      </c>
      <c r="T71" s="527" t="s">
        <v>1930</v>
      </c>
      <c r="U71" s="1"/>
      <c r="V71" s="26">
        <v>1</v>
      </c>
      <c r="W71" s="1" t="s">
        <v>78</v>
      </c>
      <c r="X71" s="1"/>
      <c r="Y71" s="1" t="s">
        <v>302</v>
      </c>
      <c r="Z71" s="1" t="s">
        <v>303</v>
      </c>
      <c r="AA71" s="24"/>
      <c r="AB71" s="10" t="s">
        <v>1762</v>
      </c>
      <c r="AC71" s="403">
        <v>1</v>
      </c>
      <c r="AD71" s="453">
        <v>1</v>
      </c>
      <c r="AE71" s="156">
        <v>1</v>
      </c>
      <c r="AF71" s="156">
        <v>1</v>
      </c>
      <c r="AG71" s="377">
        <f t="shared" si="6"/>
        <v>4</v>
      </c>
      <c r="AH71" s="377" t="b">
        <f t="shared" si="3"/>
        <v>0</v>
      </c>
      <c r="AI71" s="28">
        <v>0.2</v>
      </c>
      <c r="AJ71" s="28">
        <v>0.08</v>
      </c>
      <c r="AK71" s="28">
        <v>0.75</v>
      </c>
      <c r="AL71" s="28">
        <v>0.75</v>
      </c>
      <c r="AM71" s="16">
        <f>+AL71/V71</f>
        <v>0.75</v>
      </c>
      <c r="AN71" s="162">
        <v>1</v>
      </c>
      <c r="AO71" s="28">
        <v>0.2</v>
      </c>
      <c r="AP71" s="28">
        <v>0.08</v>
      </c>
      <c r="AQ71" s="28"/>
      <c r="AR71" s="28">
        <f>AL71</f>
        <v>0.75</v>
      </c>
      <c r="AS71" s="21">
        <f>IFERROR(+AR71/AN71,0)</f>
        <v>0.75</v>
      </c>
      <c r="AT71" s="1">
        <f t="shared" si="1"/>
        <v>0.1875</v>
      </c>
      <c r="AU71" s="31"/>
      <c r="AV71" s="31"/>
      <c r="AW71" s="31"/>
      <c r="AX71" s="16">
        <f t="shared" si="8"/>
        <v>0.1875</v>
      </c>
      <c r="AY71" s="453">
        <v>1</v>
      </c>
      <c r="AZ71" s="371">
        <v>0</v>
      </c>
      <c r="BA71" s="31"/>
      <c r="BB71" s="31"/>
      <c r="BC71" s="31"/>
      <c r="BD71" s="16">
        <f t="shared" si="7"/>
        <v>0</v>
      </c>
      <c r="BE71" s="31"/>
      <c r="BF71" s="31"/>
      <c r="BG71" s="31"/>
      <c r="BH71" s="31"/>
      <c r="BI71" s="16"/>
      <c r="BJ71" s="16"/>
      <c r="BK71" s="31"/>
      <c r="BL71" s="31"/>
      <c r="BM71" s="31"/>
      <c r="BN71" s="31"/>
      <c r="BO71" s="16"/>
      <c r="BP71" s="31"/>
      <c r="BQ71" s="31"/>
      <c r="BR71" s="31"/>
      <c r="BS71" s="31"/>
      <c r="BT71" s="16"/>
      <c r="BU71" s="16"/>
      <c r="BV71" s="16"/>
      <c r="BW71" s="16"/>
      <c r="BX71" s="16"/>
      <c r="BY71" s="16"/>
      <c r="BZ71" s="16"/>
      <c r="CA71" s="26"/>
      <c r="CB71" s="26"/>
      <c r="CC71" s="1"/>
    </row>
    <row r="72" spans="1:81" s="52" customFormat="1" ht="78.75" x14ac:dyDescent="0.25">
      <c r="A72" s="1">
        <v>1</v>
      </c>
      <c r="B72" s="13" t="s">
        <v>1746</v>
      </c>
      <c r="C72" s="588"/>
      <c r="D72" s="589"/>
      <c r="E72" s="10" t="s">
        <v>293</v>
      </c>
      <c r="F72" s="13" t="s">
        <v>294</v>
      </c>
      <c r="G72" s="588"/>
      <c r="H72" s="589"/>
      <c r="I72" s="10" t="s">
        <v>295</v>
      </c>
      <c r="J72" s="13" t="s">
        <v>296</v>
      </c>
      <c r="K72" s="572"/>
      <c r="L72" s="573"/>
      <c r="M72" s="10" t="s">
        <v>297</v>
      </c>
      <c r="N72" s="23" t="s">
        <v>298</v>
      </c>
      <c r="O72" s="13" t="s">
        <v>298</v>
      </c>
      <c r="P72" s="10" t="s">
        <v>304</v>
      </c>
      <c r="Q72" s="10" t="s">
        <v>304</v>
      </c>
      <c r="R72" s="10" t="s">
        <v>305</v>
      </c>
      <c r="S72" s="13" t="s">
        <v>306</v>
      </c>
      <c r="T72" s="527" t="s">
        <v>306</v>
      </c>
      <c r="U72" s="1"/>
      <c r="V72" s="27">
        <v>45</v>
      </c>
      <c r="W72" s="1" t="s">
        <v>78</v>
      </c>
      <c r="X72" s="1"/>
      <c r="Y72" s="1"/>
      <c r="Z72" s="1"/>
      <c r="AA72" s="24"/>
      <c r="AB72" s="10" t="s">
        <v>1762</v>
      </c>
      <c r="AC72" s="162">
        <v>45</v>
      </c>
      <c r="AD72" s="156">
        <v>45</v>
      </c>
      <c r="AE72" s="156">
        <v>45</v>
      </c>
      <c r="AF72" s="156">
        <v>45</v>
      </c>
      <c r="AG72" s="377">
        <f t="shared" si="6"/>
        <v>180</v>
      </c>
      <c r="AH72" s="377" t="b">
        <f t="shared" si="3"/>
        <v>0</v>
      </c>
      <c r="AI72" s="28">
        <v>0.17</v>
      </c>
      <c r="AJ72" s="28">
        <v>0.17</v>
      </c>
      <c r="AK72" s="28">
        <v>0.45</v>
      </c>
      <c r="AL72" s="28">
        <v>0.45</v>
      </c>
      <c r="AM72" s="16">
        <f t="shared" si="4"/>
        <v>0.01</v>
      </c>
      <c r="AN72" s="162">
        <v>45</v>
      </c>
      <c r="AO72" s="28">
        <v>0.17</v>
      </c>
      <c r="AP72" s="28">
        <v>0.17</v>
      </c>
      <c r="AQ72" s="28"/>
      <c r="AR72" s="310">
        <v>45</v>
      </c>
      <c r="AS72" s="21">
        <f>IFERROR(+AR72/AN72,0)</f>
        <v>1</v>
      </c>
      <c r="AT72" s="1">
        <f t="shared" si="1"/>
        <v>0.61250000000000004</v>
      </c>
      <c r="AU72" s="31"/>
      <c r="AV72" s="31"/>
      <c r="AW72" s="31"/>
      <c r="AX72" s="16">
        <f t="shared" si="8"/>
        <v>1.3611111111111112E-2</v>
      </c>
      <c r="AY72" s="156">
        <v>45</v>
      </c>
      <c r="AZ72" s="371">
        <v>2</v>
      </c>
      <c r="BA72" s="31"/>
      <c r="BB72" s="31"/>
      <c r="BC72" s="31"/>
      <c r="BD72" s="16">
        <f t="shared" si="7"/>
        <v>4.4444444444444446E-2</v>
      </c>
      <c r="BE72" s="31"/>
      <c r="BF72" s="31"/>
      <c r="BG72" s="31"/>
      <c r="BH72" s="31"/>
      <c r="BI72" s="16"/>
      <c r="BJ72" s="16"/>
      <c r="BK72" s="31"/>
      <c r="BL72" s="31"/>
      <c r="BM72" s="31"/>
      <c r="BN72" s="31"/>
      <c r="BO72" s="16"/>
      <c r="BP72" s="31"/>
      <c r="BQ72" s="31"/>
      <c r="BR72" s="31"/>
      <c r="BS72" s="31"/>
      <c r="BT72" s="16"/>
      <c r="BU72" s="16"/>
      <c r="BV72" s="16"/>
      <c r="BW72" s="16"/>
      <c r="BX72" s="16"/>
      <c r="BY72" s="16"/>
      <c r="BZ72" s="16"/>
      <c r="CA72" s="27"/>
      <c r="CB72" s="27"/>
      <c r="CC72" s="1"/>
    </row>
    <row r="73" spans="1:81" s="52" customFormat="1" ht="78.75" x14ac:dyDescent="0.25">
      <c r="A73" s="1">
        <v>1</v>
      </c>
      <c r="B73" s="13" t="s">
        <v>1746</v>
      </c>
      <c r="C73" s="588"/>
      <c r="D73" s="589"/>
      <c r="E73" s="10" t="s">
        <v>293</v>
      </c>
      <c r="F73" s="13" t="s">
        <v>294</v>
      </c>
      <c r="G73" s="588"/>
      <c r="H73" s="589"/>
      <c r="I73" s="10" t="s">
        <v>295</v>
      </c>
      <c r="J73" s="13" t="s">
        <v>296</v>
      </c>
      <c r="K73" s="572"/>
      <c r="L73" s="573"/>
      <c r="M73" s="10" t="s">
        <v>297</v>
      </c>
      <c r="N73" s="23" t="s">
        <v>298</v>
      </c>
      <c r="O73" s="13" t="s">
        <v>298</v>
      </c>
      <c r="P73" s="10" t="s">
        <v>307</v>
      </c>
      <c r="Q73" s="10" t="s">
        <v>307</v>
      </c>
      <c r="R73" s="10" t="s">
        <v>308</v>
      </c>
      <c r="S73" s="13" t="s">
        <v>309</v>
      </c>
      <c r="T73" s="527" t="s">
        <v>309</v>
      </c>
      <c r="U73" s="1"/>
      <c r="V73" s="1">
        <v>1</v>
      </c>
      <c r="W73" s="10" t="s">
        <v>49</v>
      </c>
      <c r="X73" s="1"/>
      <c r="Y73" s="1"/>
      <c r="Z73" s="1"/>
      <c r="AA73" s="24"/>
      <c r="AB73" s="10" t="s">
        <v>1762</v>
      </c>
      <c r="AC73" s="162">
        <v>1</v>
      </c>
      <c r="AD73" s="156"/>
      <c r="AE73" s="156"/>
      <c r="AF73" s="156"/>
      <c r="AG73" s="377">
        <f t="shared" si="6"/>
        <v>1</v>
      </c>
      <c r="AH73" s="377" t="b">
        <f t="shared" si="3"/>
        <v>1</v>
      </c>
      <c r="AI73" s="29">
        <v>0</v>
      </c>
      <c r="AJ73" s="29">
        <v>1</v>
      </c>
      <c r="AK73" s="29">
        <v>1</v>
      </c>
      <c r="AL73" s="29">
        <v>1</v>
      </c>
      <c r="AM73" s="16">
        <f t="shared" si="4"/>
        <v>1</v>
      </c>
      <c r="AN73" s="162">
        <v>1</v>
      </c>
      <c r="AO73" s="29">
        <v>0</v>
      </c>
      <c r="AP73" s="29">
        <v>1</v>
      </c>
      <c r="AQ73" s="29"/>
      <c r="AR73" s="311">
        <f t="shared" ref="AR73:AR133" si="10">AL73</f>
        <v>1</v>
      </c>
      <c r="AS73" s="21">
        <f>IFERROR(+AP73/AN73,0)</f>
        <v>1</v>
      </c>
      <c r="AT73" s="1">
        <f t="shared" si="1"/>
        <v>1</v>
      </c>
      <c r="AU73" s="31"/>
      <c r="AV73" s="31"/>
      <c r="AW73" s="31"/>
      <c r="AX73" s="16">
        <f t="shared" si="8"/>
        <v>1</v>
      </c>
      <c r="AY73" s="156" t="s">
        <v>310</v>
      </c>
      <c r="AZ73" s="371">
        <v>0</v>
      </c>
      <c r="BA73" s="31"/>
      <c r="BB73" s="31"/>
      <c r="BC73" s="31"/>
      <c r="BD73" s="16" t="str">
        <f t="shared" si="7"/>
        <v>NP</v>
      </c>
      <c r="BE73" s="31"/>
      <c r="BF73" s="31"/>
      <c r="BG73" s="31"/>
      <c r="BH73" s="31"/>
      <c r="BI73" s="16"/>
      <c r="BJ73" s="16"/>
      <c r="BK73" s="31"/>
      <c r="BL73" s="31"/>
      <c r="BM73" s="31"/>
      <c r="BN73" s="31"/>
      <c r="BO73" s="16"/>
      <c r="BP73" s="31"/>
      <c r="BQ73" s="31"/>
      <c r="BR73" s="31"/>
      <c r="BS73" s="31"/>
      <c r="BT73" s="16"/>
      <c r="BU73" s="16"/>
      <c r="BV73" s="16"/>
      <c r="BW73" s="16"/>
      <c r="BX73" s="16"/>
      <c r="BY73" s="16"/>
      <c r="BZ73" s="16"/>
      <c r="CA73" s="1"/>
      <c r="CB73" s="1"/>
      <c r="CC73" s="1"/>
    </row>
    <row r="74" spans="1:81" s="52" customFormat="1" ht="78.75" x14ac:dyDescent="0.25">
      <c r="A74" s="1">
        <v>1</v>
      </c>
      <c r="B74" s="13" t="s">
        <v>1746</v>
      </c>
      <c r="C74" s="588"/>
      <c r="D74" s="589"/>
      <c r="E74" s="10" t="s">
        <v>293</v>
      </c>
      <c r="F74" s="13" t="s">
        <v>294</v>
      </c>
      <c r="G74" s="588"/>
      <c r="H74" s="589"/>
      <c r="I74" s="10" t="s">
        <v>295</v>
      </c>
      <c r="J74" s="13" t="s">
        <v>296</v>
      </c>
      <c r="K74" s="572"/>
      <c r="L74" s="573"/>
      <c r="M74" s="10" t="s">
        <v>311</v>
      </c>
      <c r="N74" s="23" t="s">
        <v>312</v>
      </c>
      <c r="O74" s="13" t="s">
        <v>312</v>
      </c>
      <c r="P74" s="10" t="s">
        <v>313</v>
      </c>
      <c r="Q74" s="10" t="s">
        <v>313</v>
      </c>
      <c r="R74" s="10" t="s">
        <v>314</v>
      </c>
      <c r="S74" s="13" t="s">
        <v>315</v>
      </c>
      <c r="T74" s="527" t="s">
        <v>315</v>
      </c>
      <c r="U74" s="1"/>
      <c r="V74" s="1">
        <v>7</v>
      </c>
      <c r="W74" s="10" t="s">
        <v>49</v>
      </c>
      <c r="X74" s="1"/>
      <c r="Y74" s="1" t="s">
        <v>302</v>
      </c>
      <c r="Z74" s="1" t="s">
        <v>303</v>
      </c>
      <c r="AA74" s="24"/>
      <c r="AB74" s="10" t="s">
        <v>1762</v>
      </c>
      <c r="AC74" s="162">
        <v>3</v>
      </c>
      <c r="AD74" s="156">
        <v>2</v>
      </c>
      <c r="AE74" s="156">
        <v>1</v>
      </c>
      <c r="AF74" s="156">
        <v>1</v>
      </c>
      <c r="AG74" s="377">
        <f t="shared" si="6"/>
        <v>7</v>
      </c>
      <c r="AH74" s="377" t="b">
        <f t="shared" si="3"/>
        <v>1</v>
      </c>
      <c r="AI74" s="29">
        <v>0</v>
      </c>
      <c r="AJ74" s="29">
        <v>0</v>
      </c>
      <c r="AK74" s="29">
        <v>2</v>
      </c>
      <c r="AL74" s="29">
        <v>2</v>
      </c>
      <c r="AM74" s="16">
        <f t="shared" si="4"/>
        <v>0.2857142857142857</v>
      </c>
      <c r="AN74" s="162">
        <v>3</v>
      </c>
      <c r="AO74" s="29">
        <v>0</v>
      </c>
      <c r="AP74" s="29">
        <v>0</v>
      </c>
      <c r="AQ74" s="29"/>
      <c r="AR74" s="311">
        <f t="shared" si="10"/>
        <v>2</v>
      </c>
      <c r="AS74" s="21">
        <f>IFERROR(+AR74/AN74,0)</f>
        <v>0.66666666666666663</v>
      </c>
      <c r="AT74" s="1">
        <f t="shared" si="1"/>
        <v>2</v>
      </c>
      <c r="AU74" s="31"/>
      <c r="AV74" s="31"/>
      <c r="AW74" s="31"/>
      <c r="AX74" s="16">
        <f t="shared" si="8"/>
        <v>0.2857142857142857</v>
      </c>
      <c r="AY74" s="156">
        <v>2</v>
      </c>
      <c r="AZ74" s="371">
        <v>0</v>
      </c>
      <c r="BA74" s="31"/>
      <c r="BB74" s="31"/>
      <c r="BC74" s="31"/>
      <c r="BD74" s="16">
        <f t="shared" si="7"/>
        <v>0</v>
      </c>
      <c r="BE74" s="31"/>
      <c r="BF74" s="31"/>
      <c r="BG74" s="31"/>
      <c r="BH74" s="31"/>
      <c r="BI74" s="16"/>
      <c r="BJ74" s="16"/>
      <c r="BK74" s="31"/>
      <c r="BL74" s="31"/>
      <c r="BM74" s="31"/>
      <c r="BN74" s="31"/>
      <c r="BO74" s="16"/>
      <c r="BP74" s="31"/>
      <c r="BQ74" s="31"/>
      <c r="BR74" s="31"/>
      <c r="BS74" s="31"/>
      <c r="BT74" s="16"/>
      <c r="BU74" s="16"/>
      <c r="BV74" s="16"/>
      <c r="BW74" s="16"/>
      <c r="BX74" s="16"/>
      <c r="BY74" s="16"/>
      <c r="BZ74" s="16"/>
      <c r="CA74" s="1"/>
      <c r="CB74" s="1"/>
      <c r="CC74" s="1"/>
    </row>
    <row r="75" spans="1:81" s="52" customFormat="1" ht="94.5" x14ac:dyDescent="0.25">
      <c r="A75" s="1">
        <v>1</v>
      </c>
      <c r="B75" s="13" t="s">
        <v>1746</v>
      </c>
      <c r="C75" s="588"/>
      <c r="D75" s="589"/>
      <c r="E75" s="10" t="s">
        <v>293</v>
      </c>
      <c r="F75" s="13" t="s">
        <v>294</v>
      </c>
      <c r="G75" s="588"/>
      <c r="H75" s="589"/>
      <c r="I75" s="10" t="s">
        <v>295</v>
      </c>
      <c r="J75" s="13" t="s">
        <v>296</v>
      </c>
      <c r="K75" s="572"/>
      <c r="L75" s="573"/>
      <c r="M75" s="10" t="s">
        <v>316</v>
      </c>
      <c r="N75" s="10" t="s">
        <v>317</v>
      </c>
      <c r="O75" s="13" t="s">
        <v>317</v>
      </c>
      <c r="P75" s="10" t="s">
        <v>318</v>
      </c>
      <c r="Q75" s="10" t="s">
        <v>318</v>
      </c>
      <c r="R75" s="10" t="s">
        <v>319</v>
      </c>
      <c r="S75" s="13" t="s">
        <v>320</v>
      </c>
      <c r="T75" s="527" t="s">
        <v>320</v>
      </c>
      <c r="U75" s="1"/>
      <c r="V75" s="1">
        <v>23</v>
      </c>
      <c r="W75" s="10" t="s">
        <v>49</v>
      </c>
      <c r="X75" s="1"/>
      <c r="Y75" s="1"/>
      <c r="Z75" s="1"/>
      <c r="AA75" s="24"/>
      <c r="AB75" s="10" t="s">
        <v>1762</v>
      </c>
      <c r="AC75" s="162">
        <v>6</v>
      </c>
      <c r="AD75" s="156">
        <v>6</v>
      </c>
      <c r="AE75" s="156">
        <v>6</v>
      </c>
      <c r="AF75" s="156">
        <v>5</v>
      </c>
      <c r="AG75" s="377">
        <f t="shared" si="6"/>
        <v>23</v>
      </c>
      <c r="AH75" s="377" t="b">
        <f t="shared" si="3"/>
        <v>1</v>
      </c>
      <c r="AI75" s="29">
        <v>2</v>
      </c>
      <c r="AJ75" s="29">
        <v>0</v>
      </c>
      <c r="AK75" s="29">
        <v>2</v>
      </c>
      <c r="AL75" s="29">
        <v>2</v>
      </c>
      <c r="AM75" s="16">
        <f t="shared" si="4"/>
        <v>8.6956521739130432E-2</v>
      </c>
      <c r="AN75" s="162">
        <v>6</v>
      </c>
      <c r="AO75" s="29">
        <v>2</v>
      </c>
      <c r="AP75" s="29">
        <v>0</v>
      </c>
      <c r="AQ75" s="29"/>
      <c r="AR75" s="311">
        <f t="shared" si="10"/>
        <v>2</v>
      </c>
      <c r="AS75" s="21">
        <f>IFERROR(+AR75/AN75,0)</f>
        <v>0.33333333333333331</v>
      </c>
      <c r="AT75" s="1">
        <f t="shared" si="1"/>
        <v>2</v>
      </c>
      <c r="AU75" s="31"/>
      <c r="AV75" s="31"/>
      <c r="AW75" s="31"/>
      <c r="AX75" s="16">
        <f t="shared" si="8"/>
        <v>8.6956521739130432E-2</v>
      </c>
      <c r="AY75" s="156">
        <v>6</v>
      </c>
      <c r="AZ75" s="371">
        <v>0</v>
      </c>
      <c r="BA75" s="31"/>
      <c r="BB75" s="31"/>
      <c r="BC75" s="31"/>
      <c r="BD75" s="16">
        <f t="shared" si="7"/>
        <v>0</v>
      </c>
      <c r="BE75" s="31"/>
      <c r="BF75" s="31"/>
      <c r="BG75" s="31"/>
      <c r="BH75" s="31"/>
      <c r="BI75" s="16"/>
      <c r="BJ75" s="16"/>
      <c r="BK75" s="31"/>
      <c r="BL75" s="31"/>
      <c r="BM75" s="31"/>
      <c r="BN75" s="31"/>
      <c r="BO75" s="16"/>
      <c r="BP75" s="31"/>
      <c r="BQ75" s="31"/>
      <c r="BR75" s="31"/>
      <c r="BS75" s="31"/>
      <c r="BT75" s="16"/>
      <c r="BU75" s="16"/>
      <c r="BV75" s="16"/>
      <c r="BW75" s="16"/>
      <c r="BX75" s="16"/>
      <c r="BY75" s="16"/>
      <c r="BZ75" s="16"/>
      <c r="CA75" s="1"/>
      <c r="CB75" s="1"/>
      <c r="CC75" s="1"/>
    </row>
    <row r="76" spans="1:81" s="52" customFormat="1" ht="94.5" x14ac:dyDescent="0.25">
      <c r="A76" s="1">
        <v>1</v>
      </c>
      <c r="B76" s="13" t="s">
        <v>1746</v>
      </c>
      <c r="C76" s="588"/>
      <c r="D76" s="589"/>
      <c r="E76" s="10" t="s">
        <v>293</v>
      </c>
      <c r="F76" s="13" t="s">
        <v>294</v>
      </c>
      <c r="G76" s="588"/>
      <c r="H76" s="589"/>
      <c r="I76" s="10" t="s">
        <v>295</v>
      </c>
      <c r="J76" s="13" t="s">
        <v>296</v>
      </c>
      <c r="K76" s="568"/>
      <c r="L76" s="570"/>
      <c r="M76" s="10" t="s">
        <v>321</v>
      </c>
      <c r="N76" s="10" t="s">
        <v>322</v>
      </c>
      <c r="O76" s="13" t="s">
        <v>322</v>
      </c>
      <c r="P76" s="10" t="s">
        <v>323</v>
      </c>
      <c r="Q76" s="10" t="s">
        <v>323</v>
      </c>
      <c r="R76" s="10" t="s">
        <v>324</v>
      </c>
      <c r="S76" s="13" t="s">
        <v>325</v>
      </c>
      <c r="T76" s="527" t="s">
        <v>325</v>
      </c>
      <c r="U76" s="1"/>
      <c r="V76" s="1">
        <v>12</v>
      </c>
      <c r="W76" s="10" t="s">
        <v>49</v>
      </c>
      <c r="X76" s="1"/>
      <c r="Y76" s="1" t="s">
        <v>302</v>
      </c>
      <c r="Z76" s="1" t="s">
        <v>303</v>
      </c>
      <c r="AA76" s="24"/>
      <c r="AB76" s="10" t="s">
        <v>1762</v>
      </c>
      <c r="AC76" s="162">
        <v>3</v>
      </c>
      <c r="AD76" s="156">
        <v>3</v>
      </c>
      <c r="AE76" s="156">
        <v>3</v>
      </c>
      <c r="AF76" s="156">
        <v>3</v>
      </c>
      <c r="AG76" s="377">
        <f t="shared" si="6"/>
        <v>12</v>
      </c>
      <c r="AH76" s="377" t="b">
        <f t="shared" si="3"/>
        <v>1</v>
      </c>
      <c r="AI76" s="29">
        <v>0</v>
      </c>
      <c r="AJ76" s="29">
        <v>0</v>
      </c>
      <c r="AK76" s="29">
        <v>3</v>
      </c>
      <c r="AL76" s="29">
        <v>3</v>
      </c>
      <c r="AM76" s="16">
        <f t="shared" si="4"/>
        <v>0.25</v>
      </c>
      <c r="AN76" s="162">
        <v>3</v>
      </c>
      <c r="AO76" s="29">
        <v>0</v>
      </c>
      <c r="AP76" s="29">
        <v>0</v>
      </c>
      <c r="AQ76" s="29"/>
      <c r="AR76" s="311">
        <f t="shared" si="10"/>
        <v>3</v>
      </c>
      <c r="AS76" s="21">
        <f t="shared" ref="AS76:AS137" si="11">IFERROR(+AR76/AN76,0)</f>
        <v>1</v>
      </c>
      <c r="AT76" s="1">
        <f t="shared" si="1"/>
        <v>3</v>
      </c>
      <c r="AU76" s="31"/>
      <c r="AV76" s="31"/>
      <c r="AW76" s="31"/>
      <c r="AX76" s="16">
        <f t="shared" si="8"/>
        <v>0.25</v>
      </c>
      <c r="AY76" s="156">
        <v>3</v>
      </c>
      <c r="AZ76" s="371">
        <v>0</v>
      </c>
      <c r="BA76" s="31"/>
      <c r="BB76" s="31"/>
      <c r="BC76" s="31"/>
      <c r="BD76" s="16">
        <f t="shared" si="7"/>
        <v>0</v>
      </c>
      <c r="BE76" s="31"/>
      <c r="BF76" s="31"/>
      <c r="BG76" s="31"/>
      <c r="BH76" s="31"/>
      <c r="BI76" s="16"/>
      <c r="BJ76" s="16"/>
      <c r="BK76" s="31"/>
      <c r="BL76" s="31"/>
      <c r="BM76" s="31"/>
      <c r="BN76" s="31"/>
      <c r="BO76" s="16"/>
      <c r="BP76" s="31"/>
      <c r="BQ76" s="31"/>
      <c r="BR76" s="31"/>
      <c r="BS76" s="31"/>
      <c r="BT76" s="16"/>
      <c r="BU76" s="16"/>
      <c r="BV76" s="16"/>
      <c r="BW76" s="16"/>
      <c r="BX76" s="16"/>
      <c r="BY76" s="16"/>
      <c r="BZ76" s="16"/>
      <c r="CA76" s="1"/>
      <c r="CB76" s="1"/>
      <c r="CC76" s="1"/>
    </row>
    <row r="77" spans="1:81" s="52" customFormat="1" ht="94.5" x14ac:dyDescent="0.25">
      <c r="A77" s="1">
        <v>1</v>
      </c>
      <c r="B77" s="13" t="s">
        <v>1746</v>
      </c>
      <c r="C77" s="588"/>
      <c r="D77" s="589"/>
      <c r="E77" s="10" t="s">
        <v>293</v>
      </c>
      <c r="F77" s="13" t="s">
        <v>294</v>
      </c>
      <c r="G77" s="588"/>
      <c r="H77" s="589"/>
      <c r="I77" s="10" t="s">
        <v>326</v>
      </c>
      <c r="J77" s="13" t="s">
        <v>327</v>
      </c>
      <c r="K77" s="567">
        <f>AVERAGE(AX77:AX82)</f>
        <v>0.17453703703703705</v>
      </c>
      <c r="L77" s="569">
        <f>AVERAGE(BD77:BD82)</f>
        <v>0</v>
      </c>
      <c r="M77" s="10" t="s">
        <v>328</v>
      </c>
      <c r="N77" s="10" t="s">
        <v>329</v>
      </c>
      <c r="O77" s="13" t="s">
        <v>329</v>
      </c>
      <c r="P77" s="10" t="s">
        <v>330</v>
      </c>
      <c r="Q77" s="10" t="s">
        <v>331</v>
      </c>
      <c r="R77" s="10" t="s">
        <v>332</v>
      </c>
      <c r="S77" s="13" t="s">
        <v>333</v>
      </c>
      <c r="T77" s="13" t="s">
        <v>333</v>
      </c>
      <c r="U77" s="1"/>
      <c r="V77" s="1">
        <v>8</v>
      </c>
      <c r="W77" s="10" t="s">
        <v>49</v>
      </c>
      <c r="X77" s="1"/>
      <c r="Y77" s="1" t="s">
        <v>302</v>
      </c>
      <c r="Z77" s="1" t="s">
        <v>303</v>
      </c>
      <c r="AA77" s="24"/>
      <c r="AB77" s="10" t="s">
        <v>1762</v>
      </c>
      <c r="AC77" s="162">
        <v>2</v>
      </c>
      <c r="AD77" s="156">
        <v>2</v>
      </c>
      <c r="AE77" s="156">
        <v>2</v>
      </c>
      <c r="AF77" s="156">
        <v>2</v>
      </c>
      <c r="AG77" s="377">
        <f t="shared" si="6"/>
        <v>8</v>
      </c>
      <c r="AH77" s="377" t="b">
        <f t="shared" si="3"/>
        <v>1</v>
      </c>
      <c r="AI77" s="1">
        <v>0</v>
      </c>
      <c r="AJ77" s="1">
        <v>0</v>
      </c>
      <c r="AK77" s="1">
        <v>2</v>
      </c>
      <c r="AL77" s="1">
        <v>2</v>
      </c>
      <c r="AM77" s="16">
        <f t="shared" si="4"/>
        <v>0.25</v>
      </c>
      <c r="AN77" s="162">
        <v>2</v>
      </c>
      <c r="AO77" s="1">
        <v>0</v>
      </c>
      <c r="AP77" s="1">
        <v>0</v>
      </c>
      <c r="AQ77" s="1"/>
      <c r="AR77" s="311">
        <f t="shared" si="10"/>
        <v>2</v>
      </c>
      <c r="AS77" s="21">
        <f t="shared" si="11"/>
        <v>1</v>
      </c>
      <c r="AT77" s="1">
        <f t="shared" si="1"/>
        <v>2</v>
      </c>
      <c r="AU77" s="31"/>
      <c r="AV77" s="31"/>
      <c r="AW77" s="31"/>
      <c r="AX77" s="16">
        <f t="shared" si="8"/>
        <v>0.25</v>
      </c>
      <c r="AY77" s="156">
        <v>2</v>
      </c>
      <c r="AZ77" s="371">
        <v>0</v>
      </c>
      <c r="BA77" s="345"/>
      <c r="BB77" s="31"/>
      <c r="BC77" s="31"/>
      <c r="BD77" s="16">
        <f t="shared" si="7"/>
        <v>0</v>
      </c>
      <c r="BE77" s="31"/>
      <c r="BF77" s="31"/>
      <c r="BG77" s="31"/>
      <c r="BH77" s="31"/>
      <c r="BI77" s="16"/>
      <c r="BJ77" s="16"/>
      <c r="BK77" s="31"/>
      <c r="BL77" s="31"/>
      <c r="BM77" s="31"/>
      <c r="BN77" s="31"/>
      <c r="BO77" s="16"/>
      <c r="BP77" s="31"/>
      <c r="BQ77" s="31"/>
      <c r="BR77" s="31"/>
      <c r="BS77" s="31"/>
      <c r="BT77" s="16"/>
      <c r="BU77" s="16"/>
      <c r="BV77" s="16"/>
      <c r="BW77" s="16"/>
      <c r="BX77" s="16"/>
      <c r="BY77" s="16"/>
      <c r="BZ77" s="16"/>
      <c r="CA77" s="1"/>
      <c r="CB77" s="1"/>
      <c r="CC77" s="1"/>
    </row>
    <row r="78" spans="1:81" s="52" customFormat="1" ht="111.75" customHeight="1" x14ac:dyDescent="0.25">
      <c r="A78" s="1">
        <v>1</v>
      </c>
      <c r="B78" s="13" t="s">
        <v>1746</v>
      </c>
      <c r="C78" s="588"/>
      <c r="D78" s="589"/>
      <c r="E78" s="10" t="s">
        <v>293</v>
      </c>
      <c r="F78" s="13" t="s">
        <v>294</v>
      </c>
      <c r="G78" s="588"/>
      <c r="H78" s="589"/>
      <c r="I78" s="10" t="s">
        <v>326</v>
      </c>
      <c r="J78" s="13" t="s">
        <v>327</v>
      </c>
      <c r="K78" s="572"/>
      <c r="L78" s="573"/>
      <c r="M78" s="10" t="s">
        <v>334</v>
      </c>
      <c r="N78" s="10" t="s">
        <v>335</v>
      </c>
      <c r="O78" s="13" t="s">
        <v>335</v>
      </c>
      <c r="P78" s="10" t="s">
        <v>336</v>
      </c>
      <c r="Q78" s="10" t="s">
        <v>331</v>
      </c>
      <c r="R78" s="10" t="s">
        <v>337</v>
      </c>
      <c r="S78" s="13" t="s">
        <v>338</v>
      </c>
      <c r="T78" s="13" t="s">
        <v>338</v>
      </c>
      <c r="U78" s="1"/>
      <c r="V78" s="1">
        <v>8</v>
      </c>
      <c r="W78" s="10" t="s">
        <v>49</v>
      </c>
      <c r="X78" s="1"/>
      <c r="Y78" s="1" t="s">
        <v>302</v>
      </c>
      <c r="Z78" s="1" t="s">
        <v>303</v>
      </c>
      <c r="AA78" s="24"/>
      <c r="AB78" s="10" t="s">
        <v>1762</v>
      </c>
      <c r="AC78" s="162">
        <v>2</v>
      </c>
      <c r="AD78" s="156">
        <v>2</v>
      </c>
      <c r="AE78" s="156">
        <v>2</v>
      </c>
      <c r="AF78" s="156">
        <v>2</v>
      </c>
      <c r="AG78" s="377">
        <f t="shared" si="6"/>
        <v>8</v>
      </c>
      <c r="AH78" s="377" t="b">
        <f t="shared" ref="AH78:AH139" si="12">V78=AG78</f>
        <v>1</v>
      </c>
      <c r="AI78" s="27">
        <v>0</v>
      </c>
      <c r="AJ78" s="27">
        <v>0</v>
      </c>
      <c r="AK78" s="27">
        <v>1</v>
      </c>
      <c r="AL78" s="27">
        <v>1</v>
      </c>
      <c r="AM78" s="16">
        <f t="shared" ref="AM78:AM139" si="13">+AL78/V78</f>
        <v>0.125</v>
      </c>
      <c r="AN78" s="162">
        <v>2</v>
      </c>
      <c r="AO78" s="27">
        <v>0</v>
      </c>
      <c r="AP78" s="27">
        <v>0</v>
      </c>
      <c r="AQ78" s="27"/>
      <c r="AR78" s="311">
        <f t="shared" si="10"/>
        <v>1</v>
      </c>
      <c r="AS78" s="21">
        <f t="shared" si="11"/>
        <v>0.5</v>
      </c>
      <c r="AT78" s="1">
        <f t="shared" si="1"/>
        <v>1</v>
      </c>
      <c r="AU78" s="31"/>
      <c r="AV78" s="31"/>
      <c r="AW78" s="31"/>
      <c r="AX78" s="16">
        <f t="shared" si="8"/>
        <v>0.125</v>
      </c>
      <c r="AY78" s="156">
        <v>2</v>
      </c>
      <c r="AZ78" s="371">
        <v>0</v>
      </c>
      <c r="BA78" s="345"/>
      <c r="BB78" s="31"/>
      <c r="BC78" s="31"/>
      <c r="BD78" s="16">
        <f t="shared" si="7"/>
        <v>0</v>
      </c>
      <c r="BE78" s="31"/>
      <c r="BF78" s="31"/>
      <c r="BG78" s="31"/>
      <c r="BH78" s="31"/>
      <c r="BI78" s="16"/>
      <c r="BJ78" s="16"/>
      <c r="BK78" s="31"/>
      <c r="BL78" s="31"/>
      <c r="BM78" s="31"/>
      <c r="BN78" s="31"/>
      <c r="BO78" s="16"/>
      <c r="BP78" s="31"/>
      <c r="BQ78" s="31"/>
      <c r="BR78" s="31"/>
      <c r="BS78" s="31"/>
      <c r="BT78" s="16"/>
      <c r="BU78" s="16"/>
      <c r="BV78" s="16"/>
      <c r="BW78" s="16"/>
      <c r="BX78" s="16"/>
      <c r="BY78" s="16"/>
      <c r="BZ78" s="16"/>
      <c r="CA78" s="1"/>
      <c r="CB78" s="1"/>
      <c r="CC78" s="1"/>
    </row>
    <row r="79" spans="1:81" s="52" customFormat="1" ht="63" x14ac:dyDescent="0.25">
      <c r="A79" s="1">
        <v>1</v>
      </c>
      <c r="B79" s="13" t="s">
        <v>1746</v>
      </c>
      <c r="C79" s="588"/>
      <c r="D79" s="589"/>
      <c r="E79" s="10" t="s">
        <v>293</v>
      </c>
      <c r="F79" s="13" t="s">
        <v>294</v>
      </c>
      <c r="G79" s="588"/>
      <c r="H79" s="589"/>
      <c r="I79" s="10" t="s">
        <v>326</v>
      </c>
      <c r="J79" s="13" t="s">
        <v>327</v>
      </c>
      <c r="K79" s="572"/>
      <c r="L79" s="573"/>
      <c r="M79" s="10" t="s">
        <v>339</v>
      </c>
      <c r="N79" s="23" t="s">
        <v>340</v>
      </c>
      <c r="O79" s="13" t="s">
        <v>340</v>
      </c>
      <c r="P79" s="10" t="s">
        <v>341</v>
      </c>
      <c r="Q79" s="10" t="s">
        <v>342</v>
      </c>
      <c r="R79" s="10" t="s">
        <v>343</v>
      </c>
      <c r="S79" s="13" t="s">
        <v>344</v>
      </c>
      <c r="T79" s="13" t="s">
        <v>1914</v>
      </c>
      <c r="U79" s="1"/>
      <c r="V79" s="1">
        <v>45</v>
      </c>
      <c r="W79" s="10" t="s">
        <v>49</v>
      </c>
      <c r="X79" s="1"/>
      <c r="Y79" s="1"/>
      <c r="Z79" s="1"/>
      <c r="AA79" s="24"/>
      <c r="AB79" s="10" t="s">
        <v>1762</v>
      </c>
      <c r="AC79" s="162">
        <v>10</v>
      </c>
      <c r="AD79" s="156">
        <v>10</v>
      </c>
      <c r="AE79" s="156">
        <v>10</v>
      </c>
      <c r="AF79" s="156">
        <v>15</v>
      </c>
      <c r="AG79" s="377">
        <f t="shared" si="6"/>
        <v>45</v>
      </c>
      <c r="AH79" s="377" t="b">
        <f t="shared" si="12"/>
        <v>1</v>
      </c>
      <c r="AI79" s="27">
        <v>0</v>
      </c>
      <c r="AJ79" s="27">
        <v>10</v>
      </c>
      <c r="AK79" s="27">
        <v>10</v>
      </c>
      <c r="AL79" s="27">
        <v>10</v>
      </c>
      <c r="AM79" s="16">
        <f t="shared" si="13"/>
        <v>0.22222222222222221</v>
      </c>
      <c r="AN79" s="162">
        <v>10</v>
      </c>
      <c r="AO79" s="27">
        <v>0</v>
      </c>
      <c r="AP79" s="310">
        <v>10</v>
      </c>
      <c r="AQ79" s="310"/>
      <c r="AR79" s="311">
        <f t="shared" si="10"/>
        <v>10</v>
      </c>
      <c r="AS79" s="21">
        <f t="shared" si="11"/>
        <v>1</v>
      </c>
      <c r="AT79" s="1">
        <f t="shared" ref="AT79:AT142" si="14">IF(W79="Mantenimiento",(AL79+AZ79)/4*100%,AL79+AZ79)</f>
        <v>10</v>
      </c>
      <c r="AU79" s="31"/>
      <c r="AV79" s="31"/>
      <c r="AW79" s="31"/>
      <c r="AX79" s="16">
        <f t="shared" si="8"/>
        <v>0.22222222222222221</v>
      </c>
      <c r="AY79" s="156">
        <v>10</v>
      </c>
      <c r="AZ79" s="371">
        <v>0</v>
      </c>
      <c r="BA79" s="345"/>
      <c r="BB79" s="31"/>
      <c r="BC79" s="31"/>
      <c r="BD79" s="16">
        <f t="shared" si="7"/>
        <v>0</v>
      </c>
      <c r="BE79" s="31"/>
      <c r="BF79" s="31"/>
      <c r="BG79" s="31"/>
      <c r="BH79" s="31"/>
      <c r="BI79" s="16"/>
      <c r="BJ79" s="16"/>
      <c r="BK79" s="31"/>
      <c r="BL79" s="31"/>
      <c r="BM79" s="31"/>
      <c r="BN79" s="31"/>
      <c r="BO79" s="16"/>
      <c r="BP79" s="31"/>
      <c r="BQ79" s="31"/>
      <c r="BR79" s="31"/>
      <c r="BS79" s="31"/>
      <c r="BT79" s="16"/>
      <c r="BU79" s="16"/>
      <c r="BV79" s="16"/>
      <c r="BW79" s="16"/>
      <c r="BX79" s="16"/>
      <c r="BY79" s="16"/>
      <c r="BZ79" s="16"/>
      <c r="CA79" s="1"/>
      <c r="CB79" s="1"/>
      <c r="CC79" s="1"/>
    </row>
    <row r="80" spans="1:81" s="52" customFormat="1" ht="123.6" customHeight="1" x14ac:dyDescent="0.25">
      <c r="A80" s="1">
        <v>1</v>
      </c>
      <c r="B80" s="13" t="s">
        <v>1746</v>
      </c>
      <c r="C80" s="588"/>
      <c r="D80" s="589"/>
      <c r="E80" s="10" t="s">
        <v>293</v>
      </c>
      <c r="F80" s="13" t="s">
        <v>294</v>
      </c>
      <c r="G80" s="588"/>
      <c r="H80" s="589"/>
      <c r="I80" s="10" t="s">
        <v>326</v>
      </c>
      <c r="J80" s="13" t="s">
        <v>327</v>
      </c>
      <c r="K80" s="572"/>
      <c r="L80" s="573"/>
      <c r="M80" s="10" t="s">
        <v>345</v>
      </c>
      <c r="N80" s="23" t="s">
        <v>340</v>
      </c>
      <c r="O80" s="13" t="s">
        <v>340</v>
      </c>
      <c r="P80" s="10" t="s">
        <v>346</v>
      </c>
      <c r="Q80" s="10" t="s">
        <v>347</v>
      </c>
      <c r="R80" s="10" t="s">
        <v>348</v>
      </c>
      <c r="S80" s="13" t="s">
        <v>349</v>
      </c>
      <c r="T80" s="13" t="s">
        <v>349</v>
      </c>
      <c r="U80" s="1"/>
      <c r="V80" s="1">
        <v>80</v>
      </c>
      <c r="W80" s="10" t="s">
        <v>49</v>
      </c>
      <c r="X80" s="1"/>
      <c r="Y80" s="1"/>
      <c r="Z80" s="1"/>
      <c r="AA80" s="24"/>
      <c r="AB80" s="10" t="s">
        <v>1762</v>
      </c>
      <c r="AC80" s="162">
        <v>20</v>
      </c>
      <c r="AD80" s="156">
        <v>20</v>
      </c>
      <c r="AE80" s="156">
        <v>20</v>
      </c>
      <c r="AF80" s="156">
        <v>20</v>
      </c>
      <c r="AG80" s="377">
        <f t="shared" si="6"/>
        <v>80</v>
      </c>
      <c r="AH80" s="377" t="b">
        <f t="shared" si="12"/>
        <v>1</v>
      </c>
      <c r="AI80" s="27">
        <v>0</v>
      </c>
      <c r="AJ80" s="27">
        <v>6</v>
      </c>
      <c r="AK80" s="27">
        <v>16</v>
      </c>
      <c r="AL80" s="27">
        <v>16</v>
      </c>
      <c r="AM80" s="16">
        <f t="shared" si="13"/>
        <v>0.2</v>
      </c>
      <c r="AN80" s="162">
        <v>20</v>
      </c>
      <c r="AO80" s="27">
        <v>0</v>
      </c>
      <c r="AP80" s="27">
        <v>0</v>
      </c>
      <c r="AQ80" s="27"/>
      <c r="AR80" s="311">
        <f t="shared" si="10"/>
        <v>16</v>
      </c>
      <c r="AS80" s="21">
        <f t="shared" si="11"/>
        <v>0.8</v>
      </c>
      <c r="AT80" s="1">
        <f t="shared" si="14"/>
        <v>16</v>
      </c>
      <c r="AU80" s="31"/>
      <c r="AV80" s="31"/>
      <c r="AW80" s="31"/>
      <c r="AX80" s="16">
        <f t="shared" si="8"/>
        <v>0.2</v>
      </c>
      <c r="AY80" s="156">
        <v>20</v>
      </c>
      <c r="AZ80" s="371">
        <v>0</v>
      </c>
      <c r="BA80" s="345"/>
      <c r="BB80" s="31"/>
      <c r="BC80" s="31"/>
      <c r="BD80" s="16">
        <f t="shared" si="7"/>
        <v>0</v>
      </c>
      <c r="BE80" s="31"/>
      <c r="BF80" s="31"/>
      <c r="BG80" s="31"/>
      <c r="BH80" s="31"/>
      <c r="BI80" s="16"/>
      <c r="BJ80" s="16"/>
      <c r="BK80" s="31"/>
      <c r="BL80" s="31"/>
      <c r="BM80" s="31"/>
      <c r="BN80" s="31"/>
      <c r="BO80" s="16"/>
      <c r="BP80" s="31"/>
      <c r="BQ80" s="31"/>
      <c r="BR80" s="31"/>
      <c r="BS80" s="31"/>
      <c r="BT80" s="16"/>
      <c r="BU80" s="16"/>
      <c r="BV80" s="16"/>
      <c r="BW80" s="16"/>
      <c r="BX80" s="16"/>
      <c r="BY80" s="16"/>
      <c r="BZ80" s="16"/>
      <c r="CA80" s="1"/>
      <c r="CB80" s="1"/>
      <c r="CC80" s="1"/>
    </row>
    <row r="81" spans="1:81" s="52" customFormat="1" ht="126" x14ac:dyDescent="0.25">
      <c r="A81" s="1">
        <v>1</v>
      </c>
      <c r="B81" s="13" t="s">
        <v>1746</v>
      </c>
      <c r="C81" s="588"/>
      <c r="D81" s="589"/>
      <c r="E81" s="10" t="s">
        <v>293</v>
      </c>
      <c r="F81" s="13" t="s">
        <v>294</v>
      </c>
      <c r="G81" s="588"/>
      <c r="H81" s="589"/>
      <c r="I81" s="10" t="s">
        <v>326</v>
      </c>
      <c r="J81" s="13" t="s">
        <v>327</v>
      </c>
      <c r="K81" s="572"/>
      <c r="L81" s="573"/>
      <c r="M81" s="10" t="s">
        <v>350</v>
      </c>
      <c r="N81" s="10" t="s">
        <v>351</v>
      </c>
      <c r="O81" s="13" t="s">
        <v>351</v>
      </c>
      <c r="P81" s="10" t="s">
        <v>352</v>
      </c>
      <c r="Q81" s="10" t="s">
        <v>331</v>
      </c>
      <c r="R81" s="10" t="s">
        <v>353</v>
      </c>
      <c r="S81" s="13" t="s">
        <v>354</v>
      </c>
      <c r="T81" s="13" t="s">
        <v>354</v>
      </c>
      <c r="U81" s="1"/>
      <c r="V81" s="1">
        <v>24</v>
      </c>
      <c r="W81" s="10" t="s">
        <v>49</v>
      </c>
      <c r="X81" s="1"/>
      <c r="Y81" s="1" t="s">
        <v>302</v>
      </c>
      <c r="Z81" s="1" t="s">
        <v>303</v>
      </c>
      <c r="AA81" s="24"/>
      <c r="AB81" s="10" t="s">
        <v>1762</v>
      </c>
      <c r="AC81" s="162">
        <v>6</v>
      </c>
      <c r="AD81" s="156">
        <v>6</v>
      </c>
      <c r="AE81" s="156">
        <v>6</v>
      </c>
      <c r="AF81" s="156">
        <v>6</v>
      </c>
      <c r="AG81" s="377">
        <f t="shared" si="6"/>
        <v>24</v>
      </c>
      <c r="AH81" s="377" t="b">
        <f t="shared" si="12"/>
        <v>1</v>
      </c>
      <c r="AI81" s="1">
        <v>0</v>
      </c>
      <c r="AJ81" s="1">
        <v>6</v>
      </c>
      <c r="AK81" s="1">
        <v>6</v>
      </c>
      <c r="AL81" s="1">
        <v>6</v>
      </c>
      <c r="AM81" s="16">
        <f t="shared" si="13"/>
        <v>0.25</v>
      </c>
      <c r="AN81" s="162">
        <v>6</v>
      </c>
      <c r="AO81" s="1">
        <v>0</v>
      </c>
      <c r="AP81" s="75">
        <v>6</v>
      </c>
      <c r="AQ81" s="75"/>
      <c r="AR81" s="311">
        <f t="shared" si="10"/>
        <v>6</v>
      </c>
      <c r="AS81" s="21">
        <f t="shared" si="11"/>
        <v>1</v>
      </c>
      <c r="AT81" s="1">
        <f t="shared" si="14"/>
        <v>6</v>
      </c>
      <c r="AU81" s="31"/>
      <c r="AV81" s="31"/>
      <c r="AW81" s="31"/>
      <c r="AX81" s="16">
        <f t="shared" si="8"/>
        <v>0.25</v>
      </c>
      <c r="AY81" s="156">
        <v>6</v>
      </c>
      <c r="AZ81" s="371">
        <v>0</v>
      </c>
      <c r="BA81" s="345"/>
      <c r="BB81" s="31"/>
      <c r="BC81" s="31"/>
      <c r="BD81" s="16">
        <f t="shared" si="7"/>
        <v>0</v>
      </c>
      <c r="BE81" s="31"/>
      <c r="BF81" s="31"/>
      <c r="BG81" s="31"/>
      <c r="BH81" s="31"/>
      <c r="BI81" s="16"/>
      <c r="BJ81" s="16"/>
      <c r="BK81" s="31"/>
      <c r="BL81" s="31"/>
      <c r="BM81" s="31"/>
      <c r="BN81" s="31"/>
      <c r="BO81" s="16"/>
      <c r="BP81" s="31"/>
      <c r="BQ81" s="31"/>
      <c r="BR81" s="31"/>
      <c r="BS81" s="31"/>
      <c r="BT81" s="16"/>
      <c r="BU81" s="16"/>
      <c r="BV81" s="16"/>
      <c r="BW81" s="16"/>
      <c r="BX81" s="16"/>
      <c r="BY81" s="16"/>
      <c r="BZ81" s="16"/>
      <c r="CA81" s="1"/>
      <c r="CB81" s="1"/>
      <c r="CC81" s="1"/>
    </row>
    <row r="82" spans="1:81" s="52" customFormat="1" ht="157.5" x14ac:dyDescent="0.25">
      <c r="A82" s="1">
        <v>1</v>
      </c>
      <c r="B82" s="13" t="s">
        <v>1746</v>
      </c>
      <c r="C82" s="588"/>
      <c r="D82" s="589"/>
      <c r="E82" s="10" t="s">
        <v>293</v>
      </c>
      <c r="F82" s="13" t="s">
        <v>294</v>
      </c>
      <c r="G82" s="588"/>
      <c r="H82" s="589"/>
      <c r="I82" s="10" t="s">
        <v>326</v>
      </c>
      <c r="J82" s="13" t="s">
        <v>327</v>
      </c>
      <c r="K82" s="568"/>
      <c r="L82" s="570"/>
      <c r="M82" s="10" t="s">
        <v>350</v>
      </c>
      <c r="N82" s="10" t="s">
        <v>355</v>
      </c>
      <c r="O82" s="13" t="s">
        <v>355</v>
      </c>
      <c r="P82" s="10" t="s">
        <v>356</v>
      </c>
      <c r="Q82" s="10" t="s">
        <v>331</v>
      </c>
      <c r="R82" s="10" t="s">
        <v>357</v>
      </c>
      <c r="S82" s="13" t="s">
        <v>358</v>
      </c>
      <c r="T82" s="13" t="s">
        <v>358</v>
      </c>
      <c r="U82" s="1"/>
      <c r="V82" s="1">
        <v>8</v>
      </c>
      <c r="W82" s="10" t="s">
        <v>49</v>
      </c>
      <c r="X82" s="1"/>
      <c r="Y82" s="1"/>
      <c r="Z82" s="1"/>
      <c r="AA82" s="24"/>
      <c r="AB82" s="10" t="s">
        <v>1762</v>
      </c>
      <c r="AC82" s="162">
        <v>2</v>
      </c>
      <c r="AD82" s="156">
        <v>2</v>
      </c>
      <c r="AE82" s="156">
        <v>2</v>
      </c>
      <c r="AF82" s="156">
        <v>2</v>
      </c>
      <c r="AG82" s="377">
        <f t="shared" si="6"/>
        <v>8</v>
      </c>
      <c r="AH82" s="377" t="b">
        <f t="shared" si="12"/>
        <v>1</v>
      </c>
      <c r="AI82" s="1">
        <v>0</v>
      </c>
      <c r="AJ82" s="1">
        <v>0</v>
      </c>
      <c r="AK82" s="1">
        <v>0</v>
      </c>
      <c r="AL82" s="1">
        <v>0</v>
      </c>
      <c r="AM82" s="16">
        <f t="shared" si="13"/>
        <v>0</v>
      </c>
      <c r="AN82" s="162">
        <v>2</v>
      </c>
      <c r="AO82" s="1">
        <v>0</v>
      </c>
      <c r="AP82" s="1">
        <v>0</v>
      </c>
      <c r="AQ82" s="1"/>
      <c r="AR82" s="311">
        <f t="shared" si="10"/>
        <v>0</v>
      </c>
      <c r="AS82" s="21">
        <f t="shared" si="11"/>
        <v>0</v>
      </c>
      <c r="AT82" s="1">
        <f t="shared" si="14"/>
        <v>0</v>
      </c>
      <c r="AU82" s="31"/>
      <c r="AV82" s="31"/>
      <c r="AW82" s="31"/>
      <c r="AX82" s="16">
        <f t="shared" si="8"/>
        <v>0</v>
      </c>
      <c r="AY82" s="156">
        <v>2</v>
      </c>
      <c r="AZ82" s="371">
        <v>0</v>
      </c>
      <c r="BA82" s="345"/>
      <c r="BB82" s="31"/>
      <c r="BC82" s="31"/>
      <c r="BD82" s="16">
        <f t="shared" si="7"/>
        <v>0</v>
      </c>
      <c r="BE82" s="31"/>
      <c r="BF82" s="31"/>
      <c r="BG82" s="31"/>
      <c r="BH82" s="31"/>
      <c r="BI82" s="16"/>
      <c r="BJ82" s="16"/>
      <c r="BK82" s="31"/>
      <c r="BL82" s="31"/>
      <c r="BM82" s="31"/>
      <c r="BN82" s="31"/>
      <c r="BO82" s="16"/>
      <c r="BP82" s="31"/>
      <c r="BQ82" s="31"/>
      <c r="BR82" s="31"/>
      <c r="BS82" s="31"/>
      <c r="BT82" s="16"/>
      <c r="BU82" s="16"/>
      <c r="BV82" s="16"/>
      <c r="BW82" s="16"/>
      <c r="BX82" s="16"/>
      <c r="BY82" s="16"/>
      <c r="BZ82" s="16"/>
      <c r="CA82" s="1"/>
      <c r="CB82" s="1"/>
      <c r="CC82" s="1"/>
    </row>
    <row r="83" spans="1:81" s="52" customFormat="1" ht="126" x14ac:dyDescent="0.25">
      <c r="A83" s="1">
        <v>1</v>
      </c>
      <c r="B83" s="13" t="s">
        <v>1746</v>
      </c>
      <c r="C83" s="588"/>
      <c r="D83" s="589"/>
      <c r="E83" s="10" t="s">
        <v>293</v>
      </c>
      <c r="F83" s="13" t="s">
        <v>294</v>
      </c>
      <c r="G83" s="588"/>
      <c r="H83" s="589"/>
      <c r="I83" s="10" t="s">
        <v>359</v>
      </c>
      <c r="J83" s="13" t="s">
        <v>360</v>
      </c>
      <c r="K83" s="567">
        <f>AVERAGE(AX83:AX86)</f>
        <v>0.22361111111111109</v>
      </c>
      <c r="L83" s="569">
        <f>AVERAGE(BD83:BD86)</f>
        <v>6.1111111111111109E-2</v>
      </c>
      <c r="M83" s="10" t="s">
        <v>361</v>
      </c>
      <c r="N83" s="10" t="s">
        <v>362</v>
      </c>
      <c r="O83" s="13" t="s">
        <v>362</v>
      </c>
      <c r="P83" s="10" t="s">
        <v>363</v>
      </c>
      <c r="Q83" s="10" t="s">
        <v>331</v>
      </c>
      <c r="R83" s="10" t="s">
        <v>364</v>
      </c>
      <c r="S83" s="13" t="s">
        <v>1993</v>
      </c>
      <c r="T83" s="13" t="s">
        <v>365</v>
      </c>
      <c r="U83" s="1"/>
      <c r="V83" s="1">
        <v>45</v>
      </c>
      <c r="W83" s="10" t="s">
        <v>49</v>
      </c>
      <c r="X83" s="1"/>
      <c r="Y83" s="1" t="s">
        <v>302</v>
      </c>
      <c r="Z83" s="1" t="s">
        <v>303</v>
      </c>
      <c r="AA83" s="24"/>
      <c r="AB83" s="10" t="s">
        <v>1762</v>
      </c>
      <c r="AC83" s="162">
        <v>15</v>
      </c>
      <c r="AD83" s="156">
        <v>15</v>
      </c>
      <c r="AE83" s="156">
        <v>10</v>
      </c>
      <c r="AF83" s="156">
        <v>5</v>
      </c>
      <c r="AG83" s="377">
        <f t="shared" si="6"/>
        <v>45</v>
      </c>
      <c r="AH83" s="377" t="b">
        <f t="shared" si="12"/>
        <v>1</v>
      </c>
      <c r="AI83" s="1">
        <v>0</v>
      </c>
      <c r="AJ83" s="1">
        <v>0</v>
      </c>
      <c r="AK83" s="1">
        <v>0</v>
      </c>
      <c r="AL83" s="1">
        <v>0</v>
      </c>
      <c r="AM83" s="16">
        <f t="shared" si="13"/>
        <v>0</v>
      </c>
      <c r="AN83" s="162">
        <v>15</v>
      </c>
      <c r="AO83" s="1">
        <v>0</v>
      </c>
      <c r="AP83" s="1">
        <v>0</v>
      </c>
      <c r="AQ83" s="1"/>
      <c r="AR83" s="311">
        <f t="shared" si="10"/>
        <v>0</v>
      </c>
      <c r="AS83" s="21">
        <f t="shared" si="11"/>
        <v>0</v>
      </c>
      <c r="AT83" s="1">
        <f t="shared" si="14"/>
        <v>0</v>
      </c>
      <c r="AU83" s="31"/>
      <c r="AV83" s="31"/>
      <c r="AW83" s="31"/>
      <c r="AX83" s="16">
        <f t="shared" si="8"/>
        <v>0</v>
      </c>
      <c r="AY83" s="156">
        <v>15</v>
      </c>
      <c r="AZ83" s="371">
        <v>0</v>
      </c>
      <c r="BA83" s="345"/>
      <c r="BB83" s="31"/>
      <c r="BC83" s="31"/>
      <c r="BD83" s="16">
        <f t="shared" si="7"/>
        <v>0</v>
      </c>
      <c r="BE83" s="31"/>
      <c r="BF83" s="31"/>
      <c r="BG83" s="31"/>
      <c r="BH83" s="31"/>
      <c r="BI83" s="16"/>
      <c r="BJ83" s="16"/>
      <c r="BK83" s="31"/>
      <c r="BL83" s="31"/>
      <c r="BM83" s="31"/>
      <c r="BN83" s="31"/>
      <c r="BO83" s="16"/>
      <c r="BP83" s="31"/>
      <c r="BQ83" s="31"/>
      <c r="BR83" s="31"/>
      <c r="BS83" s="31"/>
      <c r="BT83" s="16"/>
      <c r="BU83" s="16"/>
      <c r="BV83" s="16"/>
      <c r="BW83" s="16"/>
      <c r="BX83" s="16"/>
      <c r="BY83" s="16"/>
      <c r="BZ83" s="16"/>
      <c r="CA83" s="1"/>
      <c r="CB83" s="1"/>
      <c r="CC83" s="1"/>
    </row>
    <row r="84" spans="1:81" s="52" customFormat="1" ht="78.75" x14ac:dyDescent="0.25">
      <c r="A84" s="1">
        <v>1</v>
      </c>
      <c r="B84" s="13" t="s">
        <v>1746</v>
      </c>
      <c r="C84" s="588"/>
      <c r="D84" s="589"/>
      <c r="E84" s="10" t="s">
        <v>293</v>
      </c>
      <c r="F84" s="13" t="s">
        <v>294</v>
      </c>
      <c r="G84" s="588"/>
      <c r="H84" s="589"/>
      <c r="I84" s="10" t="s">
        <v>359</v>
      </c>
      <c r="J84" s="13" t="s">
        <v>360</v>
      </c>
      <c r="K84" s="572"/>
      <c r="L84" s="573"/>
      <c r="M84" s="10" t="s">
        <v>366</v>
      </c>
      <c r="N84" s="10" t="s">
        <v>367</v>
      </c>
      <c r="O84" s="13" t="s">
        <v>367</v>
      </c>
      <c r="P84" s="10" t="s">
        <v>368</v>
      </c>
      <c r="Q84" s="10" t="s">
        <v>331</v>
      </c>
      <c r="R84" s="10" t="s">
        <v>369</v>
      </c>
      <c r="S84" s="13" t="s">
        <v>370</v>
      </c>
      <c r="T84" s="13" t="s">
        <v>370</v>
      </c>
      <c r="U84" s="1"/>
      <c r="V84" s="1">
        <v>45</v>
      </c>
      <c r="W84" s="10" t="s">
        <v>49</v>
      </c>
      <c r="X84" s="1"/>
      <c r="Y84" s="1" t="s">
        <v>302</v>
      </c>
      <c r="Z84" s="1" t="s">
        <v>303</v>
      </c>
      <c r="AA84" s="24"/>
      <c r="AB84" s="10" t="s">
        <v>1762</v>
      </c>
      <c r="AC84" s="162">
        <v>15</v>
      </c>
      <c r="AD84" s="156">
        <v>15</v>
      </c>
      <c r="AE84" s="156">
        <v>10</v>
      </c>
      <c r="AF84" s="156">
        <v>5</v>
      </c>
      <c r="AG84" s="377">
        <f t="shared" ref="AG84:AG145" si="15">SUBTOTAL(9,AC84:AF84)</f>
        <v>45</v>
      </c>
      <c r="AH84" s="377" t="b">
        <f t="shared" si="12"/>
        <v>1</v>
      </c>
      <c r="AI84" s="1">
        <v>0</v>
      </c>
      <c r="AJ84" s="1">
        <v>13</v>
      </c>
      <c r="AK84" s="1">
        <v>15</v>
      </c>
      <c r="AL84" s="1">
        <v>15</v>
      </c>
      <c r="AM84" s="16">
        <f t="shared" si="13"/>
        <v>0.33333333333333331</v>
      </c>
      <c r="AN84" s="162">
        <v>15</v>
      </c>
      <c r="AO84" s="1">
        <v>0</v>
      </c>
      <c r="AP84" s="1">
        <v>13</v>
      </c>
      <c r="AQ84" s="1"/>
      <c r="AR84" s="311">
        <f t="shared" si="10"/>
        <v>15</v>
      </c>
      <c r="AS84" s="21">
        <f t="shared" si="11"/>
        <v>1</v>
      </c>
      <c r="AT84" s="1">
        <f t="shared" si="14"/>
        <v>15</v>
      </c>
      <c r="AU84" s="31"/>
      <c r="AV84" s="31"/>
      <c r="AW84" s="31"/>
      <c r="AX84" s="16">
        <f t="shared" si="8"/>
        <v>0.33333333333333331</v>
      </c>
      <c r="AY84" s="156">
        <v>15</v>
      </c>
      <c r="AZ84" s="371">
        <v>0</v>
      </c>
      <c r="BA84" s="345"/>
      <c r="BB84" s="31"/>
      <c r="BC84" s="31"/>
      <c r="BD84" s="16">
        <f t="shared" si="7"/>
        <v>0</v>
      </c>
      <c r="BE84" s="31"/>
      <c r="BF84" s="31"/>
      <c r="BG84" s="31"/>
      <c r="BH84" s="31"/>
      <c r="BI84" s="16"/>
      <c r="BJ84" s="16"/>
      <c r="BK84" s="31"/>
      <c r="BL84" s="31"/>
      <c r="BM84" s="31"/>
      <c r="BN84" s="31"/>
      <c r="BO84" s="16"/>
      <c r="BP84" s="31"/>
      <c r="BQ84" s="31"/>
      <c r="BR84" s="31"/>
      <c r="BS84" s="31"/>
      <c r="BT84" s="16"/>
      <c r="BU84" s="16"/>
      <c r="BV84" s="16"/>
      <c r="BW84" s="16"/>
      <c r="BX84" s="16"/>
      <c r="BY84" s="16"/>
      <c r="BZ84" s="16"/>
      <c r="CA84" s="1"/>
      <c r="CB84" s="1"/>
      <c r="CC84" s="1"/>
    </row>
    <row r="85" spans="1:81" s="52" customFormat="1" ht="88.5" customHeight="1" x14ac:dyDescent="0.25">
      <c r="A85" s="1">
        <v>1</v>
      </c>
      <c r="B85" s="13" t="s">
        <v>1746</v>
      </c>
      <c r="C85" s="588"/>
      <c r="D85" s="589"/>
      <c r="E85" s="10" t="s">
        <v>293</v>
      </c>
      <c r="F85" s="13" t="s">
        <v>294</v>
      </c>
      <c r="G85" s="588"/>
      <c r="H85" s="589"/>
      <c r="I85" s="10" t="s">
        <v>359</v>
      </c>
      <c r="J85" s="13" t="s">
        <v>360</v>
      </c>
      <c r="K85" s="572"/>
      <c r="L85" s="573"/>
      <c r="M85" s="10" t="s">
        <v>371</v>
      </c>
      <c r="N85" s="23" t="s">
        <v>372</v>
      </c>
      <c r="O85" s="13" t="s">
        <v>372</v>
      </c>
      <c r="P85" s="10" t="s">
        <v>373</v>
      </c>
      <c r="Q85" s="10" t="s">
        <v>331</v>
      </c>
      <c r="R85" s="10" t="s">
        <v>374</v>
      </c>
      <c r="S85" s="13" t="s">
        <v>375</v>
      </c>
      <c r="T85" s="13" t="s">
        <v>375</v>
      </c>
      <c r="U85" s="1"/>
      <c r="V85" s="1">
        <v>12</v>
      </c>
      <c r="W85" s="10" t="s">
        <v>49</v>
      </c>
      <c r="X85" s="1"/>
      <c r="Y85" s="1" t="s">
        <v>302</v>
      </c>
      <c r="Z85" s="1" t="s">
        <v>303</v>
      </c>
      <c r="AA85" s="24"/>
      <c r="AB85" s="10" t="s">
        <v>1762</v>
      </c>
      <c r="AC85" s="162">
        <v>2</v>
      </c>
      <c r="AD85" s="156">
        <v>4</v>
      </c>
      <c r="AE85" s="156">
        <v>3</v>
      </c>
      <c r="AF85" s="156">
        <v>3</v>
      </c>
      <c r="AG85" s="377">
        <f t="shared" si="15"/>
        <v>12</v>
      </c>
      <c r="AH85" s="377" t="b">
        <f t="shared" si="12"/>
        <v>1</v>
      </c>
      <c r="AI85" s="75">
        <v>6</v>
      </c>
      <c r="AJ85" s="1">
        <v>3</v>
      </c>
      <c r="AK85" s="1">
        <v>3</v>
      </c>
      <c r="AL85" s="1">
        <v>3</v>
      </c>
      <c r="AM85" s="16">
        <f t="shared" si="13"/>
        <v>0.25</v>
      </c>
      <c r="AN85" s="162">
        <v>2</v>
      </c>
      <c r="AO85" s="1">
        <v>6</v>
      </c>
      <c r="AP85" s="75">
        <v>2</v>
      </c>
      <c r="AQ85" s="75"/>
      <c r="AR85" s="311">
        <f t="shared" si="10"/>
        <v>3</v>
      </c>
      <c r="AS85" s="21">
        <v>1</v>
      </c>
      <c r="AT85" s="1">
        <f t="shared" si="14"/>
        <v>3</v>
      </c>
      <c r="AU85" s="31"/>
      <c r="AV85" s="31"/>
      <c r="AW85" s="31"/>
      <c r="AX85" s="16">
        <f t="shared" si="8"/>
        <v>0.25</v>
      </c>
      <c r="AY85" s="156">
        <v>4</v>
      </c>
      <c r="AZ85" s="371"/>
      <c r="BA85" s="345"/>
      <c r="BB85" s="31"/>
      <c r="BC85" s="31"/>
      <c r="BD85" s="16">
        <f t="shared" ref="BD85:BD145" si="16">IFERROR(IF((+AZ85/AY85)&gt;100%,100%,(+AZ85/AY85)),"NP")</f>
        <v>0</v>
      </c>
      <c r="BE85" s="31"/>
      <c r="BF85" s="31"/>
      <c r="BG85" s="31"/>
      <c r="BH85" s="31"/>
      <c r="BI85" s="16"/>
      <c r="BJ85" s="16"/>
      <c r="BK85" s="31"/>
      <c r="BL85" s="31"/>
      <c r="BM85" s="31"/>
      <c r="BN85" s="31"/>
      <c r="BO85" s="16"/>
      <c r="BP85" s="31"/>
      <c r="BQ85" s="31"/>
      <c r="BR85" s="31"/>
      <c r="BS85" s="31"/>
      <c r="BT85" s="16"/>
      <c r="BU85" s="16"/>
      <c r="BV85" s="16"/>
      <c r="BW85" s="16"/>
      <c r="BX85" s="16"/>
      <c r="BY85" s="16"/>
      <c r="BZ85" s="16"/>
      <c r="CA85" s="1"/>
      <c r="CB85" s="1"/>
      <c r="CC85" s="1"/>
    </row>
    <row r="86" spans="1:81" s="52" customFormat="1" ht="154.15" customHeight="1" x14ac:dyDescent="0.25">
      <c r="A86" s="1">
        <v>1</v>
      </c>
      <c r="B86" s="13" t="s">
        <v>1746</v>
      </c>
      <c r="C86" s="588"/>
      <c r="D86" s="589"/>
      <c r="E86" s="10" t="s">
        <v>293</v>
      </c>
      <c r="F86" s="13" t="s">
        <v>294</v>
      </c>
      <c r="G86" s="588"/>
      <c r="H86" s="589"/>
      <c r="I86" s="10" t="s">
        <v>359</v>
      </c>
      <c r="J86" s="13" t="s">
        <v>360</v>
      </c>
      <c r="K86" s="568"/>
      <c r="L86" s="570"/>
      <c r="M86" s="10" t="s">
        <v>371</v>
      </c>
      <c r="N86" s="23" t="s">
        <v>372</v>
      </c>
      <c r="O86" s="13" t="s">
        <v>372</v>
      </c>
      <c r="P86" s="10" t="s">
        <v>376</v>
      </c>
      <c r="Q86" s="10" t="s">
        <v>331</v>
      </c>
      <c r="R86" s="10" t="s">
        <v>377</v>
      </c>
      <c r="S86" s="13" t="s">
        <v>378</v>
      </c>
      <c r="T86" s="13" t="s">
        <v>378</v>
      </c>
      <c r="U86" s="1"/>
      <c r="V86" s="1">
        <v>45</v>
      </c>
      <c r="W86" s="10" t="s">
        <v>78</v>
      </c>
      <c r="X86" s="1"/>
      <c r="Y86" s="1" t="s">
        <v>302</v>
      </c>
      <c r="Z86" s="1" t="s">
        <v>303</v>
      </c>
      <c r="AA86" s="24"/>
      <c r="AB86" s="10" t="s">
        <v>1762</v>
      </c>
      <c r="AC86" s="162">
        <v>45</v>
      </c>
      <c r="AD86" s="156">
        <v>45</v>
      </c>
      <c r="AE86" s="156">
        <v>45</v>
      </c>
      <c r="AF86" s="156">
        <v>45</v>
      </c>
      <c r="AG86" s="377">
        <f t="shared" si="15"/>
        <v>180</v>
      </c>
      <c r="AH86" s="377" t="b">
        <f t="shared" si="12"/>
        <v>0</v>
      </c>
      <c r="AI86" s="1">
        <v>45</v>
      </c>
      <c r="AJ86" s="1">
        <v>45</v>
      </c>
      <c r="AK86" s="1">
        <v>45</v>
      </c>
      <c r="AL86" s="1">
        <v>45</v>
      </c>
      <c r="AM86" s="16">
        <f t="shared" si="13"/>
        <v>1</v>
      </c>
      <c r="AN86" s="162">
        <v>45</v>
      </c>
      <c r="AO86" s="1">
        <v>45</v>
      </c>
      <c r="AP86" s="1">
        <v>45</v>
      </c>
      <c r="AQ86" s="1"/>
      <c r="AR86" s="311">
        <f t="shared" si="10"/>
        <v>45</v>
      </c>
      <c r="AS86" s="21">
        <f t="shared" si="11"/>
        <v>1</v>
      </c>
      <c r="AT86" s="1">
        <f t="shared" si="14"/>
        <v>14</v>
      </c>
      <c r="AU86" s="31"/>
      <c r="AV86" s="31"/>
      <c r="AW86" s="31"/>
      <c r="AX86" s="16">
        <f t="shared" ref="AX86:AX149" si="17">IF(AT86/V86&gt;100%,100%,(AT86/V86))</f>
        <v>0.31111111111111112</v>
      </c>
      <c r="AY86" s="156">
        <v>45</v>
      </c>
      <c r="AZ86" s="371">
        <v>11</v>
      </c>
      <c r="BA86" s="345"/>
      <c r="BB86" s="31"/>
      <c r="BC86" s="31"/>
      <c r="BD86" s="16">
        <f t="shared" si="16"/>
        <v>0.24444444444444444</v>
      </c>
      <c r="BE86" s="31"/>
      <c r="BF86" s="31"/>
      <c r="BG86" s="31"/>
      <c r="BH86" s="31"/>
      <c r="BI86" s="16"/>
      <c r="BJ86" s="16"/>
      <c r="BK86" s="31"/>
      <c r="BL86" s="31"/>
      <c r="BM86" s="31"/>
      <c r="BN86" s="31"/>
      <c r="BO86" s="16"/>
      <c r="BP86" s="31"/>
      <c r="BQ86" s="31"/>
      <c r="BR86" s="31"/>
      <c r="BS86" s="31"/>
      <c r="BT86" s="16"/>
      <c r="BU86" s="16"/>
      <c r="BV86" s="16"/>
      <c r="BW86" s="16"/>
      <c r="BX86" s="16"/>
      <c r="BY86" s="16"/>
      <c r="BZ86" s="16"/>
      <c r="CA86" s="1"/>
      <c r="CB86" s="1"/>
      <c r="CC86" s="1"/>
    </row>
    <row r="87" spans="1:81" s="52" customFormat="1" ht="76.5" customHeight="1" x14ac:dyDescent="0.25">
      <c r="A87" s="1">
        <v>1</v>
      </c>
      <c r="B87" s="13" t="s">
        <v>1746</v>
      </c>
      <c r="C87" s="588"/>
      <c r="D87" s="589"/>
      <c r="E87" s="10" t="s">
        <v>293</v>
      </c>
      <c r="F87" s="13" t="s">
        <v>294</v>
      </c>
      <c r="G87" s="588"/>
      <c r="H87" s="589"/>
      <c r="I87" s="10" t="s">
        <v>379</v>
      </c>
      <c r="J87" s="13" t="s">
        <v>380</v>
      </c>
      <c r="K87" s="567">
        <f>AVERAGE(AX87:AX95)</f>
        <v>0.16396604938271606</v>
      </c>
      <c r="L87" s="569">
        <f>AVERAGE(BD87:BD95)</f>
        <v>7.407407407407407E-2</v>
      </c>
      <c r="M87" s="10" t="s">
        <v>381</v>
      </c>
      <c r="N87" s="10" t="s">
        <v>382</v>
      </c>
      <c r="O87" s="13" t="s">
        <v>382</v>
      </c>
      <c r="P87" s="10" t="s">
        <v>383</v>
      </c>
      <c r="Q87" s="10" t="s">
        <v>384</v>
      </c>
      <c r="R87" s="10" t="s">
        <v>385</v>
      </c>
      <c r="S87" s="13" t="s">
        <v>386</v>
      </c>
      <c r="T87" s="13" t="s">
        <v>1932</v>
      </c>
      <c r="U87" s="1"/>
      <c r="V87" s="1">
        <v>5</v>
      </c>
      <c r="W87" s="10" t="s">
        <v>49</v>
      </c>
      <c r="X87" s="1"/>
      <c r="Y87" s="1" t="s">
        <v>302</v>
      </c>
      <c r="Z87" s="1" t="s">
        <v>303</v>
      </c>
      <c r="AA87" s="24"/>
      <c r="AB87" s="10" t="s">
        <v>1762</v>
      </c>
      <c r="AC87" s="162"/>
      <c r="AD87" s="156">
        <v>2</v>
      </c>
      <c r="AE87" s="156">
        <v>2</v>
      </c>
      <c r="AF87" s="156">
        <v>1</v>
      </c>
      <c r="AG87" s="377">
        <f t="shared" si="15"/>
        <v>5</v>
      </c>
      <c r="AH87" s="377" t="b">
        <f t="shared" si="12"/>
        <v>1</v>
      </c>
      <c r="AI87" s="1">
        <v>0</v>
      </c>
      <c r="AJ87" s="1">
        <v>0</v>
      </c>
      <c r="AK87" s="1">
        <v>0</v>
      </c>
      <c r="AL87" s="1">
        <v>0</v>
      </c>
      <c r="AM87" s="16">
        <f t="shared" si="13"/>
        <v>0</v>
      </c>
      <c r="AN87" s="162"/>
      <c r="AO87" s="1"/>
      <c r="AP87" s="1"/>
      <c r="AQ87" s="1"/>
      <c r="AR87" s="311"/>
      <c r="AS87" s="21" t="s">
        <v>310</v>
      </c>
      <c r="AT87" s="1">
        <f t="shared" si="14"/>
        <v>0</v>
      </c>
      <c r="AU87" s="31"/>
      <c r="AV87" s="31"/>
      <c r="AW87" s="31"/>
      <c r="AX87" s="16">
        <f t="shared" si="17"/>
        <v>0</v>
      </c>
      <c r="AY87" s="156">
        <v>2</v>
      </c>
      <c r="AZ87" s="371">
        <v>0</v>
      </c>
      <c r="BA87" s="455"/>
      <c r="BB87" s="31"/>
      <c r="BC87" s="31"/>
      <c r="BD87" s="16">
        <f t="shared" si="16"/>
        <v>0</v>
      </c>
      <c r="BE87" s="31"/>
      <c r="BF87" s="31"/>
      <c r="BG87" s="31"/>
      <c r="BH87" s="31"/>
      <c r="BI87" s="16"/>
      <c r="BJ87" s="16"/>
      <c r="BK87" s="31"/>
      <c r="BL87" s="31"/>
      <c r="BM87" s="31"/>
      <c r="BN87" s="31"/>
      <c r="BO87" s="16"/>
      <c r="BP87" s="31"/>
      <c r="BQ87" s="31"/>
      <c r="BR87" s="31"/>
      <c r="BS87" s="31"/>
      <c r="BT87" s="16"/>
      <c r="BU87" s="16"/>
      <c r="BV87" s="16"/>
      <c r="BW87" s="16"/>
      <c r="BX87" s="16"/>
      <c r="BY87" s="16"/>
      <c r="BZ87" s="16"/>
      <c r="CA87" s="1"/>
      <c r="CB87" s="1"/>
      <c r="CC87" s="1"/>
    </row>
    <row r="88" spans="1:81" s="52" customFormat="1" ht="76.5" customHeight="1" x14ac:dyDescent="0.25">
      <c r="A88" s="1">
        <v>1</v>
      </c>
      <c r="B88" s="13" t="s">
        <v>1746</v>
      </c>
      <c r="C88" s="588"/>
      <c r="D88" s="589"/>
      <c r="E88" s="10" t="s">
        <v>293</v>
      </c>
      <c r="F88" s="13" t="s">
        <v>294</v>
      </c>
      <c r="G88" s="588"/>
      <c r="H88" s="589"/>
      <c r="I88" s="10" t="s">
        <v>379</v>
      </c>
      <c r="J88" s="13" t="s">
        <v>380</v>
      </c>
      <c r="K88" s="572"/>
      <c r="L88" s="573"/>
      <c r="M88" s="10" t="s">
        <v>387</v>
      </c>
      <c r="N88" s="23" t="s">
        <v>388</v>
      </c>
      <c r="O88" s="13" t="s">
        <v>388</v>
      </c>
      <c r="P88" s="10" t="s">
        <v>389</v>
      </c>
      <c r="Q88" s="10" t="s">
        <v>390</v>
      </c>
      <c r="R88" s="10" t="s">
        <v>391</v>
      </c>
      <c r="S88" s="13" t="s">
        <v>392</v>
      </c>
      <c r="T88" s="13" t="s">
        <v>1933</v>
      </c>
      <c r="U88" s="1"/>
      <c r="V88" s="1">
        <v>30</v>
      </c>
      <c r="W88" s="10" t="s">
        <v>49</v>
      </c>
      <c r="X88" s="1"/>
      <c r="Y88" s="1"/>
      <c r="Z88" s="1"/>
      <c r="AA88" s="24"/>
      <c r="AB88" s="10" t="s">
        <v>1762</v>
      </c>
      <c r="AC88" s="162">
        <v>6</v>
      </c>
      <c r="AD88" s="156">
        <v>8</v>
      </c>
      <c r="AE88" s="156">
        <v>8</v>
      </c>
      <c r="AF88" s="156">
        <v>8</v>
      </c>
      <c r="AG88" s="377">
        <f t="shared" si="15"/>
        <v>30</v>
      </c>
      <c r="AH88" s="377" t="b">
        <f t="shared" si="12"/>
        <v>1</v>
      </c>
      <c r="AI88" s="1">
        <v>2</v>
      </c>
      <c r="AJ88" s="1">
        <v>3</v>
      </c>
      <c r="AK88" s="1">
        <v>6</v>
      </c>
      <c r="AL88" s="1">
        <v>6</v>
      </c>
      <c r="AM88" s="16">
        <f t="shared" si="13"/>
        <v>0.2</v>
      </c>
      <c r="AN88" s="162">
        <v>6</v>
      </c>
      <c r="AO88" s="1">
        <v>2</v>
      </c>
      <c r="AP88" s="1">
        <v>3</v>
      </c>
      <c r="AQ88" s="1"/>
      <c r="AR88" s="311">
        <f t="shared" si="10"/>
        <v>6</v>
      </c>
      <c r="AS88" s="21">
        <f t="shared" si="11"/>
        <v>1</v>
      </c>
      <c r="AT88" s="1">
        <f t="shared" si="14"/>
        <v>6</v>
      </c>
      <c r="AU88" s="31"/>
      <c r="AV88" s="31"/>
      <c r="AW88" s="31"/>
      <c r="AX88" s="16">
        <f t="shared" si="17"/>
        <v>0.2</v>
      </c>
      <c r="AY88" s="156">
        <v>8</v>
      </c>
      <c r="AZ88" s="108"/>
      <c r="BA88" s="455"/>
      <c r="BB88" s="31"/>
      <c r="BC88" s="31"/>
      <c r="BD88" s="16">
        <f t="shared" si="16"/>
        <v>0</v>
      </c>
      <c r="BE88" s="31"/>
      <c r="BF88" s="31"/>
      <c r="BG88" s="31"/>
      <c r="BH88" s="31"/>
      <c r="BI88" s="16"/>
      <c r="BJ88" s="16"/>
      <c r="BK88" s="31"/>
      <c r="BL88" s="31"/>
      <c r="BM88" s="31"/>
      <c r="BN88" s="31"/>
      <c r="BO88" s="16"/>
      <c r="BP88" s="31"/>
      <c r="BQ88" s="31"/>
      <c r="BR88" s="31"/>
      <c r="BS88" s="31"/>
      <c r="BT88" s="16"/>
      <c r="BU88" s="16"/>
      <c r="BV88" s="16"/>
      <c r="BW88" s="16"/>
      <c r="BX88" s="16"/>
      <c r="BY88" s="16"/>
      <c r="BZ88" s="16"/>
      <c r="CA88" s="1"/>
      <c r="CB88" s="1"/>
      <c r="CC88" s="1"/>
    </row>
    <row r="89" spans="1:81" s="52" customFormat="1" ht="76.5" customHeight="1" x14ac:dyDescent="0.25">
      <c r="A89" s="1">
        <v>1</v>
      </c>
      <c r="B89" s="13" t="s">
        <v>1746</v>
      </c>
      <c r="C89" s="588"/>
      <c r="D89" s="589"/>
      <c r="E89" s="10" t="s">
        <v>293</v>
      </c>
      <c r="F89" s="13" t="s">
        <v>294</v>
      </c>
      <c r="G89" s="588"/>
      <c r="H89" s="589"/>
      <c r="I89" s="10" t="s">
        <v>379</v>
      </c>
      <c r="J89" s="13" t="s">
        <v>380</v>
      </c>
      <c r="K89" s="572"/>
      <c r="L89" s="573"/>
      <c r="M89" s="10" t="s">
        <v>387</v>
      </c>
      <c r="N89" s="23" t="s">
        <v>388</v>
      </c>
      <c r="O89" s="13" t="s">
        <v>388</v>
      </c>
      <c r="P89" s="10" t="s">
        <v>389</v>
      </c>
      <c r="Q89" s="10" t="s">
        <v>390</v>
      </c>
      <c r="R89" s="10" t="s">
        <v>393</v>
      </c>
      <c r="S89" s="13" t="s">
        <v>394</v>
      </c>
      <c r="T89" s="13" t="s">
        <v>394</v>
      </c>
      <c r="U89" s="1"/>
      <c r="V89" s="1">
        <v>45</v>
      </c>
      <c r="W89" s="10" t="s">
        <v>78</v>
      </c>
      <c r="X89" s="1"/>
      <c r="Y89" s="1"/>
      <c r="Z89" s="1"/>
      <c r="AA89" s="24"/>
      <c r="AB89" s="10" t="s">
        <v>1762</v>
      </c>
      <c r="AC89" s="162">
        <v>45</v>
      </c>
      <c r="AD89" s="156">
        <v>45</v>
      </c>
      <c r="AE89" s="156">
        <v>45</v>
      </c>
      <c r="AF89" s="156">
        <v>45</v>
      </c>
      <c r="AG89" s="377">
        <f t="shared" si="15"/>
        <v>180</v>
      </c>
      <c r="AH89" s="377" t="b">
        <f t="shared" si="12"/>
        <v>0</v>
      </c>
      <c r="AI89" s="1">
        <v>45</v>
      </c>
      <c r="AJ89" s="1">
        <v>45</v>
      </c>
      <c r="AK89" s="1">
        <v>45</v>
      </c>
      <c r="AL89" s="1">
        <v>45</v>
      </c>
      <c r="AM89" s="16">
        <f t="shared" si="13"/>
        <v>1</v>
      </c>
      <c r="AN89" s="162">
        <v>45</v>
      </c>
      <c r="AO89" s="1">
        <v>45</v>
      </c>
      <c r="AP89" s="1">
        <v>45</v>
      </c>
      <c r="AQ89" s="1"/>
      <c r="AR89" s="311">
        <f t="shared" si="10"/>
        <v>45</v>
      </c>
      <c r="AS89" s="21">
        <f t="shared" si="11"/>
        <v>1</v>
      </c>
      <c r="AT89" s="1">
        <f t="shared" si="14"/>
        <v>11.25</v>
      </c>
      <c r="AU89" s="31"/>
      <c r="AV89" s="31"/>
      <c r="AW89" s="31"/>
      <c r="AX89" s="16">
        <f t="shared" si="17"/>
        <v>0.25</v>
      </c>
      <c r="AY89" s="156">
        <v>45</v>
      </c>
      <c r="AZ89" s="108"/>
      <c r="BA89" s="455"/>
      <c r="BB89" s="31"/>
      <c r="BC89" s="31"/>
      <c r="BD89" s="16">
        <f t="shared" si="16"/>
        <v>0</v>
      </c>
      <c r="BE89" s="31"/>
      <c r="BF89" s="31"/>
      <c r="BG89" s="31"/>
      <c r="BH89" s="31"/>
      <c r="BI89" s="16"/>
      <c r="BJ89" s="16"/>
      <c r="BK89" s="31"/>
      <c r="BL89" s="31"/>
      <c r="BM89" s="31"/>
      <c r="BN89" s="31"/>
      <c r="BO89" s="16"/>
      <c r="BP89" s="31"/>
      <c r="BQ89" s="31"/>
      <c r="BR89" s="31"/>
      <c r="BS89" s="31"/>
      <c r="BT89" s="16"/>
      <c r="BU89" s="16"/>
      <c r="BV89" s="16"/>
      <c r="BW89" s="16"/>
      <c r="BX89" s="16"/>
      <c r="BY89" s="16"/>
      <c r="BZ89" s="16"/>
      <c r="CA89" s="1"/>
      <c r="CB89" s="1"/>
      <c r="CC89" s="1"/>
    </row>
    <row r="90" spans="1:81" s="52" customFormat="1" ht="76.5" customHeight="1" x14ac:dyDescent="0.25">
      <c r="A90" s="1">
        <v>1</v>
      </c>
      <c r="B90" s="13" t="s">
        <v>1746</v>
      </c>
      <c r="C90" s="588"/>
      <c r="D90" s="589"/>
      <c r="E90" s="10" t="s">
        <v>293</v>
      </c>
      <c r="F90" s="13" t="s">
        <v>294</v>
      </c>
      <c r="G90" s="588"/>
      <c r="H90" s="589"/>
      <c r="I90" s="10" t="s">
        <v>379</v>
      </c>
      <c r="J90" s="13" t="s">
        <v>380</v>
      </c>
      <c r="K90" s="572"/>
      <c r="L90" s="573"/>
      <c r="M90" s="10" t="s">
        <v>387</v>
      </c>
      <c r="N90" s="23" t="s">
        <v>388</v>
      </c>
      <c r="O90" s="13" t="s">
        <v>388</v>
      </c>
      <c r="P90" s="10" t="s">
        <v>389</v>
      </c>
      <c r="Q90" s="10" t="s">
        <v>390</v>
      </c>
      <c r="R90" s="10" t="s">
        <v>395</v>
      </c>
      <c r="S90" s="13" t="s">
        <v>396</v>
      </c>
      <c r="T90" s="13" t="s">
        <v>396</v>
      </c>
      <c r="U90" s="1"/>
      <c r="V90" s="1">
        <v>100</v>
      </c>
      <c r="W90" s="10" t="s">
        <v>78</v>
      </c>
      <c r="X90" s="1"/>
      <c r="Y90" s="1"/>
      <c r="Z90" s="1"/>
      <c r="AA90" s="24"/>
      <c r="AB90" s="10" t="s">
        <v>1762</v>
      </c>
      <c r="AC90" s="162">
        <v>100</v>
      </c>
      <c r="AD90" s="156">
        <v>100</v>
      </c>
      <c r="AE90" s="156">
        <v>100</v>
      </c>
      <c r="AF90" s="156">
        <v>100</v>
      </c>
      <c r="AG90" s="377">
        <f t="shared" si="15"/>
        <v>400</v>
      </c>
      <c r="AH90" s="377" t="b">
        <f t="shared" si="12"/>
        <v>0</v>
      </c>
      <c r="AI90" s="1">
        <v>0</v>
      </c>
      <c r="AJ90" s="1">
        <v>80</v>
      </c>
      <c r="AK90" s="1">
        <v>100</v>
      </c>
      <c r="AL90" s="1">
        <v>100</v>
      </c>
      <c r="AM90" s="16">
        <f t="shared" si="13"/>
        <v>1</v>
      </c>
      <c r="AN90" s="162">
        <v>100</v>
      </c>
      <c r="AO90" s="1">
        <v>0</v>
      </c>
      <c r="AP90" s="1">
        <v>80</v>
      </c>
      <c r="AQ90" s="1"/>
      <c r="AR90" s="311">
        <f t="shared" si="10"/>
        <v>100</v>
      </c>
      <c r="AS90" s="21">
        <f t="shared" si="11"/>
        <v>1</v>
      </c>
      <c r="AT90" s="1">
        <f t="shared" si="14"/>
        <v>25</v>
      </c>
      <c r="AU90" s="31"/>
      <c r="AV90" s="31"/>
      <c r="AW90" s="31"/>
      <c r="AX90" s="16">
        <f t="shared" si="17"/>
        <v>0.25</v>
      </c>
      <c r="AY90" s="156">
        <v>100</v>
      </c>
      <c r="AZ90" s="108"/>
      <c r="BA90" s="455"/>
      <c r="BB90" s="31"/>
      <c r="BC90" s="31"/>
      <c r="BD90" s="16">
        <f t="shared" si="16"/>
        <v>0</v>
      </c>
      <c r="BE90" s="31"/>
      <c r="BF90" s="31"/>
      <c r="BG90" s="31"/>
      <c r="BH90" s="31"/>
      <c r="BI90" s="16"/>
      <c r="BJ90" s="16"/>
      <c r="BK90" s="31"/>
      <c r="BL90" s="31"/>
      <c r="BM90" s="31"/>
      <c r="BN90" s="31"/>
      <c r="BO90" s="16"/>
      <c r="BP90" s="31"/>
      <c r="BQ90" s="31"/>
      <c r="BR90" s="31"/>
      <c r="BS90" s="31"/>
      <c r="BT90" s="16"/>
      <c r="BU90" s="16"/>
      <c r="BV90" s="16"/>
      <c r="BW90" s="16"/>
      <c r="BX90" s="16"/>
      <c r="BY90" s="16"/>
      <c r="BZ90" s="16"/>
      <c r="CA90" s="1"/>
      <c r="CB90" s="1"/>
      <c r="CC90" s="1"/>
    </row>
    <row r="91" spans="1:81" s="52" customFormat="1" ht="76.5" customHeight="1" x14ac:dyDescent="0.25">
      <c r="A91" s="1">
        <v>1</v>
      </c>
      <c r="B91" s="13" t="s">
        <v>1746</v>
      </c>
      <c r="C91" s="588"/>
      <c r="D91" s="589"/>
      <c r="E91" s="10" t="s">
        <v>293</v>
      </c>
      <c r="F91" s="13" t="s">
        <v>294</v>
      </c>
      <c r="G91" s="588"/>
      <c r="H91" s="589"/>
      <c r="I91" s="10" t="s">
        <v>379</v>
      </c>
      <c r="J91" s="13" t="s">
        <v>380</v>
      </c>
      <c r="K91" s="572"/>
      <c r="L91" s="573"/>
      <c r="M91" s="10" t="s">
        <v>397</v>
      </c>
      <c r="N91" s="23" t="s">
        <v>398</v>
      </c>
      <c r="O91" s="13" t="s">
        <v>398</v>
      </c>
      <c r="P91" s="10" t="s">
        <v>399</v>
      </c>
      <c r="Q91" s="10" t="s">
        <v>399</v>
      </c>
      <c r="R91" s="10" t="s">
        <v>400</v>
      </c>
      <c r="S91" s="13" t="s">
        <v>401</v>
      </c>
      <c r="T91" s="13" t="s">
        <v>401</v>
      </c>
      <c r="U91" s="1"/>
      <c r="V91" s="1">
        <v>25</v>
      </c>
      <c r="W91" s="10" t="s">
        <v>49</v>
      </c>
      <c r="X91" s="1"/>
      <c r="Y91" s="1" t="s">
        <v>302</v>
      </c>
      <c r="Z91" s="1" t="s">
        <v>303</v>
      </c>
      <c r="AA91" s="24"/>
      <c r="AB91" s="10" t="s">
        <v>1762</v>
      </c>
      <c r="AC91" s="162">
        <v>7</v>
      </c>
      <c r="AD91" s="156">
        <v>7</v>
      </c>
      <c r="AE91" s="156">
        <v>8</v>
      </c>
      <c r="AF91" s="156">
        <v>7</v>
      </c>
      <c r="AG91" s="377">
        <f t="shared" si="15"/>
        <v>29</v>
      </c>
      <c r="AH91" s="377" t="b">
        <f t="shared" si="12"/>
        <v>0</v>
      </c>
      <c r="AI91" s="1">
        <v>0</v>
      </c>
      <c r="AJ91" s="1">
        <v>0</v>
      </c>
      <c r="AK91" s="1">
        <v>0</v>
      </c>
      <c r="AL91" s="1">
        <v>0</v>
      </c>
      <c r="AM91" s="16">
        <f t="shared" si="13"/>
        <v>0</v>
      </c>
      <c r="AN91" s="162">
        <v>7</v>
      </c>
      <c r="AO91" s="1">
        <v>0</v>
      </c>
      <c r="AP91" s="1">
        <v>0</v>
      </c>
      <c r="AQ91" s="1"/>
      <c r="AR91" s="311">
        <f t="shared" si="10"/>
        <v>0</v>
      </c>
      <c r="AS91" s="21">
        <f t="shared" si="11"/>
        <v>0</v>
      </c>
      <c r="AT91" s="1">
        <f t="shared" si="14"/>
        <v>0</v>
      </c>
      <c r="AU91" s="31"/>
      <c r="AV91" s="31"/>
      <c r="AW91" s="31"/>
      <c r="AX91" s="16">
        <f t="shared" si="17"/>
        <v>0</v>
      </c>
      <c r="AY91" s="156">
        <v>7</v>
      </c>
      <c r="AZ91" s="371">
        <v>0</v>
      </c>
      <c r="BA91" s="455"/>
      <c r="BB91" s="31"/>
      <c r="BC91" s="31"/>
      <c r="BD91" s="16">
        <f t="shared" si="16"/>
        <v>0</v>
      </c>
      <c r="BE91" s="31"/>
      <c r="BF91" s="31"/>
      <c r="BG91" s="31"/>
      <c r="BH91" s="31"/>
      <c r="BI91" s="16"/>
      <c r="BJ91" s="16"/>
      <c r="BK91" s="31"/>
      <c r="BL91" s="31"/>
      <c r="BM91" s="31"/>
      <c r="BN91" s="31"/>
      <c r="BO91" s="16"/>
      <c r="BP91" s="31"/>
      <c r="BQ91" s="31"/>
      <c r="BR91" s="31"/>
      <c r="BS91" s="31"/>
      <c r="BT91" s="16"/>
      <c r="BU91" s="16"/>
      <c r="BV91" s="16"/>
      <c r="BW91" s="16"/>
      <c r="BX91" s="16"/>
      <c r="BY91" s="16"/>
      <c r="BZ91" s="16"/>
      <c r="CA91" s="1"/>
      <c r="CB91" s="1"/>
      <c r="CC91" s="1"/>
    </row>
    <row r="92" spans="1:81" s="52" customFormat="1" ht="76.5" customHeight="1" x14ac:dyDescent="0.25">
      <c r="A92" s="1">
        <v>1</v>
      </c>
      <c r="B92" s="13" t="s">
        <v>1746</v>
      </c>
      <c r="C92" s="588"/>
      <c r="D92" s="589"/>
      <c r="E92" s="10" t="s">
        <v>293</v>
      </c>
      <c r="F92" s="13" t="s">
        <v>294</v>
      </c>
      <c r="G92" s="588"/>
      <c r="H92" s="589"/>
      <c r="I92" s="10" t="s">
        <v>379</v>
      </c>
      <c r="J92" s="13" t="s">
        <v>380</v>
      </c>
      <c r="K92" s="572"/>
      <c r="L92" s="573"/>
      <c r="M92" s="10" t="s">
        <v>397</v>
      </c>
      <c r="N92" s="23" t="s">
        <v>398</v>
      </c>
      <c r="O92" s="13" t="s">
        <v>398</v>
      </c>
      <c r="P92" s="10" t="s">
        <v>399</v>
      </c>
      <c r="Q92" s="10" t="s">
        <v>399</v>
      </c>
      <c r="R92" s="10" t="s">
        <v>402</v>
      </c>
      <c r="S92" s="13" t="s">
        <v>403</v>
      </c>
      <c r="T92" s="13" t="s">
        <v>1931</v>
      </c>
      <c r="U92" s="1"/>
      <c r="V92" s="1">
        <v>12</v>
      </c>
      <c r="W92" s="10" t="s">
        <v>49</v>
      </c>
      <c r="X92" s="1"/>
      <c r="Y92" s="1" t="s">
        <v>302</v>
      </c>
      <c r="Z92" s="1" t="s">
        <v>303</v>
      </c>
      <c r="AA92" s="24"/>
      <c r="AB92" s="10" t="s">
        <v>1762</v>
      </c>
      <c r="AC92" s="162">
        <v>3</v>
      </c>
      <c r="AD92" s="156">
        <v>12</v>
      </c>
      <c r="AE92" s="156">
        <v>3</v>
      </c>
      <c r="AF92" s="156">
        <v>3</v>
      </c>
      <c r="AG92" s="377">
        <f t="shared" si="15"/>
        <v>21</v>
      </c>
      <c r="AH92" s="377" t="b">
        <f t="shared" si="12"/>
        <v>0</v>
      </c>
      <c r="AI92" s="1">
        <v>0</v>
      </c>
      <c r="AJ92" s="1">
        <v>0</v>
      </c>
      <c r="AK92" s="1">
        <v>0</v>
      </c>
      <c r="AL92" s="1">
        <v>0</v>
      </c>
      <c r="AM92" s="16">
        <f t="shared" si="13"/>
        <v>0</v>
      </c>
      <c r="AN92" s="162">
        <v>3</v>
      </c>
      <c r="AO92" s="1">
        <v>0</v>
      </c>
      <c r="AP92" s="1">
        <v>0</v>
      </c>
      <c r="AQ92" s="1"/>
      <c r="AR92" s="311">
        <f t="shared" si="10"/>
        <v>0</v>
      </c>
      <c r="AS92" s="21">
        <f t="shared" si="11"/>
        <v>0</v>
      </c>
      <c r="AT92" s="1">
        <f t="shared" si="14"/>
        <v>0</v>
      </c>
      <c r="AU92" s="31"/>
      <c r="AV92" s="31"/>
      <c r="AW92" s="31"/>
      <c r="AX92" s="16">
        <f t="shared" si="17"/>
        <v>0</v>
      </c>
      <c r="AY92" s="156">
        <v>12</v>
      </c>
      <c r="AZ92" s="371">
        <v>0</v>
      </c>
      <c r="BA92" s="455"/>
      <c r="BB92" s="31"/>
      <c r="BC92" s="31"/>
      <c r="BD92" s="16">
        <f t="shared" si="16"/>
        <v>0</v>
      </c>
      <c r="BE92" s="31"/>
      <c r="BF92" s="31"/>
      <c r="BG92" s="31"/>
      <c r="BH92" s="31"/>
      <c r="BI92" s="16"/>
      <c r="BJ92" s="16"/>
      <c r="BK92" s="31"/>
      <c r="BL92" s="31"/>
      <c r="BM92" s="31"/>
      <c r="BN92" s="31"/>
      <c r="BO92" s="16"/>
      <c r="BP92" s="31"/>
      <c r="BQ92" s="31"/>
      <c r="BR92" s="31"/>
      <c r="BS92" s="31"/>
      <c r="BT92" s="16"/>
      <c r="BU92" s="16"/>
      <c r="BV92" s="16"/>
      <c r="BW92" s="16"/>
      <c r="BX92" s="16"/>
      <c r="BY92" s="16"/>
      <c r="BZ92" s="16"/>
      <c r="CA92" s="1"/>
      <c r="CB92" s="1"/>
      <c r="CC92" s="1"/>
    </row>
    <row r="93" spans="1:81" s="52" customFormat="1" ht="76.5" customHeight="1" x14ac:dyDescent="0.25">
      <c r="A93" s="1">
        <v>1</v>
      </c>
      <c r="B93" s="13" t="s">
        <v>1746</v>
      </c>
      <c r="C93" s="588"/>
      <c r="D93" s="589"/>
      <c r="E93" s="10" t="s">
        <v>293</v>
      </c>
      <c r="F93" s="13" t="s">
        <v>294</v>
      </c>
      <c r="G93" s="588"/>
      <c r="H93" s="589"/>
      <c r="I93" s="10" t="s">
        <v>379</v>
      </c>
      <c r="J93" s="13" t="s">
        <v>380</v>
      </c>
      <c r="K93" s="572"/>
      <c r="L93" s="573"/>
      <c r="M93" s="10" t="s">
        <v>404</v>
      </c>
      <c r="N93" s="23" t="s">
        <v>405</v>
      </c>
      <c r="O93" s="13" t="s">
        <v>405</v>
      </c>
      <c r="P93" s="10">
        <v>15.5</v>
      </c>
      <c r="Q93" s="10">
        <v>10</v>
      </c>
      <c r="R93" s="10" t="s">
        <v>406</v>
      </c>
      <c r="S93" s="13" t="s">
        <v>407</v>
      </c>
      <c r="T93" s="13" t="s">
        <v>1934</v>
      </c>
      <c r="U93" s="1"/>
      <c r="V93" s="1">
        <v>45</v>
      </c>
      <c r="W93" s="10" t="s">
        <v>78</v>
      </c>
      <c r="X93" s="1"/>
      <c r="Y93" s="1" t="s">
        <v>302</v>
      </c>
      <c r="Z93" s="1" t="s">
        <v>303</v>
      </c>
      <c r="AA93" s="24"/>
      <c r="AB93" s="10" t="s">
        <v>1762</v>
      </c>
      <c r="AC93" s="162">
        <v>45</v>
      </c>
      <c r="AD93" s="156">
        <v>45</v>
      </c>
      <c r="AE93" s="156">
        <v>45</v>
      </c>
      <c r="AF93" s="156">
        <v>45</v>
      </c>
      <c r="AG93" s="377">
        <f t="shared" si="15"/>
        <v>180</v>
      </c>
      <c r="AH93" s="377" t="b">
        <f t="shared" si="12"/>
        <v>0</v>
      </c>
      <c r="AI93" s="27">
        <v>9</v>
      </c>
      <c r="AJ93" s="27">
        <v>9</v>
      </c>
      <c r="AK93" s="27">
        <v>27</v>
      </c>
      <c r="AL93" s="27">
        <v>27</v>
      </c>
      <c r="AM93" s="16">
        <f t="shared" si="13"/>
        <v>0.6</v>
      </c>
      <c r="AN93" s="162">
        <v>45</v>
      </c>
      <c r="AO93" s="27">
        <v>9</v>
      </c>
      <c r="AP93" s="27">
        <v>9</v>
      </c>
      <c r="AQ93" s="27"/>
      <c r="AR93" s="311">
        <f t="shared" si="10"/>
        <v>27</v>
      </c>
      <c r="AS93" s="21">
        <f t="shared" si="11"/>
        <v>0.6</v>
      </c>
      <c r="AT93" s="1">
        <f t="shared" si="14"/>
        <v>6.75</v>
      </c>
      <c r="AU93" s="31"/>
      <c r="AV93" s="31"/>
      <c r="AW93" s="31"/>
      <c r="AX93" s="16">
        <f t="shared" si="17"/>
        <v>0.15</v>
      </c>
      <c r="AY93" s="156">
        <v>45</v>
      </c>
      <c r="AZ93" s="371">
        <v>0</v>
      </c>
      <c r="BA93" s="455"/>
      <c r="BB93" s="31"/>
      <c r="BC93" s="31"/>
      <c r="BD93" s="16">
        <f t="shared" si="16"/>
        <v>0</v>
      </c>
      <c r="BE93" s="31"/>
      <c r="BF93" s="31"/>
      <c r="BG93" s="31"/>
      <c r="BH93" s="31"/>
      <c r="BI93" s="16"/>
      <c r="BJ93" s="16"/>
      <c r="BK93" s="31"/>
      <c r="BL93" s="31"/>
      <c r="BM93" s="31"/>
      <c r="BN93" s="31"/>
      <c r="BO93" s="16"/>
      <c r="BP93" s="31"/>
      <c r="BQ93" s="31"/>
      <c r="BR93" s="31"/>
      <c r="BS93" s="31"/>
      <c r="BT93" s="16"/>
      <c r="BU93" s="16"/>
      <c r="BV93" s="16"/>
      <c r="BW93" s="16"/>
      <c r="BX93" s="16"/>
      <c r="BY93" s="16"/>
      <c r="BZ93" s="16"/>
      <c r="CA93" s="1"/>
      <c r="CB93" s="1"/>
      <c r="CC93" s="1"/>
    </row>
    <row r="94" spans="1:81" s="52" customFormat="1" ht="76.5" customHeight="1" x14ac:dyDescent="0.25">
      <c r="A94" s="1">
        <v>1</v>
      </c>
      <c r="B94" s="13" t="s">
        <v>1746</v>
      </c>
      <c r="C94" s="588"/>
      <c r="D94" s="589"/>
      <c r="E94" s="10" t="s">
        <v>293</v>
      </c>
      <c r="F94" s="13" t="s">
        <v>294</v>
      </c>
      <c r="G94" s="588"/>
      <c r="H94" s="589"/>
      <c r="I94" s="10" t="s">
        <v>379</v>
      </c>
      <c r="J94" s="13" t="s">
        <v>380</v>
      </c>
      <c r="K94" s="572"/>
      <c r="L94" s="573"/>
      <c r="M94" s="10" t="s">
        <v>404</v>
      </c>
      <c r="N94" s="23" t="s">
        <v>405</v>
      </c>
      <c r="O94" s="13" t="s">
        <v>405</v>
      </c>
      <c r="P94" s="10">
        <v>15.5</v>
      </c>
      <c r="Q94" s="10">
        <v>10</v>
      </c>
      <c r="R94" s="10" t="s">
        <v>408</v>
      </c>
      <c r="S94" s="13" t="s">
        <v>409</v>
      </c>
      <c r="T94" s="13" t="s">
        <v>1935</v>
      </c>
      <c r="U94" s="1"/>
      <c r="V94" s="108">
        <v>24</v>
      </c>
      <c r="W94" s="10" t="s">
        <v>78</v>
      </c>
      <c r="X94" s="1"/>
      <c r="Y94" s="1" t="s">
        <v>302</v>
      </c>
      <c r="Z94" s="1" t="s">
        <v>303</v>
      </c>
      <c r="AA94" s="24"/>
      <c r="AB94" s="10" t="s">
        <v>1762</v>
      </c>
      <c r="AC94" s="162">
        <v>12</v>
      </c>
      <c r="AD94" s="108">
        <v>12</v>
      </c>
      <c r="AE94" s="156">
        <v>12</v>
      </c>
      <c r="AF94" s="156">
        <v>12</v>
      </c>
      <c r="AG94" s="377">
        <f t="shared" si="15"/>
        <v>48</v>
      </c>
      <c r="AH94" s="377" t="b">
        <f t="shared" si="12"/>
        <v>0</v>
      </c>
      <c r="AI94" s="1">
        <v>0</v>
      </c>
      <c r="AJ94" s="1">
        <v>0</v>
      </c>
      <c r="AK94" s="1">
        <v>3</v>
      </c>
      <c r="AL94" s="1">
        <v>3</v>
      </c>
      <c r="AM94" s="16">
        <f t="shared" si="13"/>
        <v>0.125</v>
      </c>
      <c r="AN94" s="162">
        <v>12</v>
      </c>
      <c r="AO94" s="1">
        <v>0</v>
      </c>
      <c r="AP94" s="1">
        <v>0</v>
      </c>
      <c r="AQ94" s="1"/>
      <c r="AR94" s="311">
        <f t="shared" si="10"/>
        <v>3</v>
      </c>
      <c r="AS94" s="21">
        <f t="shared" si="11"/>
        <v>0.25</v>
      </c>
      <c r="AT94" s="1">
        <f t="shared" si="14"/>
        <v>2.75</v>
      </c>
      <c r="AU94" s="31"/>
      <c r="AV94" s="31"/>
      <c r="AW94" s="31"/>
      <c r="AX94" s="16">
        <f t="shared" si="17"/>
        <v>0.11458333333333333</v>
      </c>
      <c r="AY94" s="108">
        <v>12</v>
      </c>
      <c r="AZ94" s="371">
        <v>8</v>
      </c>
      <c r="BA94" s="455"/>
      <c r="BB94" s="31"/>
      <c r="BC94" s="31"/>
      <c r="BD94" s="16">
        <f t="shared" si="16"/>
        <v>0.66666666666666663</v>
      </c>
      <c r="BE94" s="31"/>
      <c r="BF94" s="31"/>
      <c r="BG94" s="31"/>
      <c r="BH94" s="31"/>
      <c r="BI94" s="16"/>
      <c r="BJ94" s="16"/>
      <c r="BK94" s="31"/>
      <c r="BL94" s="31"/>
      <c r="BM94" s="31"/>
      <c r="BN94" s="31"/>
      <c r="BO94" s="16"/>
      <c r="BP94" s="31"/>
      <c r="BQ94" s="31"/>
      <c r="BR94" s="31"/>
      <c r="BS94" s="31"/>
      <c r="BT94" s="16"/>
      <c r="BU94" s="16"/>
      <c r="BV94" s="16"/>
      <c r="BW94" s="16"/>
      <c r="BX94" s="16"/>
      <c r="BY94" s="16"/>
      <c r="BZ94" s="16"/>
      <c r="CA94" s="1"/>
      <c r="CB94" s="1"/>
      <c r="CC94" s="1"/>
    </row>
    <row r="95" spans="1:81" s="52" customFormat="1" ht="76.5" customHeight="1" x14ac:dyDescent="0.25">
      <c r="A95" s="1">
        <v>1</v>
      </c>
      <c r="B95" s="13" t="s">
        <v>1746</v>
      </c>
      <c r="C95" s="588"/>
      <c r="D95" s="589"/>
      <c r="E95" s="10" t="s">
        <v>293</v>
      </c>
      <c r="F95" s="13" t="s">
        <v>294</v>
      </c>
      <c r="G95" s="588"/>
      <c r="H95" s="589"/>
      <c r="I95" s="10" t="s">
        <v>379</v>
      </c>
      <c r="J95" s="13" t="s">
        <v>380</v>
      </c>
      <c r="K95" s="568"/>
      <c r="L95" s="570"/>
      <c r="M95" s="10" t="s">
        <v>404</v>
      </c>
      <c r="N95" s="23" t="s">
        <v>405</v>
      </c>
      <c r="O95" s="13" t="s">
        <v>405</v>
      </c>
      <c r="P95" s="10">
        <v>15.5</v>
      </c>
      <c r="Q95" s="10">
        <v>10</v>
      </c>
      <c r="R95" s="10" t="s">
        <v>410</v>
      </c>
      <c r="S95" s="13" t="s">
        <v>411</v>
      </c>
      <c r="T95" s="13" t="s">
        <v>1936</v>
      </c>
      <c r="U95" s="1"/>
      <c r="V95" s="76">
        <v>45</v>
      </c>
      <c r="W95" s="10" t="s">
        <v>412</v>
      </c>
      <c r="X95" s="1"/>
      <c r="Y95" s="1" t="s">
        <v>302</v>
      </c>
      <c r="Z95" s="1" t="s">
        <v>303</v>
      </c>
      <c r="AA95" s="24"/>
      <c r="AB95" s="10" t="s">
        <v>1762</v>
      </c>
      <c r="AC95" s="162">
        <v>45</v>
      </c>
      <c r="AD95" s="156">
        <v>45</v>
      </c>
      <c r="AE95" s="156">
        <v>45</v>
      </c>
      <c r="AF95" s="156">
        <v>45</v>
      </c>
      <c r="AG95" s="377">
        <f t="shared" si="15"/>
        <v>180</v>
      </c>
      <c r="AH95" s="377" t="b">
        <f t="shared" si="12"/>
        <v>0</v>
      </c>
      <c r="AI95" s="1">
        <v>9</v>
      </c>
      <c r="AJ95" s="1">
        <v>9</v>
      </c>
      <c r="AK95" s="1">
        <v>23</v>
      </c>
      <c r="AL95" s="1">
        <v>23</v>
      </c>
      <c r="AM95" s="16">
        <f t="shared" si="13"/>
        <v>0.51111111111111107</v>
      </c>
      <c r="AN95" s="162">
        <v>45</v>
      </c>
      <c r="AO95" s="1">
        <v>9</v>
      </c>
      <c r="AP95" s="1">
        <v>9</v>
      </c>
      <c r="AQ95" s="1"/>
      <c r="AR95" s="311">
        <f t="shared" si="10"/>
        <v>23</v>
      </c>
      <c r="AS95" s="21">
        <f t="shared" si="11"/>
        <v>0.51111111111111107</v>
      </c>
      <c r="AT95" s="1">
        <f t="shared" si="14"/>
        <v>23</v>
      </c>
      <c r="AU95" s="31"/>
      <c r="AV95" s="31"/>
      <c r="AW95" s="31"/>
      <c r="AX95" s="16">
        <f t="shared" si="17"/>
        <v>0.51111111111111107</v>
      </c>
      <c r="AY95" s="156">
        <v>45</v>
      </c>
      <c r="AZ95" s="371">
        <v>0</v>
      </c>
      <c r="BA95" s="455"/>
      <c r="BB95" s="31"/>
      <c r="BC95" s="31"/>
      <c r="BD95" s="16">
        <f t="shared" si="16"/>
        <v>0</v>
      </c>
      <c r="BE95" s="31"/>
      <c r="BF95" s="31"/>
      <c r="BG95" s="31"/>
      <c r="BH95" s="31"/>
      <c r="BI95" s="16"/>
      <c r="BJ95" s="16"/>
      <c r="BK95" s="31"/>
      <c r="BL95" s="31"/>
      <c r="BM95" s="31"/>
      <c r="BN95" s="31"/>
      <c r="BO95" s="16"/>
      <c r="BP95" s="31"/>
      <c r="BQ95" s="31"/>
      <c r="BR95" s="31"/>
      <c r="BS95" s="31"/>
      <c r="BT95" s="16"/>
      <c r="BU95" s="16"/>
      <c r="BV95" s="16"/>
      <c r="BW95" s="16"/>
      <c r="BX95" s="16"/>
      <c r="BY95" s="16"/>
      <c r="BZ95" s="16"/>
      <c r="CA95" s="1"/>
      <c r="CB95" s="1"/>
      <c r="CC95" s="1"/>
    </row>
    <row r="96" spans="1:81" s="52" customFormat="1" ht="80.25" customHeight="1" x14ac:dyDescent="0.25">
      <c r="A96" s="1">
        <v>1</v>
      </c>
      <c r="B96" s="13" t="s">
        <v>1746</v>
      </c>
      <c r="C96" s="588"/>
      <c r="D96" s="589"/>
      <c r="E96" s="10" t="s">
        <v>293</v>
      </c>
      <c r="F96" s="13" t="s">
        <v>294</v>
      </c>
      <c r="G96" s="588"/>
      <c r="H96" s="589"/>
      <c r="I96" s="10" t="s">
        <v>413</v>
      </c>
      <c r="J96" s="13" t="s">
        <v>414</v>
      </c>
      <c r="K96" s="567">
        <f>AVERAGE(AX96:AX101)</f>
        <v>0.61435185185185182</v>
      </c>
      <c r="L96" s="569">
        <f>AVERAGE(BD96:BD101)</f>
        <v>0.11851851851851848</v>
      </c>
      <c r="M96" s="10" t="s">
        <v>415</v>
      </c>
      <c r="N96" s="10" t="s">
        <v>416</v>
      </c>
      <c r="O96" s="13" t="s">
        <v>416</v>
      </c>
      <c r="P96" s="10" t="s">
        <v>417</v>
      </c>
      <c r="Q96" s="10" t="s">
        <v>417</v>
      </c>
      <c r="R96" s="10" t="s">
        <v>418</v>
      </c>
      <c r="S96" s="13" t="s">
        <v>419</v>
      </c>
      <c r="T96" s="13" t="s">
        <v>1937</v>
      </c>
      <c r="U96" s="1"/>
      <c r="V96" s="75">
        <v>80</v>
      </c>
      <c r="W96" s="10" t="s">
        <v>412</v>
      </c>
      <c r="X96" s="1"/>
      <c r="Y96" s="1" t="s">
        <v>302</v>
      </c>
      <c r="Z96" s="1" t="s">
        <v>303</v>
      </c>
      <c r="AA96" s="24"/>
      <c r="AB96" s="10" t="s">
        <v>1762</v>
      </c>
      <c r="AC96" s="162">
        <v>72</v>
      </c>
      <c r="AD96" s="108">
        <v>36</v>
      </c>
      <c r="AE96" s="156">
        <v>78</v>
      </c>
      <c r="AF96" s="156">
        <v>80</v>
      </c>
      <c r="AG96" s="377">
        <f t="shared" si="15"/>
        <v>266</v>
      </c>
      <c r="AH96" s="377" t="b">
        <f t="shared" si="12"/>
        <v>0</v>
      </c>
      <c r="AI96" s="1">
        <v>71.099999999999994</v>
      </c>
      <c r="AJ96" s="1"/>
      <c r="AK96" s="1"/>
      <c r="AL96" s="333">
        <v>72</v>
      </c>
      <c r="AM96" s="16">
        <f t="shared" si="13"/>
        <v>0.9</v>
      </c>
      <c r="AN96" s="162">
        <v>72</v>
      </c>
      <c r="AO96" s="1">
        <v>31</v>
      </c>
      <c r="AP96" s="1"/>
      <c r="AQ96" s="1"/>
      <c r="AR96" s="311">
        <f t="shared" si="10"/>
        <v>72</v>
      </c>
      <c r="AS96" s="21">
        <f t="shared" si="11"/>
        <v>1</v>
      </c>
      <c r="AT96" s="1">
        <f t="shared" si="14"/>
        <v>73</v>
      </c>
      <c r="AU96" s="31"/>
      <c r="AV96" s="31"/>
      <c r="AW96" s="31"/>
      <c r="AX96" s="16">
        <f t="shared" si="17"/>
        <v>0.91249999999999998</v>
      </c>
      <c r="AY96" s="108">
        <v>36</v>
      </c>
      <c r="AZ96" s="371">
        <v>1</v>
      </c>
      <c r="BA96" s="456"/>
      <c r="BB96" s="31"/>
      <c r="BC96" s="31"/>
      <c r="BD96" s="16">
        <f t="shared" si="16"/>
        <v>2.7777777777777776E-2</v>
      </c>
      <c r="BE96" s="31"/>
      <c r="BF96" s="31"/>
      <c r="BG96" s="31"/>
      <c r="BH96" s="31"/>
      <c r="BI96" s="16"/>
      <c r="BJ96" s="16"/>
      <c r="BK96" s="31"/>
      <c r="BL96" s="31"/>
      <c r="BM96" s="31"/>
      <c r="BN96" s="31"/>
      <c r="BO96" s="16"/>
      <c r="BP96" s="31"/>
      <c r="BQ96" s="31"/>
      <c r="BR96" s="31"/>
      <c r="BS96" s="31"/>
      <c r="BT96" s="16"/>
      <c r="BU96" s="16"/>
      <c r="BV96" s="16"/>
      <c r="BW96" s="16"/>
      <c r="BX96" s="16"/>
      <c r="BY96" s="16"/>
      <c r="BZ96" s="16"/>
      <c r="CA96" s="26"/>
      <c r="CB96" s="26"/>
      <c r="CC96" s="1"/>
    </row>
    <row r="97" spans="1:81" s="52" customFormat="1" ht="70.5" customHeight="1" x14ac:dyDescent="0.25">
      <c r="A97" s="1">
        <v>1</v>
      </c>
      <c r="B97" s="13" t="s">
        <v>1746</v>
      </c>
      <c r="C97" s="588"/>
      <c r="D97" s="589"/>
      <c r="E97" s="10" t="s">
        <v>293</v>
      </c>
      <c r="F97" s="13" t="s">
        <v>294</v>
      </c>
      <c r="G97" s="588"/>
      <c r="H97" s="589"/>
      <c r="I97" s="10" t="s">
        <v>413</v>
      </c>
      <c r="J97" s="13" t="s">
        <v>414</v>
      </c>
      <c r="K97" s="572"/>
      <c r="L97" s="573"/>
      <c r="M97" s="10" t="s">
        <v>421</v>
      </c>
      <c r="N97" s="10" t="s">
        <v>422</v>
      </c>
      <c r="O97" s="13" t="s">
        <v>422</v>
      </c>
      <c r="P97" s="10" t="s">
        <v>423</v>
      </c>
      <c r="Q97" s="10" t="s">
        <v>423</v>
      </c>
      <c r="R97" s="10" t="s">
        <v>424</v>
      </c>
      <c r="S97" s="13" t="s">
        <v>425</v>
      </c>
      <c r="T97" s="13" t="s">
        <v>425</v>
      </c>
      <c r="U97" s="1"/>
      <c r="V97" s="108">
        <v>40</v>
      </c>
      <c r="W97" s="10" t="s">
        <v>412</v>
      </c>
      <c r="X97" s="1"/>
      <c r="Y97" s="1" t="s">
        <v>302</v>
      </c>
      <c r="Z97" s="1" t="s">
        <v>303</v>
      </c>
      <c r="AA97" s="24"/>
      <c r="AB97" s="10" t="s">
        <v>1762</v>
      </c>
      <c r="AC97" s="162">
        <v>5</v>
      </c>
      <c r="AD97" s="108">
        <v>10</v>
      </c>
      <c r="AE97" s="156">
        <v>5</v>
      </c>
      <c r="AF97" s="156">
        <v>5</v>
      </c>
      <c r="AG97" s="377">
        <f t="shared" si="15"/>
        <v>25</v>
      </c>
      <c r="AH97" s="377" t="b">
        <f t="shared" si="12"/>
        <v>0</v>
      </c>
      <c r="AI97" s="1">
        <v>1</v>
      </c>
      <c r="AJ97" s="1">
        <v>2</v>
      </c>
      <c r="AK97" s="1">
        <v>5</v>
      </c>
      <c r="AL97" s="1">
        <v>5</v>
      </c>
      <c r="AM97" s="16">
        <f t="shared" si="13"/>
        <v>0.125</v>
      </c>
      <c r="AN97" s="162">
        <v>5</v>
      </c>
      <c r="AO97" s="1">
        <v>1</v>
      </c>
      <c r="AP97" s="1">
        <v>1</v>
      </c>
      <c r="AQ97" s="1"/>
      <c r="AR97" s="311">
        <f t="shared" si="10"/>
        <v>5</v>
      </c>
      <c r="AS97" s="21">
        <f t="shared" si="11"/>
        <v>1</v>
      </c>
      <c r="AT97" s="1">
        <f t="shared" si="14"/>
        <v>8</v>
      </c>
      <c r="AU97" s="31"/>
      <c r="AV97" s="31"/>
      <c r="AW97" s="31"/>
      <c r="AX97" s="16">
        <f t="shared" si="17"/>
        <v>0.2</v>
      </c>
      <c r="AY97" s="108">
        <v>10</v>
      </c>
      <c r="AZ97" s="371">
        <v>3</v>
      </c>
      <c r="BA97" s="456"/>
      <c r="BB97" s="31"/>
      <c r="BC97" s="31"/>
      <c r="BD97" s="16">
        <f t="shared" si="16"/>
        <v>0.3</v>
      </c>
      <c r="BE97" s="31"/>
      <c r="BF97" s="31"/>
      <c r="BG97" s="31"/>
      <c r="BH97" s="31"/>
      <c r="BI97" s="16"/>
      <c r="BJ97" s="16"/>
      <c r="BK97" s="31"/>
      <c r="BL97" s="31"/>
      <c r="BM97" s="31"/>
      <c r="BN97" s="31"/>
      <c r="BO97" s="16"/>
      <c r="BP97" s="31"/>
      <c r="BQ97" s="31"/>
      <c r="BR97" s="31"/>
      <c r="BS97" s="31"/>
      <c r="BT97" s="16"/>
      <c r="BU97" s="16"/>
      <c r="BV97" s="16"/>
      <c r="BW97" s="16"/>
      <c r="BX97" s="16"/>
      <c r="BY97" s="16"/>
      <c r="BZ97" s="16"/>
      <c r="CA97" s="1"/>
      <c r="CB97" s="1"/>
      <c r="CC97" s="1"/>
    </row>
    <row r="98" spans="1:81" s="52" customFormat="1" ht="63" x14ac:dyDescent="0.25">
      <c r="A98" s="1">
        <v>1</v>
      </c>
      <c r="B98" s="13" t="s">
        <v>1746</v>
      </c>
      <c r="C98" s="588"/>
      <c r="D98" s="589"/>
      <c r="E98" s="10" t="s">
        <v>293</v>
      </c>
      <c r="F98" s="13" t="s">
        <v>294</v>
      </c>
      <c r="G98" s="588"/>
      <c r="H98" s="589"/>
      <c r="I98" s="10" t="s">
        <v>413</v>
      </c>
      <c r="J98" s="13" t="s">
        <v>414</v>
      </c>
      <c r="K98" s="572"/>
      <c r="L98" s="573"/>
      <c r="M98" s="10" t="s">
        <v>426</v>
      </c>
      <c r="N98" s="10" t="s">
        <v>427</v>
      </c>
      <c r="O98" s="13" t="s">
        <v>427</v>
      </c>
      <c r="P98" s="10">
        <v>3.87</v>
      </c>
      <c r="Q98" s="10" t="s">
        <v>428</v>
      </c>
      <c r="R98" s="10" t="s">
        <v>429</v>
      </c>
      <c r="S98" s="13" t="s">
        <v>430</v>
      </c>
      <c r="T98" s="13" t="s">
        <v>430</v>
      </c>
      <c r="U98" s="1"/>
      <c r="V98" s="1">
        <v>32</v>
      </c>
      <c r="W98" s="10" t="s">
        <v>412</v>
      </c>
      <c r="X98" s="1"/>
      <c r="Y98" s="1" t="s">
        <v>302</v>
      </c>
      <c r="Z98" s="1" t="s">
        <v>303</v>
      </c>
      <c r="AA98" s="24"/>
      <c r="AB98" s="10" t="s">
        <v>1762</v>
      </c>
      <c r="AC98" s="162">
        <v>8</v>
      </c>
      <c r="AD98" s="156">
        <v>8</v>
      </c>
      <c r="AE98" s="156">
        <v>8</v>
      </c>
      <c r="AF98" s="156">
        <v>8</v>
      </c>
      <c r="AG98" s="377">
        <f t="shared" si="15"/>
        <v>32</v>
      </c>
      <c r="AH98" s="377" t="b">
        <f t="shared" si="12"/>
        <v>1</v>
      </c>
      <c r="AI98" s="1">
        <v>1</v>
      </c>
      <c r="AJ98" s="75">
        <v>5</v>
      </c>
      <c r="AK98" s="1">
        <v>8</v>
      </c>
      <c r="AL98" s="1">
        <v>8</v>
      </c>
      <c r="AM98" s="16">
        <f t="shared" si="13"/>
        <v>0.25</v>
      </c>
      <c r="AN98" s="162">
        <v>8</v>
      </c>
      <c r="AO98" s="1">
        <v>1</v>
      </c>
      <c r="AP98" s="75">
        <v>8</v>
      </c>
      <c r="AQ98" s="75"/>
      <c r="AR98" s="311">
        <f t="shared" si="10"/>
        <v>8</v>
      </c>
      <c r="AS98" s="21">
        <f t="shared" si="11"/>
        <v>1</v>
      </c>
      <c r="AT98" s="1">
        <f t="shared" si="14"/>
        <v>10</v>
      </c>
      <c r="AU98" s="31"/>
      <c r="AV98" s="31"/>
      <c r="AW98" s="31"/>
      <c r="AX98" s="16">
        <f t="shared" si="17"/>
        <v>0.3125</v>
      </c>
      <c r="AY98" s="156">
        <v>8</v>
      </c>
      <c r="AZ98" s="371">
        <v>2</v>
      </c>
      <c r="BA98" s="456"/>
      <c r="BB98" s="31"/>
      <c r="BC98" s="31"/>
      <c r="BD98" s="16">
        <f t="shared" si="16"/>
        <v>0.25</v>
      </c>
      <c r="BE98" s="31"/>
      <c r="BF98" s="31"/>
      <c r="BG98" s="31"/>
      <c r="BH98" s="31"/>
      <c r="BI98" s="16"/>
      <c r="BJ98" s="16"/>
      <c r="BK98" s="31"/>
      <c r="BL98" s="31"/>
      <c r="BM98" s="31"/>
      <c r="BN98" s="31"/>
      <c r="BO98" s="16"/>
      <c r="BP98" s="31"/>
      <c r="BQ98" s="31"/>
      <c r="BR98" s="31"/>
      <c r="BS98" s="31"/>
      <c r="BT98" s="16"/>
      <c r="BU98" s="16"/>
      <c r="BV98" s="16"/>
      <c r="BW98" s="16"/>
      <c r="BX98" s="16"/>
      <c r="BY98" s="16"/>
      <c r="BZ98" s="16"/>
      <c r="CA98" s="1"/>
      <c r="CB98" s="1"/>
      <c r="CC98" s="1"/>
    </row>
    <row r="99" spans="1:81" s="52" customFormat="1" ht="78.75" x14ac:dyDescent="0.25">
      <c r="A99" s="1">
        <v>1</v>
      </c>
      <c r="B99" s="13" t="s">
        <v>1746</v>
      </c>
      <c r="C99" s="588"/>
      <c r="D99" s="589"/>
      <c r="E99" s="10" t="s">
        <v>293</v>
      </c>
      <c r="F99" s="13" t="s">
        <v>294</v>
      </c>
      <c r="G99" s="588"/>
      <c r="H99" s="589"/>
      <c r="I99" s="10" t="s">
        <v>413</v>
      </c>
      <c r="J99" s="13" t="s">
        <v>414</v>
      </c>
      <c r="K99" s="572"/>
      <c r="L99" s="573"/>
      <c r="M99" s="10" t="s">
        <v>431</v>
      </c>
      <c r="N99" s="10" t="s">
        <v>432</v>
      </c>
      <c r="O99" s="13" t="s">
        <v>432</v>
      </c>
      <c r="P99" s="10">
        <v>14.45</v>
      </c>
      <c r="Q99" s="10"/>
      <c r="R99" s="10" t="s">
        <v>433</v>
      </c>
      <c r="S99" s="312" t="s">
        <v>434</v>
      </c>
      <c r="T99" s="13" t="s">
        <v>434</v>
      </c>
      <c r="U99" s="1"/>
      <c r="V99" s="1">
        <v>45</v>
      </c>
      <c r="W99" s="10" t="s">
        <v>420</v>
      </c>
      <c r="X99" s="1"/>
      <c r="Y99" s="1" t="s">
        <v>302</v>
      </c>
      <c r="Z99" s="1" t="s">
        <v>303</v>
      </c>
      <c r="AA99" s="24"/>
      <c r="AB99" s="10" t="s">
        <v>1762</v>
      </c>
      <c r="AC99" s="162">
        <v>45</v>
      </c>
      <c r="AD99" s="108">
        <v>45</v>
      </c>
      <c r="AE99" s="156">
        <v>45</v>
      </c>
      <c r="AF99" s="156">
        <v>45</v>
      </c>
      <c r="AG99" s="377">
        <f t="shared" si="15"/>
        <v>180</v>
      </c>
      <c r="AH99" s="377" t="b">
        <f t="shared" si="12"/>
        <v>0</v>
      </c>
      <c r="AI99" s="1">
        <v>45</v>
      </c>
      <c r="AJ99" s="1">
        <v>45</v>
      </c>
      <c r="AK99" s="1">
        <v>45</v>
      </c>
      <c r="AL99" s="1">
        <v>45</v>
      </c>
      <c r="AM99" s="16">
        <f t="shared" si="13"/>
        <v>1</v>
      </c>
      <c r="AN99" s="162">
        <v>45</v>
      </c>
      <c r="AO99" s="1">
        <v>45</v>
      </c>
      <c r="AP99" s="75">
        <v>45</v>
      </c>
      <c r="AQ99" s="75"/>
      <c r="AR99" s="311">
        <f t="shared" si="10"/>
        <v>45</v>
      </c>
      <c r="AS99" s="21">
        <f t="shared" si="11"/>
        <v>1</v>
      </c>
      <c r="AT99" s="1">
        <f t="shared" si="14"/>
        <v>11.75</v>
      </c>
      <c r="AU99" s="31"/>
      <c r="AV99" s="31"/>
      <c r="AW99" s="31"/>
      <c r="AX99" s="16">
        <f t="shared" si="17"/>
        <v>0.26111111111111113</v>
      </c>
      <c r="AY99" s="108">
        <v>45</v>
      </c>
      <c r="AZ99" s="371">
        <v>2</v>
      </c>
      <c r="BA99" s="456"/>
      <c r="BB99" s="31"/>
      <c r="BC99" s="31"/>
      <c r="BD99" s="16">
        <f t="shared" si="16"/>
        <v>4.4444444444444446E-2</v>
      </c>
      <c r="BE99" s="31"/>
      <c r="BF99" s="31"/>
      <c r="BG99" s="31"/>
      <c r="BH99" s="31"/>
      <c r="BI99" s="16"/>
      <c r="BJ99" s="16"/>
      <c r="BK99" s="31"/>
      <c r="BL99" s="31"/>
      <c r="BM99" s="31"/>
      <c r="BN99" s="31"/>
      <c r="BO99" s="16"/>
      <c r="BP99" s="31"/>
      <c r="BQ99" s="31"/>
      <c r="BR99" s="31"/>
      <c r="BS99" s="31"/>
      <c r="BT99" s="16"/>
      <c r="BU99" s="16"/>
      <c r="BV99" s="16"/>
      <c r="BW99" s="16"/>
      <c r="BX99" s="16"/>
      <c r="BY99" s="16"/>
      <c r="BZ99" s="16"/>
      <c r="CA99" s="1"/>
      <c r="CB99" s="1"/>
      <c r="CC99" s="1"/>
    </row>
    <row r="100" spans="1:81" s="52" customFormat="1" ht="94.5" x14ac:dyDescent="0.25">
      <c r="A100" s="1">
        <v>1</v>
      </c>
      <c r="B100" s="13" t="s">
        <v>1746</v>
      </c>
      <c r="C100" s="588"/>
      <c r="D100" s="589"/>
      <c r="E100" s="10" t="s">
        <v>293</v>
      </c>
      <c r="F100" s="13" t="s">
        <v>294</v>
      </c>
      <c r="G100" s="588"/>
      <c r="H100" s="589"/>
      <c r="I100" s="10" t="s">
        <v>413</v>
      </c>
      <c r="J100" s="13" t="s">
        <v>414</v>
      </c>
      <c r="K100" s="572"/>
      <c r="L100" s="573"/>
      <c r="M100" s="10" t="s">
        <v>435</v>
      </c>
      <c r="N100" s="10" t="s">
        <v>436</v>
      </c>
      <c r="O100" s="13" t="s">
        <v>436</v>
      </c>
      <c r="P100" s="10">
        <v>0</v>
      </c>
      <c r="Q100" s="10"/>
      <c r="R100" s="10" t="s">
        <v>437</v>
      </c>
      <c r="S100" s="312" t="s">
        <v>438</v>
      </c>
      <c r="T100" s="13" t="s">
        <v>438</v>
      </c>
      <c r="U100" s="1"/>
      <c r="V100" s="1">
        <v>45</v>
      </c>
      <c r="W100" s="10" t="s">
        <v>412</v>
      </c>
      <c r="X100" s="1"/>
      <c r="Y100" s="1" t="s">
        <v>302</v>
      </c>
      <c r="Z100" s="1" t="s">
        <v>303</v>
      </c>
      <c r="AA100" s="24"/>
      <c r="AB100" s="10" t="s">
        <v>1762</v>
      </c>
      <c r="AC100" s="162">
        <v>10</v>
      </c>
      <c r="AD100" s="108">
        <v>45</v>
      </c>
      <c r="AE100" s="156">
        <v>20</v>
      </c>
      <c r="AF100" s="156">
        <v>20</v>
      </c>
      <c r="AG100" s="377">
        <f t="shared" si="15"/>
        <v>95</v>
      </c>
      <c r="AH100" s="377" t="b">
        <f t="shared" si="12"/>
        <v>0</v>
      </c>
      <c r="AI100" s="1">
        <v>45</v>
      </c>
      <c r="AJ100" s="1">
        <v>45</v>
      </c>
      <c r="AK100" s="1">
        <v>45</v>
      </c>
      <c r="AL100" s="1">
        <v>45</v>
      </c>
      <c r="AM100" s="16">
        <f t="shared" si="13"/>
        <v>1</v>
      </c>
      <c r="AN100" s="162">
        <v>10</v>
      </c>
      <c r="AO100" s="1">
        <v>45</v>
      </c>
      <c r="AP100" s="75">
        <v>10</v>
      </c>
      <c r="AQ100" s="75"/>
      <c r="AR100" s="311">
        <f t="shared" si="10"/>
        <v>45</v>
      </c>
      <c r="AS100" s="21">
        <v>1</v>
      </c>
      <c r="AT100" s="1">
        <f t="shared" si="14"/>
        <v>47</v>
      </c>
      <c r="AU100" s="31"/>
      <c r="AV100" s="31"/>
      <c r="AW100" s="31"/>
      <c r="AX100" s="456">
        <f t="shared" si="17"/>
        <v>1</v>
      </c>
      <c r="AY100" s="108">
        <v>45</v>
      </c>
      <c r="AZ100" s="371">
        <v>2</v>
      </c>
      <c r="BA100" s="456"/>
      <c r="BB100" s="31"/>
      <c r="BC100" s="31"/>
      <c r="BD100" s="16">
        <f t="shared" si="16"/>
        <v>4.4444444444444446E-2</v>
      </c>
      <c r="BE100" s="31"/>
      <c r="BF100" s="31"/>
      <c r="BG100" s="31"/>
      <c r="BH100" s="31"/>
      <c r="BI100" s="16"/>
      <c r="BJ100" s="16"/>
      <c r="BK100" s="31"/>
      <c r="BL100" s="31"/>
      <c r="BM100" s="31"/>
      <c r="BN100" s="31"/>
      <c r="BO100" s="16"/>
      <c r="BP100" s="31"/>
      <c r="BQ100" s="31"/>
      <c r="BR100" s="31"/>
      <c r="BS100" s="31"/>
      <c r="BT100" s="16"/>
      <c r="BU100" s="16"/>
      <c r="BV100" s="16"/>
      <c r="BW100" s="16"/>
      <c r="BX100" s="16"/>
      <c r="BY100" s="16"/>
      <c r="BZ100" s="16"/>
      <c r="CA100" s="1"/>
      <c r="CB100" s="1"/>
      <c r="CC100" s="1"/>
    </row>
    <row r="101" spans="1:81" s="52" customFormat="1" ht="94.5" x14ac:dyDescent="0.25">
      <c r="A101" s="1">
        <v>1</v>
      </c>
      <c r="B101" s="13" t="s">
        <v>1746</v>
      </c>
      <c r="C101" s="588"/>
      <c r="D101" s="589"/>
      <c r="E101" s="10" t="s">
        <v>293</v>
      </c>
      <c r="F101" s="13" t="s">
        <v>294</v>
      </c>
      <c r="G101" s="588"/>
      <c r="H101" s="589"/>
      <c r="I101" s="10" t="s">
        <v>413</v>
      </c>
      <c r="J101" s="13" t="s">
        <v>414</v>
      </c>
      <c r="K101" s="568"/>
      <c r="L101" s="570"/>
      <c r="M101" s="10" t="s">
        <v>439</v>
      </c>
      <c r="N101" s="10" t="s">
        <v>440</v>
      </c>
      <c r="O101" s="13" t="s">
        <v>440</v>
      </c>
      <c r="P101" s="10">
        <v>1.96</v>
      </c>
      <c r="Q101" s="10">
        <v>50</v>
      </c>
      <c r="R101" s="10" t="s">
        <v>441</v>
      </c>
      <c r="S101" s="312" t="s">
        <v>442</v>
      </c>
      <c r="T101" s="13" t="s">
        <v>442</v>
      </c>
      <c r="U101" s="1"/>
      <c r="V101" s="1">
        <v>45</v>
      </c>
      <c r="W101" s="10" t="s">
        <v>412</v>
      </c>
      <c r="X101" s="1"/>
      <c r="Y101" s="1" t="s">
        <v>302</v>
      </c>
      <c r="Z101" s="1" t="s">
        <v>303</v>
      </c>
      <c r="AA101" s="24"/>
      <c r="AB101" s="10" t="s">
        <v>1762</v>
      </c>
      <c r="AC101" s="162">
        <v>10</v>
      </c>
      <c r="AD101" s="108">
        <v>45</v>
      </c>
      <c r="AE101" s="156">
        <v>20</v>
      </c>
      <c r="AF101" s="156">
        <v>20</v>
      </c>
      <c r="AG101" s="377">
        <f t="shared" si="15"/>
        <v>95</v>
      </c>
      <c r="AH101" s="377" t="b">
        <f t="shared" si="12"/>
        <v>0</v>
      </c>
      <c r="AI101" s="1">
        <v>45</v>
      </c>
      <c r="AJ101" s="1">
        <v>45</v>
      </c>
      <c r="AK101" s="1">
        <v>45</v>
      </c>
      <c r="AL101" s="1">
        <v>45</v>
      </c>
      <c r="AM101" s="16">
        <f t="shared" si="13"/>
        <v>1</v>
      </c>
      <c r="AN101" s="162">
        <v>10</v>
      </c>
      <c r="AO101" s="1">
        <v>45</v>
      </c>
      <c r="AP101" s="75">
        <v>10</v>
      </c>
      <c r="AQ101" s="75"/>
      <c r="AR101" s="311">
        <f t="shared" si="10"/>
        <v>45</v>
      </c>
      <c r="AS101" s="21">
        <v>1</v>
      </c>
      <c r="AT101" s="1">
        <f t="shared" si="14"/>
        <v>47</v>
      </c>
      <c r="AU101" s="31"/>
      <c r="AV101" s="31"/>
      <c r="AW101" s="31"/>
      <c r="AX101" s="456">
        <f t="shared" si="17"/>
        <v>1</v>
      </c>
      <c r="AY101" s="108">
        <v>45</v>
      </c>
      <c r="AZ101" s="371">
        <v>2</v>
      </c>
      <c r="BA101" s="456"/>
      <c r="BB101" s="31"/>
      <c r="BC101" s="31"/>
      <c r="BD101" s="16">
        <f t="shared" si="16"/>
        <v>4.4444444444444446E-2</v>
      </c>
      <c r="BE101" s="31"/>
      <c r="BF101" s="31"/>
      <c r="BG101" s="31"/>
      <c r="BH101" s="31"/>
      <c r="BI101" s="16"/>
      <c r="BJ101" s="16"/>
      <c r="BK101" s="31"/>
      <c r="BL101" s="31"/>
      <c r="BM101" s="31"/>
      <c r="BN101" s="31"/>
      <c r="BO101" s="16"/>
      <c r="BP101" s="31"/>
      <c r="BQ101" s="31"/>
      <c r="BR101" s="31"/>
      <c r="BS101" s="31"/>
      <c r="BT101" s="16"/>
      <c r="BU101" s="16"/>
      <c r="BV101" s="16"/>
      <c r="BW101" s="16"/>
      <c r="BX101" s="16"/>
      <c r="BY101" s="16"/>
      <c r="BZ101" s="16"/>
      <c r="CA101" s="1"/>
      <c r="CB101" s="1"/>
      <c r="CC101" s="1"/>
    </row>
    <row r="102" spans="1:81" s="52" customFormat="1" ht="120" customHeight="1" x14ac:dyDescent="0.25">
      <c r="A102" s="1">
        <v>1</v>
      </c>
      <c r="B102" s="13" t="s">
        <v>1746</v>
      </c>
      <c r="C102" s="588"/>
      <c r="D102" s="589"/>
      <c r="E102" s="10" t="s">
        <v>293</v>
      </c>
      <c r="F102" s="13" t="s">
        <v>294</v>
      </c>
      <c r="G102" s="588"/>
      <c r="H102" s="589"/>
      <c r="I102" s="10" t="s">
        <v>443</v>
      </c>
      <c r="J102" s="13" t="s">
        <v>1996</v>
      </c>
      <c r="K102" s="567">
        <f>AVERAGE(AX102:AX111)</f>
        <v>0.38444444444444448</v>
      </c>
      <c r="L102" s="569">
        <f>AVERAGE(BD102:BD111)</f>
        <v>0.35833333333333334</v>
      </c>
      <c r="M102" s="10" t="s">
        <v>445</v>
      </c>
      <c r="N102" s="10" t="s">
        <v>446</v>
      </c>
      <c r="O102" s="13" t="s">
        <v>446</v>
      </c>
      <c r="P102" s="10" t="s">
        <v>447</v>
      </c>
      <c r="Q102" s="10">
        <v>1.32</v>
      </c>
      <c r="R102" s="10" t="s">
        <v>448</v>
      </c>
      <c r="S102" s="13" t="s">
        <v>449</v>
      </c>
      <c r="T102" s="13" t="s">
        <v>1938</v>
      </c>
      <c r="U102" s="1"/>
      <c r="V102" s="1">
        <v>45</v>
      </c>
      <c r="W102" s="10" t="s">
        <v>420</v>
      </c>
      <c r="X102" s="1"/>
      <c r="Y102" s="1" t="s">
        <v>302</v>
      </c>
      <c r="Z102" s="1" t="s">
        <v>303</v>
      </c>
      <c r="AA102" s="24"/>
      <c r="AB102" s="10" t="s">
        <v>1762</v>
      </c>
      <c r="AC102" s="162">
        <v>45</v>
      </c>
      <c r="AD102" s="156">
        <v>45</v>
      </c>
      <c r="AE102" s="156">
        <v>45</v>
      </c>
      <c r="AF102" s="156">
        <v>45</v>
      </c>
      <c r="AG102" s="377">
        <f t="shared" si="15"/>
        <v>180</v>
      </c>
      <c r="AH102" s="377" t="b">
        <f t="shared" si="12"/>
        <v>0</v>
      </c>
      <c r="AI102" s="1">
        <v>12</v>
      </c>
      <c r="AJ102" s="1">
        <v>23</v>
      </c>
      <c r="AK102" s="1">
        <v>45</v>
      </c>
      <c r="AL102" s="1">
        <v>45</v>
      </c>
      <c r="AM102" s="16">
        <f t="shared" si="13"/>
        <v>1</v>
      </c>
      <c r="AN102" s="162">
        <v>45</v>
      </c>
      <c r="AO102" s="1">
        <v>12</v>
      </c>
      <c r="AP102" s="1">
        <v>23</v>
      </c>
      <c r="AQ102" s="1"/>
      <c r="AR102" s="311">
        <f t="shared" si="10"/>
        <v>45</v>
      </c>
      <c r="AS102" s="21">
        <f t="shared" si="11"/>
        <v>1</v>
      </c>
      <c r="AT102" s="1">
        <f t="shared" si="14"/>
        <v>11.25</v>
      </c>
      <c r="AU102" s="31"/>
      <c r="AV102" s="31"/>
      <c r="AW102" s="31"/>
      <c r="AX102" s="16">
        <f t="shared" si="17"/>
        <v>0.25</v>
      </c>
      <c r="AY102" s="156">
        <v>45</v>
      </c>
      <c r="AZ102" s="371">
        <v>0</v>
      </c>
      <c r="BA102" s="456"/>
      <c r="BB102" s="31"/>
      <c r="BC102" s="31"/>
      <c r="BD102" s="16">
        <f t="shared" si="16"/>
        <v>0</v>
      </c>
      <c r="BE102" s="31"/>
      <c r="BF102" s="31"/>
      <c r="BG102" s="31"/>
      <c r="BH102" s="31"/>
      <c r="BI102" s="16"/>
      <c r="BJ102" s="16"/>
      <c r="BK102" s="31"/>
      <c r="BL102" s="31"/>
      <c r="BM102" s="31"/>
      <c r="BN102" s="31"/>
      <c r="BO102" s="16"/>
      <c r="BP102" s="31"/>
      <c r="BQ102" s="31"/>
      <c r="BR102" s="31"/>
      <c r="BS102" s="31"/>
      <c r="BT102" s="16"/>
      <c r="BU102" s="16"/>
      <c r="BV102" s="16"/>
      <c r="BW102" s="16"/>
      <c r="BX102" s="16"/>
      <c r="BY102" s="16"/>
      <c r="BZ102" s="16"/>
      <c r="CA102" s="1"/>
      <c r="CB102" s="1"/>
      <c r="CC102" s="1"/>
    </row>
    <row r="103" spans="1:81" s="52" customFormat="1" ht="94.5" x14ac:dyDescent="0.25">
      <c r="A103" s="1">
        <v>1</v>
      </c>
      <c r="B103" s="13" t="s">
        <v>1746</v>
      </c>
      <c r="C103" s="588"/>
      <c r="D103" s="589"/>
      <c r="E103" s="10" t="s">
        <v>293</v>
      </c>
      <c r="F103" s="13" t="s">
        <v>294</v>
      </c>
      <c r="G103" s="588"/>
      <c r="H103" s="589"/>
      <c r="I103" s="10" t="s">
        <v>443</v>
      </c>
      <c r="J103" s="13" t="s">
        <v>1996</v>
      </c>
      <c r="K103" s="572"/>
      <c r="L103" s="573"/>
      <c r="M103" s="10" t="s">
        <v>450</v>
      </c>
      <c r="N103" s="10" t="s">
        <v>451</v>
      </c>
      <c r="O103" s="13" t="s">
        <v>451</v>
      </c>
      <c r="P103" s="10" t="s">
        <v>452</v>
      </c>
      <c r="Q103" s="10">
        <v>1.1000000000000001</v>
      </c>
      <c r="R103" s="10" t="s">
        <v>453</v>
      </c>
      <c r="S103" s="13" t="s">
        <v>454</v>
      </c>
      <c r="T103" s="13" t="s">
        <v>454</v>
      </c>
      <c r="U103" s="1"/>
      <c r="V103" s="1">
        <v>45</v>
      </c>
      <c r="W103" s="10" t="s">
        <v>420</v>
      </c>
      <c r="X103" s="1"/>
      <c r="Y103" s="1" t="s">
        <v>302</v>
      </c>
      <c r="Z103" s="1" t="s">
        <v>303</v>
      </c>
      <c r="AA103" s="24"/>
      <c r="AB103" s="10" t="s">
        <v>1762</v>
      </c>
      <c r="AC103" s="162">
        <v>45</v>
      </c>
      <c r="AD103" s="156">
        <v>45</v>
      </c>
      <c r="AE103" s="156">
        <v>45</v>
      </c>
      <c r="AF103" s="156">
        <v>6</v>
      </c>
      <c r="AG103" s="377">
        <f t="shared" si="15"/>
        <v>141</v>
      </c>
      <c r="AH103" s="377" t="b">
        <f t="shared" si="12"/>
        <v>0</v>
      </c>
      <c r="AI103" s="1">
        <v>12</v>
      </c>
      <c r="AJ103" s="1">
        <v>27</v>
      </c>
      <c r="AK103" s="1">
        <v>45</v>
      </c>
      <c r="AL103" s="1">
        <v>45</v>
      </c>
      <c r="AM103" s="16">
        <f t="shared" si="13"/>
        <v>1</v>
      </c>
      <c r="AN103" s="162">
        <v>45</v>
      </c>
      <c r="AO103" s="1">
        <v>12</v>
      </c>
      <c r="AP103" s="1">
        <v>27</v>
      </c>
      <c r="AQ103" s="1"/>
      <c r="AR103" s="311">
        <f t="shared" si="10"/>
        <v>45</v>
      </c>
      <c r="AS103" s="21">
        <f t="shared" si="11"/>
        <v>1</v>
      </c>
      <c r="AT103" s="1">
        <f t="shared" si="14"/>
        <v>11.25</v>
      </c>
      <c r="AU103" s="31"/>
      <c r="AV103" s="31"/>
      <c r="AW103" s="31"/>
      <c r="AX103" s="16">
        <f t="shared" si="17"/>
        <v>0.25</v>
      </c>
      <c r="AY103" s="156">
        <v>45</v>
      </c>
      <c r="AZ103" s="371">
        <v>0</v>
      </c>
      <c r="BA103" s="456"/>
      <c r="BB103" s="31"/>
      <c r="BC103" s="31"/>
      <c r="BD103" s="16">
        <f t="shared" si="16"/>
        <v>0</v>
      </c>
      <c r="BE103" s="31"/>
      <c r="BF103" s="31"/>
      <c r="BG103" s="31"/>
      <c r="BH103" s="31"/>
      <c r="BI103" s="16"/>
      <c r="BJ103" s="16"/>
      <c r="BK103" s="31"/>
      <c r="BL103" s="31"/>
      <c r="BM103" s="31"/>
      <c r="BN103" s="31"/>
      <c r="BO103" s="16"/>
      <c r="BP103" s="31"/>
      <c r="BQ103" s="31"/>
      <c r="BR103" s="31"/>
      <c r="BS103" s="31"/>
      <c r="BT103" s="16"/>
      <c r="BU103" s="16"/>
      <c r="BV103" s="16"/>
      <c r="BW103" s="16"/>
      <c r="BX103" s="16"/>
      <c r="BY103" s="16"/>
      <c r="BZ103" s="16"/>
      <c r="CA103" s="1"/>
      <c r="CB103" s="1"/>
      <c r="CC103" s="1"/>
    </row>
    <row r="104" spans="1:81" s="52" customFormat="1" ht="99" customHeight="1" x14ac:dyDescent="0.25">
      <c r="A104" s="1">
        <v>1</v>
      </c>
      <c r="B104" s="13" t="s">
        <v>1746</v>
      </c>
      <c r="C104" s="588"/>
      <c r="D104" s="589"/>
      <c r="E104" s="10" t="s">
        <v>293</v>
      </c>
      <c r="F104" s="13" t="s">
        <v>294</v>
      </c>
      <c r="G104" s="588"/>
      <c r="H104" s="589"/>
      <c r="I104" s="10" t="s">
        <v>443</v>
      </c>
      <c r="J104" s="13" t="s">
        <v>1996</v>
      </c>
      <c r="K104" s="572"/>
      <c r="L104" s="573"/>
      <c r="M104" s="10" t="s">
        <v>455</v>
      </c>
      <c r="N104" s="23" t="s">
        <v>456</v>
      </c>
      <c r="O104" s="13" t="s">
        <v>456</v>
      </c>
      <c r="P104" s="10">
        <v>85.2</v>
      </c>
      <c r="Q104" s="10">
        <v>95</v>
      </c>
      <c r="R104" s="10" t="s">
        <v>457</v>
      </c>
      <c r="S104" s="13" t="s">
        <v>458</v>
      </c>
      <c r="T104" s="13" t="s">
        <v>458</v>
      </c>
      <c r="U104" s="1"/>
      <c r="V104" s="1">
        <v>45</v>
      </c>
      <c r="W104" s="10" t="s">
        <v>78</v>
      </c>
      <c r="X104" s="1"/>
      <c r="Y104" s="1" t="s">
        <v>302</v>
      </c>
      <c r="Z104" s="1" t="s">
        <v>303</v>
      </c>
      <c r="AA104" s="24"/>
      <c r="AB104" s="10" t="s">
        <v>1762</v>
      </c>
      <c r="AC104" s="162">
        <v>45</v>
      </c>
      <c r="AD104" s="156">
        <v>45</v>
      </c>
      <c r="AE104" s="156">
        <v>45</v>
      </c>
      <c r="AF104" s="156">
        <v>45</v>
      </c>
      <c r="AG104" s="377">
        <f t="shared" si="15"/>
        <v>180</v>
      </c>
      <c r="AH104" s="377" t="b">
        <f t="shared" si="12"/>
        <v>0</v>
      </c>
      <c r="AI104" s="1">
        <v>45</v>
      </c>
      <c r="AJ104" s="1">
        <v>45</v>
      </c>
      <c r="AK104" s="1">
        <v>45</v>
      </c>
      <c r="AL104" s="1">
        <v>45</v>
      </c>
      <c r="AM104" s="16">
        <f t="shared" si="13"/>
        <v>1</v>
      </c>
      <c r="AN104" s="162">
        <v>45</v>
      </c>
      <c r="AO104" s="1">
        <v>45</v>
      </c>
      <c r="AP104" s="1">
        <v>45</v>
      </c>
      <c r="AQ104" s="1"/>
      <c r="AR104" s="311">
        <f t="shared" si="10"/>
        <v>45</v>
      </c>
      <c r="AS104" s="21">
        <f t="shared" si="11"/>
        <v>1</v>
      </c>
      <c r="AT104" s="1">
        <f t="shared" si="14"/>
        <v>22.5</v>
      </c>
      <c r="AU104" s="31"/>
      <c r="AV104" s="31"/>
      <c r="AW104" s="31"/>
      <c r="AX104" s="16">
        <f t="shared" si="17"/>
        <v>0.5</v>
      </c>
      <c r="AY104" s="156">
        <v>45</v>
      </c>
      <c r="AZ104" s="371">
        <v>45</v>
      </c>
      <c r="BA104" s="456"/>
      <c r="BB104" s="31"/>
      <c r="BC104" s="31"/>
      <c r="BD104" s="16">
        <f t="shared" si="16"/>
        <v>1</v>
      </c>
      <c r="BE104" s="31"/>
      <c r="BF104" s="31"/>
      <c r="BG104" s="31"/>
      <c r="BH104" s="31"/>
      <c r="BI104" s="16"/>
      <c r="BJ104" s="16"/>
      <c r="BK104" s="31"/>
      <c r="BL104" s="31"/>
      <c r="BM104" s="31"/>
      <c r="BN104" s="31"/>
      <c r="BO104" s="16"/>
      <c r="BP104" s="31"/>
      <c r="BQ104" s="31"/>
      <c r="BR104" s="31"/>
      <c r="BS104" s="31"/>
      <c r="BT104" s="16"/>
      <c r="BU104" s="16"/>
      <c r="BV104" s="16"/>
      <c r="BW104" s="16"/>
      <c r="BX104" s="16"/>
      <c r="BY104" s="16"/>
      <c r="BZ104" s="16"/>
      <c r="CA104" s="1"/>
      <c r="CB104" s="1"/>
      <c r="CC104" s="1"/>
    </row>
    <row r="105" spans="1:81" s="52" customFormat="1" ht="78.75" x14ac:dyDescent="0.25">
      <c r="A105" s="1">
        <v>1</v>
      </c>
      <c r="B105" s="13" t="s">
        <v>1746</v>
      </c>
      <c r="C105" s="588"/>
      <c r="D105" s="589"/>
      <c r="E105" s="10" t="s">
        <v>293</v>
      </c>
      <c r="F105" s="13" t="s">
        <v>294</v>
      </c>
      <c r="G105" s="588"/>
      <c r="H105" s="589"/>
      <c r="I105" s="10" t="s">
        <v>443</v>
      </c>
      <c r="J105" s="13" t="s">
        <v>1996</v>
      </c>
      <c r="K105" s="572"/>
      <c r="L105" s="573"/>
      <c r="M105" s="10" t="s">
        <v>455</v>
      </c>
      <c r="N105" s="23" t="s">
        <v>456</v>
      </c>
      <c r="O105" s="13" t="s">
        <v>456</v>
      </c>
      <c r="P105" s="10">
        <v>85.2</v>
      </c>
      <c r="Q105" s="10">
        <v>95</v>
      </c>
      <c r="R105" s="10" t="s">
        <v>459</v>
      </c>
      <c r="S105" s="13" t="s">
        <v>460</v>
      </c>
      <c r="T105" s="13" t="s">
        <v>460</v>
      </c>
      <c r="U105" s="1"/>
      <c r="V105" s="1">
        <v>10</v>
      </c>
      <c r="W105" s="10" t="s">
        <v>412</v>
      </c>
      <c r="X105" s="1"/>
      <c r="Y105" s="1" t="s">
        <v>302</v>
      </c>
      <c r="Z105" s="1" t="s">
        <v>303</v>
      </c>
      <c r="AA105" s="24"/>
      <c r="AB105" s="10" t="s">
        <v>1762</v>
      </c>
      <c r="AC105" s="162">
        <v>10</v>
      </c>
      <c r="AD105" s="156">
        <v>10</v>
      </c>
      <c r="AE105" s="156">
        <v>10</v>
      </c>
      <c r="AF105" s="156">
        <v>10</v>
      </c>
      <c r="AG105" s="377">
        <f t="shared" si="15"/>
        <v>40</v>
      </c>
      <c r="AH105" s="377" t="b">
        <f t="shared" si="12"/>
        <v>0</v>
      </c>
      <c r="AI105" s="27">
        <v>10</v>
      </c>
      <c r="AJ105" s="27">
        <v>10</v>
      </c>
      <c r="AK105" s="27">
        <v>10</v>
      </c>
      <c r="AL105" s="27">
        <v>10</v>
      </c>
      <c r="AM105" s="16">
        <f t="shared" si="13"/>
        <v>1</v>
      </c>
      <c r="AN105" s="162">
        <v>10</v>
      </c>
      <c r="AO105" s="27">
        <v>10</v>
      </c>
      <c r="AP105" s="27">
        <v>10</v>
      </c>
      <c r="AQ105" s="27"/>
      <c r="AR105" s="311">
        <f t="shared" si="10"/>
        <v>10</v>
      </c>
      <c r="AS105" s="21">
        <f t="shared" si="11"/>
        <v>1</v>
      </c>
      <c r="AT105" s="1">
        <f t="shared" si="14"/>
        <v>20</v>
      </c>
      <c r="AU105" s="31"/>
      <c r="AV105" s="31"/>
      <c r="AW105" s="31"/>
      <c r="AX105" s="456">
        <f t="shared" si="17"/>
        <v>1</v>
      </c>
      <c r="AY105" s="156">
        <v>10</v>
      </c>
      <c r="AZ105" s="371">
        <v>10</v>
      </c>
      <c r="BA105" s="456"/>
      <c r="BB105" s="31"/>
      <c r="BC105" s="31"/>
      <c r="BD105" s="16">
        <f t="shared" si="16"/>
        <v>1</v>
      </c>
      <c r="BE105" s="31"/>
      <c r="BF105" s="31"/>
      <c r="BG105" s="31"/>
      <c r="BH105" s="31"/>
      <c r="BI105" s="16"/>
      <c r="BJ105" s="16"/>
      <c r="BK105" s="31"/>
      <c r="BL105" s="31"/>
      <c r="BM105" s="31"/>
      <c r="BN105" s="31"/>
      <c r="BO105" s="16"/>
      <c r="BP105" s="31"/>
      <c r="BQ105" s="31"/>
      <c r="BR105" s="31"/>
      <c r="BS105" s="31"/>
      <c r="BT105" s="16"/>
      <c r="BU105" s="16"/>
      <c r="BV105" s="16"/>
      <c r="BW105" s="16"/>
      <c r="BX105" s="16"/>
      <c r="BY105" s="16"/>
      <c r="BZ105" s="16"/>
      <c r="CA105" s="1"/>
      <c r="CB105" s="1"/>
      <c r="CC105" s="1"/>
    </row>
    <row r="106" spans="1:81" s="354" customFormat="1" ht="78.75" x14ac:dyDescent="0.25">
      <c r="A106" s="76">
        <v>1</v>
      </c>
      <c r="B106" s="350" t="s">
        <v>1746</v>
      </c>
      <c r="C106" s="595"/>
      <c r="D106" s="595"/>
      <c r="E106" s="351" t="s">
        <v>293</v>
      </c>
      <c r="F106" s="350" t="s">
        <v>294</v>
      </c>
      <c r="G106" s="588"/>
      <c r="H106" s="589"/>
      <c r="I106" s="10" t="s">
        <v>443</v>
      </c>
      <c r="J106" s="13" t="s">
        <v>1996</v>
      </c>
      <c r="K106" s="572"/>
      <c r="L106" s="573"/>
      <c r="M106" s="10" t="s">
        <v>455</v>
      </c>
      <c r="N106" s="352" t="s">
        <v>456</v>
      </c>
      <c r="O106" s="13" t="s">
        <v>456</v>
      </c>
      <c r="P106" s="10">
        <v>85.2</v>
      </c>
      <c r="Q106" s="10">
        <v>95</v>
      </c>
      <c r="R106" s="10" t="s">
        <v>461</v>
      </c>
      <c r="S106" s="350" t="s">
        <v>462</v>
      </c>
      <c r="T106" s="350" t="s">
        <v>462</v>
      </c>
      <c r="U106" s="76"/>
      <c r="V106" s="76">
        <v>45</v>
      </c>
      <c r="W106" s="10" t="s">
        <v>420</v>
      </c>
      <c r="X106" s="76"/>
      <c r="Y106" s="76"/>
      <c r="Z106" s="76"/>
      <c r="AA106" s="353"/>
      <c r="AB106" s="351" t="s">
        <v>1762</v>
      </c>
      <c r="AC106" s="162">
        <v>45</v>
      </c>
      <c r="AD106" s="156">
        <v>45</v>
      </c>
      <c r="AE106" s="156">
        <v>45</v>
      </c>
      <c r="AF106" s="156">
        <v>45</v>
      </c>
      <c r="AG106" s="377">
        <f t="shared" si="15"/>
        <v>180</v>
      </c>
      <c r="AH106" s="377" t="b">
        <f t="shared" si="12"/>
        <v>0</v>
      </c>
      <c r="AI106" s="310">
        <v>45</v>
      </c>
      <c r="AJ106" s="310">
        <v>45</v>
      </c>
      <c r="AK106" s="27">
        <v>45</v>
      </c>
      <c r="AL106" s="310">
        <v>45</v>
      </c>
      <c r="AM106" s="16">
        <f t="shared" si="13"/>
        <v>1</v>
      </c>
      <c r="AN106" s="162">
        <v>45</v>
      </c>
      <c r="AO106" s="310">
        <v>45</v>
      </c>
      <c r="AP106" s="310">
        <v>45</v>
      </c>
      <c r="AQ106" s="310"/>
      <c r="AR106" s="311">
        <f t="shared" si="10"/>
        <v>45</v>
      </c>
      <c r="AS106" s="21">
        <f t="shared" si="11"/>
        <v>1</v>
      </c>
      <c r="AT106" s="1">
        <f t="shared" si="14"/>
        <v>15</v>
      </c>
      <c r="AU106" s="31"/>
      <c r="AV106" s="31"/>
      <c r="AW106" s="31"/>
      <c r="AX106" s="16">
        <f t="shared" si="17"/>
        <v>0.33333333333333331</v>
      </c>
      <c r="AY106" s="156">
        <v>45</v>
      </c>
      <c r="AZ106" s="371">
        <v>15</v>
      </c>
      <c r="BA106" s="456"/>
      <c r="BB106" s="31"/>
      <c r="BC106" s="31"/>
      <c r="BD106" s="16">
        <f t="shared" si="16"/>
        <v>0.33333333333333331</v>
      </c>
      <c r="BE106" s="31"/>
      <c r="BF106" s="31"/>
      <c r="BG106" s="31"/>
      <c r="BH106" s="31"/>
      <c r="BI106" s="16"/>
      <c r="BJ106" s="16"/>
      <c r="BK106" s="31"/>
      <c r="BL106" s="31"/>
      <c r="BM106" s="31"/>
      <c r="BN106" s="31"/>
      <c r="BO106" s="16"/>
      <c r="BP106" s="31"/>
      <c r="BQ106" s="31"/>
      <c r="BR106" s="31"/>
      <c r="BS106" s="31"/>
      <c r="BT106" s="16"/>
      <c r="BU106" s="16"/>
      <c r="BV106" s="16"/>
      <c r="BW106" s="16"/>
      <c r="BX106" s="16"/>
      <c r="BY106" s="16"/>
      <c r="BZ106" s="16"/>
      <c r="CA106" s="76"/>
      <c r="CB106" s="76"/>
      <c r="CC106" s="76"/>
    </row>
    <row r="107" spans="1:81" s="52" customFormat="1" ht="89.25" customHeight="1" x14ac:dyDescent="0.25">
      <c r="A107" s="1">
        <v>1</v>
      </c>
      <c r="B107" s="13" t="s">
        <v>1746</v>
      </c>
      <c r="C107" s="588"/>
      <c r="D107" s="589"/>
      <c r="E107" s="10" t="s">
        <v>293</v>
      </c>
      <c r="F107" s="13" t="s">
        <v>294</v>
      </c>
      <c r="G107" s="588"/>
      <c r="H107" s="589"/>
      <c r="I107" s="10" t="s">
        <v>443</v>
      </c>
      <c r="J107" s="13" t="s">
        <v>1996</v>
      </c>
      <c r="K107" s="572"/>
      <c r="L107" s="573"/>
      <c r="M107" s="10" t="s">
        <v>455</v>
      </c>
      <c r="N107" s="23" t="s">
        <v>456</v>
      </c>
      <c r="O107" s="13" t="s">
        <v>456</v>
      </c>
      <c r="P107" s="10">
        <v>85.2</v>
      </c>
      <c r="Q107" s="10">
        <v>85.2</v>
      </c>
      <c r="R107" s="10" t="s">
        <v>463</v>
      </c>
      <c r="S107" s="13" t="s">
        <v>464</v>
      </c>
      <c r="T107" s="13" t="s">
        <v>464</v>
      </c>
      <c r="U107" s="1"/>
      <c r="V107" s="1">
        <v>1</v>
      </c>
      <c r="W107" s="10" t="s">
        <v>420</v>
      </c>
      <c r="X107" s="1"/>
      <c r="Y107" s="1" t="s">
        <v>302</v>
      </c>
      <c r="Z107" s="1" t="s">
        <v>303</v>
      </c>
      <c r="AA107" s="24"/>
      <c r="AB107" s="10" t="s">
        <v>1762</v>
      </c>
      <c r="AC107" s="162">
        <v>1</v>
      </c>
      <c r="AD107" s="156">
        <v>1</v>
      </c>
      <c r="AE107" s="156">
        <v>1</v>
      </c>
      <c r="AF107" s="156">
        <v>1</v>
      </c>
      <c r="AG107" s="377">
        <f t="shared" si="15"/>
        <v>4</v>
      </c>
      <c r="AH107" s="377" t="b">
        <f t="shared" si="12"/>
        <v>0</v>
      </c>
      <c r="AI107" s="1">
        <v>1</v>
      </c>
      <c r="AJ107" s="1">
        <v>1</v>
      </c>
      <c r="AK107" s="1">
        <v>1</v>
      </c>
      <c r="AL107" s="1">
        <v>1</v>
      </c>
      <c r="AM107" s="16">
        <f t="shared" si="13"/>
        <v>1</v>
      </c>
      <c r="AN107" s="162">
        <v>1</v>
      </c>
      <c r="AO107" s="1">
        <v>1</v>
      </c>
      <c r="AP107" s="1">
        <v>1</v>
      </c>
      <c r="AQ107" s="1"/>
      <c r="AR107" s="311">
        <f t="shared" si="10"/>
        <v>1</v>
      </c>
      <c r="AS107" s="21">
        <f t="shared" si="11"/>
        <v>1</v>
      </c>
      <c r="AT107" s="1">
        <f t="shared" si="14"/>
        <v>0.5</v>
      </c>
      <c r="AU107" s="31"/>
      <c r="AV107" s="31"/>
      <c r="AW107" s="31"/>
      <c r="AX107" s="16">
        <f t="shared" si="17"/>
        <v>0.5</v>
      </c>
      <c r="AY107" s="156">
        <v>1</v>
      </c>
      <c r="AZ107" s="371">
        <v>1</v>
      </c>
      <c r="BA107" s="456"/>
      <c r="BB107" s="31"/>
      <c r="BC107" s="31"/>
      <c r="BD107" s="16">
        <f t="shared" si="16"/>
        <v>1</v>
      </c>
      <c r="BE107" s="31"/>
      <c r="BF107" s="31"/>
      <c r="BG107" s="31"/>
      <c r="BH107" s="31"/>
      <c r="BI107" s="16"/>
      <c r="BJ107" s="16"/>
      <c r="BK107" s="31"/>
      <c r="BL107" s="31"/>
      <c r="BM107" s="31"/>
      <c r="BN107" s="31"/>
      <c r="BO107" s="16"/>
      <c r="BP107" s="31"/>
      <c r="BQ107" s="31"/>
      <c r="BR107" s="31"/>
      <c r="BS107" s="31"/>
      <c r="BT107" s="16"/>
      <c r="BU107" s="16"/>
      <c r="BV107" s="16"/>
      <c r="BW107" s="16"/>
      <c r="BX107" s="16"/>
      <c r="BY107" s="16"/>
      <c r="BZ107" s="16"/>
      <c r="CA107" s="1"/>
      <c r="CB107" s="1"/>
      <c r="CC107" s="1"/>
    </row>
    <row r="108" spans="1:81" s="52" customFormat="1" ht="91.5" customHeight="1" x14ac:dyDescent="0.25">
      <c r="A108" s="1">
        <v>1</v>
      </c>
      <c r="B108" s="13" t="s">
        <v>1746</v>
      </c>
      <c r="C108" s="588"/>
      <c r="D108" s="589"/>
      <c r="E108" s="10" t="s">
        <v>293</v>
      </c>
      <c r="F108" s="13" t="s">
        <v>294</v>
      </c>
      <c r="G108" s="588"/>
      <c r="H108" s="589"/>
      <c r="I108" s="10" t="s">
        <v>443</v>
      </c>
      <c r="J108" s="13" t="s">
        <v>1996</v>
      </c>
      <c r="K108" s="572"/>
      <c r="L108" s="573"/>
      <c r="M108" s="10" t="s">
        <v>465</v>
      </c>
      <c r="N108" s="10" t="s">
        <v>466</v>
      </c>
      <c r="O108" s="13" t="s">
        <v>466</v>
      </c>
      <c r="P108" s="10" t="s">
        <v>467</v>
      </c>
      <c r="Q108" s="10">
        <v>2</v>
      </c>
      <c r="R108" s="10" t="s">
        <v>468</v>
      </c>
      <c r="S108" s="312" t="s">
        <v>1994</v>
      </c>
      <c r="T108" s="13" t="s">
        <v>469</v>
      </c>
      <c r="U108" s="1"/>
      <c r="V108" s="27">
        <v>46</v>
      </c>
      <c r="W108" s="10" t="s">
        <v>420</v>
      </c>
      <c r="X108" s="1"/>
      <c r="Y108" s="1" t="s">
        <v>302</v>
      </c>
      <c r="Z108" s="1" t="s">
        <v>303</v>
      </c>
      <c r="AA108" s="24"/>
      <c r="AB108" s="10" t="s">
        <v>1762</v>
      </c>
      <c r="AC108" s="162">
        <v>46</v>
      </c>
      <c r="AD108" s="156">
        <v>46</v>
      </c>
      <c r="AE108" s="156">
        <v>46</v>
      </c>
      <c r="AF108" s="156">
        <v>46</v>
      </c>
      <c r="AG108" s="377">
        <f t="shared" si="15"/>
        <v>184</v>
      </c>
      <c r="AH108" s="377" t="b">
        <f t="shared" si="12"/>
        <v>0</v>
      </c>
      <c r="AI108" s="27">
        <v>14</v>
      </c>
      <c r="AJ108" s="27">
        <v>23</v>
      </c>
      <c r="AK108" s="27">
        <v>46</v>
      </c>
      <c r="AL108" s="27">
        <v>46</v>
      </c>
      <c r="AM108" s="16">
        <f t="shared" si="13"/>
        <v>1</v>
      </c>
      <c r="AN108" s="162">
        <v>46</v>
      </c>
      <c r="AO108" s="27">
        <v>14</v>
      </c>
      <c r="AP108" s="27">
        <v>23</v>
      </c>
      <c r="AQ108" s="27"/>
      <c r="AR108" s="311">
        <f t="shared" si="10"/>
        <v>46</v>
      </c>
      <c r="AS108" s="21">
        <f t="shared" si="11"/>
        <v>1</v>
      </c>
      <c r="AT108" s="1">
        <f t="shared" si="14"/>
        <v>11.5</v>
      </c>
      <c r="AU108" s="31"/>
      <c r="AV108" s="31"/>
      <c r="AW108" s="31"/>
      <c r="AX108" s="16">
        <f t="shared" si="17"/>
        <v>0.25</v>
      </c>
      <c r="AY108" s="156">
        <v>46</v>
      </c>
      <c r="AZ108" s="371"/>
      <c r="BA108" s="456"/>
      <c r="BB108" s="31"/>
      <c r="BC108" s="31"/>
      <c r="BD108" s="16">
        <f t="shared" si="16"/>
        <v>0</v>
      </c>
      <c r="BE108" s="31"/>
      <c r="BF108" s="31"/>
      <c r="BG108" s="31"/>
      <c r="BH108" s="31"/>
      <c r="BI108" s="16"/>
      <c r="BJ108" s="16"/>
      <c r="BK108" s="31"/>
      <c r="BL108" s="31"/>
      <c r="BM108" s="31"/>
      <c r="BN108" s="31"/>
      <c r="BO108" s="16"/>
      <c r="BP108" s="31"/>
      <c r="BQ108" s="31"/>
      <c r="BR108" s="31"/>
      <c r="BS108" s="31"/>
      <c r="BT108" s="16"/>
      <c r="BU108" s="16"/>
      <c r="BV108" s="16"/>
      <c r="BW108" s="16"/>
      <c r="BX108" s="16"/>
      <c r="BY108" s="16"/>
      <c r="BZ108" s="16"/>
      <c r="CA108" s="27"/>
      <c r="CB108" s="27"/>
      <c r="CC108" s="1"/>
    </row>
    <row r="109" spans="1:81" s="52" customFormat="1" ht="111" customHeight="1" x14ac:dyDescent="0.25">
      <c r="A109" s="1">
        <v>1</v>
      </c>
      <c r="B109" s="13" t="s">
        <v>1746</v>
      </c>
      <c r="C109" s="588"/>
      <c r="D109" s="589"/>
      <c r="E109" s="10" t="s">
        <v>293</v>
      </c>
      <c r="F109" s="13" t="s">
        <v>294</v>
      </c>
      <c r="G109" s="588"/>
      <c r="H109" s="589"/>
      <c r="I109" s="10" t="s">
        <v>443</v>
      </c>
      <c r="J109" s="13" t="s">
        <v>1996</v>
      </c>
      <c r="K109" s="572"/>
      <c r="L109" s="573"/>
      <c r="M109" s="10" t="s">
        <v>470</v>
      </c>
      <c r="N109" s="10" t="s">
        <v>471</v>
      </c>
      <c r="O109" s="312" t="s">
        <v>471</v>
      </c>
      <c r="P109" s="133" t="s">
        <v>472</v>
      </c>
      <c r="Q109" s="133">
        <v>13.4</v>
      </c>
      <c r="R109" s="133" t="s">
        <v>473</v>
      </c>
      <c r="S109" s="312" t="s">
        <v>2004</v>
      </c>
      <c r="T109" s="13" t="s">
        <v>474</v>
      </c>
      <c r="U109" s="1"/>
      <c r="V109" s="1">
        <v>45</v>
      </c>
      <c r="W109" s="10" t="s">
        <v>420</v>
      </c>
      <c r="X109" s="1"/>
      <c r="Y109" s="1" t="s">
        <v>302</v>
      </c>
      <c r="Z109" s="1" t="s">
        <v>303</v>
      </c>
      <c r="AA109" s="24"/>
      <c r="AB109" s="10" t="s">
        <v>1762</v>
      </c>
      <c r="AC109" s="162">
        <v>45</v>
      </c>
      <c r="AD109" s="108">
        <v>8</v>
      </c>
      <c r="AE109" s="156">
        <v>45</v>
      </c>
      <c r="AF109" s="156">
        <v>45</v>
      </c>
      <c r="AG109" s="377">
        <f t="shared" si="15"/>
        <v>143</v>
      </c>
      <c r="AH109" s="377" t="b">
        <f t="shared" si="12"/>
        <v>0</v>
      </c>
      <c r="AI109" s="1">
        <v>10</v>
      </c>
      <c r="AJ109" s="1">
        <v>23</v>
      </c>
      <c r="AK109" s="1">
        <v>45</v>
      </c>
      <c r="AL109" s="1">
        <v>45</v>
      </c>
      <c r="AM109" s="16">
        <f t="shared" si="13"/>
        <v>1</v>
      </c>
      <c r="AN109" s="162">
        <v>45</v>
      </c>
      <c r="AO109" s="1">
        <v>10</v>
      </c>
      <c r="AP109" s="1">
        <v>23</v>
      </c>
      <c r="AQ109" s="1"/>
      <c r="AR109" s="311">
        <f t="shared" si="10"/>
        <v>45</v>
      </c>
      <c r="AS109" s="21">
        <f t="shared" si="11"/>
        <v>1</v>
      </c>
      <c r="AT109" s="1">
        <f t="shared" si="14"/>
        <v>11.75</v>
      </c>
      <c r="AU109" s="31"/>
      <c r="AV109" s="31"/>
      <c r="AW109" s="31"/>
      <c r="AX109" s="16">
        <f t="shared" si="17"/>
        <v>0.26111111111111113</v>
      </c>
      <c r="AY109" s="108">
        <v>8</v>
      </c>
      <c r="AZ109" s="371">
        <v>2</v>
      </c>
      <c r="BA109" s="456"/>
      <c r="BB109" s="31"/>
      <c r="BC109" s="31"/>
      <c r="BD109" s="16">
        <f t="shared" si="16"/>
        <v>0.25</v>
      </c>
      <c r="BE109" s="31"/>
      <c r="BF109" s="31"/>
      <c r="BG109" s="31"/>
      <c r="BH109" s="31"/>
      <c r="BI109" s="16"/>
      <c r="BJ109" s="16"/>
      <c r="BK109" s="31"/>
      <c r="BL109" s="31"/>
      <c r="BM109" s="31"/>
      <c r="BN109" s="31"/>
      <c r="BO109" s="16"/>
      <c r="BP109" s="31"/>
      <c r="BQ109" s="31"/>
      <c r="BR109" s="31"/>
      <c r="BS109" s="31"/>
      <c r="BT109" s="16"/>
      <c r="BU109" s="16"/>
      <c r="BV109" s="16"/>
      <c r="BW109" s="16"/>
      <c r="BX109" s="16"/>
      <c r="BY109" s="16"/>
      <c r="BZ109" s="16"/>
      <c r="CA109" s="1"/>
      <c r="CB109" s="1"/>
      <c r="CC109" s="1"/>
    </row>
    <row r="110" spans="1:81" s="354" customFormat="1" ht="120.75" customHeight="1" x14ac:dyDescent="0.25">
      <c r="A110" s="76">
        <v>1</v>
      </c>
      <c r="B110" s="350" t="s">
        <v>1746</v>
      </c>
      <c r="C110" s="595"/>
      <c r="D110" s="595"/>
      <c r="E110" s="351" t="s">
        <v>293</v>
      </c>
      <c r="F110" s="350" t="s">
        <v>294</v>
      </c>
      <c r="G110" s="588"/>
      <c r="H110" s="589"/>
      <c r="I110" s="10" t="s">
        <v>443</v>
      </c>
      <c r="J110" s="13" t="s">
        <v>1996</v>
      </c>
      <c r="K110" s="572"/>
      <c r="L110" s="573"/>
      <c r="M110" s="10" t="s">
        <v>475</v>
      </c>
      <c r="N110" s="352" t="s">
        <v>476</v>
      </c>
      <c r="O110" s="312" t="s">
        <v>476</v>
      </c>
      <c r="P110" s="133">
        <v>0</v>
      </c>
      <c r="Q110" s="133">
        <v>0</v>
      </c>
      <c r="R110" s="133" t="s">
        <v>477</v>
      </c>
      <c r="S110" s="312" t="s">
        <v>1995</v>
      </c>
      <c r="T110" s="350" t="s">
        <v>478</v>
      </c>
      <c r="U110" s="76"/>
      <c r="V110" s="76">
        <v>45</v>
      </c>
      <c r="W110" s="10" t="s">
        <v>420</v>
      </c>
      <c r="X110" s="76"/>
      <c r="Y110" s="76"/>
      <c r="Z110" s="76"/>
      <c r="AA110" s="353"/>
      <c r="AB110" s="351" t="s">
        <v>1762</v>
      </c>
      <c r="AC110" s="162">
        <v>45</v>
      </c>
      <c r="AD110" s="156">
        <v>45</v>
      </c>
      <c r="AE110" s="156">
        <v>45</v>
      </c>
      <c r="AF110" s="156">
        <v>45</v>
      </c>
      <c r="AG110" s="377">
        <f t="shared" si="15"/>
        <v>180</v>
      </c>
      <c r="AH110" s="377" t="b">
        <f t="shared" si="12"/>
        <v>0</v>
      </c>
      <c r="AI110" s="76">
        <v>10</v>
      </c>
      <c r="AJ110" s="76">
        <v>5</v>
      </c>
      <c r="AK110" s="1">
        <v>45</v>
      </c>
      <c r="AL110" s="76">
        <v>45</v>
      </c>
      <c r="AM110" s="16">
        <f t="shared" si="13"/>
        <v>1</v>
      </c>
      <c r="AN110" s="162">
        <v>45</v>
      </c>
      <c r="AO110" s="1">
        <v>10</v>
      </c>
      <c r="AP110" s="1">
        <v>5</v>
      </c>
      <c r="AQ110" s="1"/>
      <c r="AR110" s="311">
        <f t="shared" si="10"/>
        <v>45</v>
      </c>
      <c r="AS110" s="21">
        <f t="shared" si="11"/>
        <v>1</v>
      </c>
      <c r="AT110" s="1">
        <f t="shared" si="14"/>
        <v>11.25</v>
      </c>
      <c r="AU110" s="31"/>
      <c r="AV110" s="31"/>
      <c r="AW110" s="31"/>
      <c r="AX110" s="16">
        <f t="shared" si="17"/>
        <v>0.25</v>
      </c>
      <c r="AY110" s="156">
        <v>45</v>
      </c>
      <c r="AZ110" s="371"/>
      <c r="BA110" s="456"/>
      <c r="BB110" s="31"/>
      <c r="BC110" s="31"/>
      <c r="BD110" s="16">
        <f t="shared" si="16"/>
        <v>0</v>
      </c>
      <c r="BE110" s="31"/>
      <c r="BF110" s="31"/>
      <c r="BG110" s="31"/>
      <c r="BH110" s="31"/>
      <c r="BI110" s="16"/>
      <c r="BJ110" s="16"/>
      <c r="BK110" s="31"/>
      <c r="BL110" s="31"/>
      <c r="BM110" s="31"/>
      <c r="BN110" s="31"/>
      <c r="BO110" s="16"/>
      <c r="BP110" s="31"/>
      <c r="BQ110" s="31"/>
      <c r="BR110" s="31"/>
      <c r="BS110" s="31"/>
      <c r="BT110" s="16"/>
      <c r="BU110" s="16"/>
      <c r="BV110" s="16"/>
      <c r="BW110" s="16"/>
      <c r="BX110" s="16"/>
      <c r="BY110" s="16"/>
      <c r="BZ110" s="16"/>
      <c r="CA110" s="76"/>
      <c r="CB110" s="76"/>
      <c r="CC110" s="76"/>
    </row>
    <row r="111" spans="1:81" s="354" customFormat="1" ht="110.25" x14ac:dyDescent="0.25">
      <c r="A111" s="76">
        <v>1</v>
      </c>
      <c r="B111" s="350" t="s">
        <v>1746</v>
      </c>
      <c r="C111" s="595"/>
      <c r="D111" s="595"/>
      <c r="E111" s="351" t="s">
        <v>293</v>
      </c>
      <c r="F111" s="350" t="s">
        <v>294</v>
      </c>
      <c r="G111" s="588"/>
      <c r="H111" s="589"/>
      <c r="I111" s="10" t="s">
        <v>443</v>
      </c>
      <c r="J111" s="13" t="s">
        <v>1996</v>
      </c>
      <c r="K111" s="572"/>
      <c r="L111" s="573"/>
      <c r="M111" s="10" t="s">
        <v>479</v>
      </c>
      <c r="N111" s="352" t="s">
        <v>480</v>
      </c>
      <c r="O111" s="312" t="s">
        <v>480</v>
      </c>
      <c r="P111" s="133">
        <v>0</v>
      </c>
      <c r="Q111" s="133">
        <v>0</v>
      </c>
      <c r="R111" s="133" t="s">
        <v>481</v>
      </c>
      <c r="S111" s="312" t="s">
        <v>482</v>
      </c>
      <c r="T111" s="350" t="s">
        <v>482</v>
      </c>
      <c r="U111" s="76"/>
      <c r="V111" s="76">
        <v>1</v>
      </c>
      <c r="W111" s="10" t="s">
        <v>420</v>
      </c>
      <c r="X111" s="76"/>
      <c r="Y111" s="76"/>
      <c r="Z111" s="76"/>
      <c r="AA111" s="353"/>
      <c r="AB111" s="351" t="s">
        <v>1762</v>
      </c>
      <c r="AC111" s="162">
        <v>1</v>
      </c>
      <c r="AD111" s="156">
        <v>1</v>
      </c>
      <c r="AE111" s="156">
        <v>1</v>
      </c>
      <c r="AF111" s="156">
        <v>1</v>
      </c>
      <c r="AG111" s="377">
        <f t="shared" si="15"/>
        <v>4</v>
      </c>
      <c r="AH111" s="377" t="b">
        <f t="shared" si="12"/>
        <v>0</v>
      </c>
      <c r="AI111" s="76">
        <v>0</v>
      </c>
      <c r="AJ111" s="76">
        <v>1</v>
      </c>
      <c r="AK111" s="1">
        <v>1</v>
      </c>
      <c r="AL111" s="76">
        <v>1</v>
      </c>
      <c r="AM111" s="16">
        <f t="shared" si="13"/>
        <v>1</v>
      </c>
      <c r="AN111" s="162">
        <v>1</v>
      </c>
      <c r="AO111" s="1">
        <v>0</v>
      </c>
      <c r="AP111" s="1">
        <v>1</v>
      </c>
      <c r="AQ111" s="1"/>
      <c r="AR111" s="311">
        <f t="shared" si="10"/>
        <v>1</v>
      </c>
      <c r="AS111" s="21">
        <f t="shared" si="11"/>
        <v>1</v>
      </c>
      <c r="AT111" s="1">
        <f t="shared" si="14"/>
        <v>0.25</v>
      </c>
      <c r="AU111" s="31"/>
      <c r="AV111" s="31"/>
      <c r="AW111" s="31"/>
      <c r="AX111" s="16">
        <f t="shared" si="17"/>
        <v>0.25</v>
      </c>
      <c r="AY111" s="156">
        <v>1</v>
      </c>
      <c r="AZ111" s="371">
        <v>0</v>
      </c>
      <c r="BA111" s="456"/>
      <c r="BB111" s="31"/>
      <c r="BC111" s="31"/>
      <c r="BD111" s="16">
        <f t="shared" si="16"/>
        <v>0</v>
      </c>
      <c r="BE111" s="31"/>
      <c r="BF111" s="31"/>
      <c r="BG111" s="31"/>
      <c r="BH111" s="31"/>
      <c r="BI111" s="16"/>
      <c r="BJ111" s="16"/>
      <c r="BK111" s="31"/>
      <c r="BL111" s="31"/>
      <c r="BM111" s="31"/>
      <c r="BN111" s="31"/>
      <c r="BO111" s="16"/>
      <c r="BP111" s="31"/>
      <c r="BQ111" s="31"/>
      <c r="BR111" s="31"/>
      <c r="BS111" s="31"/>
      <c r="BT111" s="16"/>
      <c r="BU111" s="16"/>
      <c r="BV111" s="16"/>
      <c r="BW111" s="16"/>
      <c r="BX111" s="16"/>
      <c r="BY111" s="16"/>
      <c r="BZ111" s="16"/>
      <c r="CA111" s="76"/>
      <c r="CB111" s="76"/>
      <c r="CC111" s="76"/>
    </row>
    <row r="112" spans="1:81" s="52" customFormat="1" ht="78.75" x14ac:dyDescent="0.25">
      <c r="A112" s="1">
        <v>1</v>
      </c>
      <c r="B112" s="13" t="s">
        <v>1746</v>
      </c>
      <c r="C112" s="588"/>
      <c r="D112" s="589"/>
      <c r="E112" s="10" t="s">
        <v>293</v>
      </c>
      <c r="F112" s="13" t="s">
        <v>294</v>
      </c>
      <c r="G112" s="588"/>
      <c r="H112" s="589"/>
      <c r="I112" s="10" t="s">
        <v>483</v>
      </c>
      <c r="J112" s="13" t="s">
        <v>484</v>
      </c>
      <c r="K112" s="567">
        <f>AVERAGE(AX112:AX116)</f>
        <v>0.27913043478260868</v>
      </c>
      <c r="L112" s="569">
        <f>AVERAGE(BD112:BD116)</f>
        <v>0.25</v>
      </c>
      <c r="M112" s="10" t="s">
        <v>485</v>
      </c>
      <c r="N112" s="23" t="s">
        <v>486</v>
      </c>
      <c r="O112" s="13" t="s">
        <v>486</v>
      </c>
      <c r="P112" s="10">
        <v>25</v>
      </c>
      <c r="Q112" s="10">
        <v>100</v>
      </c>
      <c r="R112" s="10" t="s">
        <v>487</v>
      </c>
      <c r="S112" s="13" t="s">
        <v>488</v>
      </c>
      <c r="T112" s="13" t="s">
        <v>488</v>
      </c>
      <c r="U112" s="1"/>
      <c r="V112" s="1">
        <v>46</v>
      </c>
      <c r="W112" s="10" t="s">
        <v>412</v>
      </c>
      <c r="X112" s="1"/>
      <c r="Y112" s="1" t="s">
        <v>302</v>
      </c>
      <c r="Z112" s="1" t="s">
        <v>303</v>
      </c>
      <c r="AA112" s="24"/>
      <c r="AB112" s="10" t="s">
        <v>1762</v>
      </c>
      <c r="AC112" s="162">
        <v>25</v>
      </c>
      <c r="AD112" s="108">
        <v>12</v>
      </c>
      <c r="AE112" s="156">
        <v>39</v>
      </c>
      <c r="AF112" s="156">
        <v>46</v>
      </c>
      <c r="AG112" s="377">
        <f t="shared" si="15"/>
        <v>122</v>
      </c>
      <c r="AH112" s="377" t="b">
        <f t="shared" si="12"/>
        <v>0</v>
      </c>
      <c r="AI112" s="1">
        <v>10</v>
      </c>
      <c r="AJ112" s="1">
        <v>20</v>
      </c>
      <c r="AK112" s="1">
        <v>25</v>
      </c>
      <c r="AL112" s="1">
        <v>25</v>
      </c>
      <c r="AM112" s="16">
        <f t="shared" si="13"/>
        <v>0.54347826086956519</v>
      </c>
      <c r="AN112" s="162">
        <v>25</v>
      </c>
      <c r="AO112" s="1">
        <v>10</v>
      </c>
      <c r="AP112" s="1">
        <v>20</v>
      </c>
      <c r="AQ112" s="1"/>
      <c r="AR112" s="311">
        <f t="shared" si="10"/>
        <v>25</v>
      </c>
      <c r="AS112" s="21">
        <f t="shared" si="11"/>
        <v>1</v>
      </c>
      <c r="AT112" s="1">
        <f t="shared" si="14"/>
        <v>25</v>
      </c>
      <c r="AU112" s="31"/>
      <c r="AV112" s="31"/>
      <c r="AW112" s="31"/>
      <c r="AX112" s="16">
        <f t="shared" si="17"/>
        <v>0.54347826086956519</v>
      </c>
      <c r="AY112" s="108">
        <v>12</v>
      </c>
      <c r="AZ112" s="371">
        <v>0</v>
      </c>
      <c r="BA112" s="456"/>
      <c r="BB112" s="31"/>
      <c r="BC112" s="31"/>
      <c r="BD112" s="16">
        <f t="shared" si="16"/>
        <v>0</v>
      </c>
      <c r="BE112" s="31"/>
      <c r="BF112" s="31"/>
      <c r="BG112" s="31"/>
      <c r="BH112" s="31"/>
      <c r="BI112" s="16"/>
      <c r="BJ112" s="16"/>
      <c r="BK112" s="31"/>
      <c r="BL112" s="31"/>
      <c r="BM112" s="31"/>
      <c r="BN112" s="31"/>
      <c r="BO112" s="16"/>
      <c r="BP112" s="31"/>
      <c r="BQ112" s="31"/>
      <c r="BR112" s="31"/>
      <c r="BS112" s="31"/>
      <c r="BT112" s="16"/>
      <c r="BU112" s="16"/>
      <c r="BV112" s="16"/>
      <c r="BW112" s="16"/>
      <c r="BX112" s="16"/>
      <c r="BY112" s="16"/>
      <c r="BZ112" s="16"/>
      <c r="CA112" s="1"/>
      <c r="CB112" s="1"/>
      <c r="CC112" s="1"/>
    </row>
    <row r="113" spans="1:81" s="52" customFormat="1" ht="78.75" x14ac:dyDescent="0.25">
      <c r="A113" s="1">
        <v>1</v>
      </c>
      <c r="B113" s="13" t="s">
        <v>1746</v>
      </c>
      <c r="C113" s="588"/>
      <c r="D113" s="589"/>
      <c r="E113" s="10" t="s">
        <v>293</v>
      </c>
      <c r="F113" s="13" t="s">
        <v>294</v>
      </c>
      <c r="G113" s="588"/>
      <c r="H113" s="589"/>
      <c r="I113" s="10" t="s">
        <v>483</v>
      </c>
      <c r="J113" s="13" t="s">
        <v>484</v>
      </c>
      <c r="K113" s="572"/>
      <c r="L113" s="573"/>
      <c r="M113" s="10" t="s">
        <v>485</v>
      </c>
      <c r="N113" s="23" t="s">
        <v>486</v>
      </c>
      <c r="O113" s="13" t="s">
        <v>486</v>
      </c>
      <c r="P113" s="10">
        <v>25</v>
      </c>
      <c r="Q113" s="10">
        <v>100</v>
      </c>
      <c r="R113" s="10" t="s">
        <v>489</v>
      </c>
      <c r="S113" s="13" t="s">
        <v>490</v>
      </c>
      <c r="T113" s="13" t="s">
        <v>490</v>
      </c>
      <c r="U113" s="1"/>
      <c r="V113" s="1">
        <v>46</v>
      </c>
      <c r="W113" s="10" t="s">
        <v>412</v>
      </c>
      <c r="X113" s="1"/>
      <c r="Y113" s="1" t="s">
        <v>302</v>
      </c>
      <c r="Z113" s="1" t="s">
        <v>303</v>
      </c>
      <c r="AA113" s="24"/>
      <c r="AB113" s="10" t="s">
        <v>1762</v>
      </c>
      <c r="AC113" s="162">
        <v>10</v>
      </c>
      <c r="AD113" s="156">
        <v>12</v>
      </c>
      <c r="AE113" s="156">
        <v>12</v>
      </c>
      <c r="AF113" s="156">
        <v>13</v>
      </c>
      <c r="AG113" s="377">
        <f t="shared" si="15"/>
        <v>47</v>
      </c>
      <c r="AH113" s="377" t="b">
        <f t="shared" si="12"/>
        <v>0</v>
      </c>
      <c r="AI113" s="27">
        <v>5</v>
      </c>
      <c r="AJ113" s="27">
        <v>7</v>
      </c>
      <c r="AK113" s="27">
        <v>7</v>
      </c>
      <c r="AL113" s="27">
        <v>7</v>
      </c>
      <c r="AM113" s="16">
        <f t="shared" si="13"/>
        <v>0.15217391304347827</v>
      </c>
      <c r="AN113" s="162">
        <v>10</v>
      </c>
      <c r="AO113" s="27">
        <v>5</v>
      </c>
      <c r="AP113" s="27">
        <v>7</v>
      </c>
      <c r="AQ113" s="27"/>
      <c r="AR113" s="311">
        <f t="shared" si="10"/>
        <v>7</v>
      </c>
      <c r="AS113" s="21">
        <f t="shared" si="11"/>
        <v>0.7</v>
      </c>
      <c r="AT113" s="1">
        <f t="shared" si="14"/>
        <v>7</v>
      </c>
      <c r="AU113" s="31"/>
      <c r="AV113" s="31"/>
      <c r="AW113" s="31"/>
      <c r="AX113" s="16">
        <f t="shared" si="17"/>
        <v>0.15217391304347827</v>
      </c>
      <c r="AY113" s="156">
        <v>12</v>
      </c>
      <c r="AZ113" s="371">
        <v>0</v>
      </c>
      <c r="BA113" s="456"/>
      <c r="BB113" s="31"/>
      <c r="BC113" s="31"/>
      <c r="BD113" s="16">
        <f t="shared" si="16"/>
        <v>0</v>
      </c>
      <c r="BE113" s="31"/>
      <c r="BF113" s="31"/>
      <c r="BG113" s="31"/>
      <c r="BH113" s="31"/>
      <c r="BI113" s="16"/>
      <c r="BJ113" s="16"/>
      <c r="BK113" s="31"/>
      <c r="BL113" s="31"/>
      <c r="BM113" s="31"/>
      <c r="BN113" s="31"/>
      <c r="BO113" s="16"/>
      <c r="BP113" s="31"/>
      <c r="BQ113" s="31"/>
      <c r="BR113" s="31"/>
      <c r="BS113" s="31"/>
      <c r="BT113" s="16"/>
      <c r="BU113" s="16"/>
      <c r="BV113" s="16"/>
      <c r="BW113" s="16"/>
      <c r="BX113" s="16"/>
      <c r="BY113" s="16"/>
      <c r="BZ113" s="16"/>
      <c r="CA113" s="1"/>
      <c r="CB113" s="1"/>
      <c r="CC113" s="1"/>
    </row>
    <row r="114" spans="1:81" s="52" customFormat="1" ht="78.75" x14ac:dyDescent="0.25">
      <c r="A114" s="1">
        <v>1</v>
      </c>
      <c r="B114" s="13" t="s">
        <v>1746</v>
      </c>
      <c r="C114" s="588"/>
      <c r="D114" s="589"/>
      <c r="E114" s="10" t="s">
        <v>293</v>
      </c>
      <c r="F114" s="13" t="s">
        <v>294</v>
      </c>
      <c r="G114" s="588"/>
      <c r="H114" s="589"/>
      <c r="I114" s="10" t="s">
        <v>483</v>
      </c>
      <c r="J114" s="13" t="s">
        <v>484</v>
      </c>
      <c r="K114" s="572"/>
      <c r="L114" s="573"/>
      <c r="M114" s="10" t="s">
        <v>485</v>
      </c>
      <c r="N114" s="23" t="s">
        <v>486</v>
      </c>
      <c r="O114" s="13" t="s">
        <v>486</v>
      </c>
      <c r="P114" s="10">
        <v>25</v>
      </c>
      <c r="Q114" s="10">
        <v>100</v>
      </c>
      <c r="R114" s="10" t="s">
        <v>491</v>
      </c>
      <c r="S114" s="13" t="s">
        <v>492</v>
      </c>
      <c r="T114" s="13" t="s">
        <v>492</v>
      </c>
      <c r="U114" s="1"/>
      <c r="V114" s="1">
        <v>1</v>
      </c>
      <c r="W114" s="10" t="s">
        <v>420</v>
      </c>
      <c r="X114" s="1"/>
      <c r="Y114" s="1" t="s">
        <v>302</v>
      </c>
      <c r="Z114" s="1" t="s">
        <v>303</v>
      </c>
      <c r="AA114" s="24"/>
      <c r="AB114" s="10" t="s">
        <v>1762</v>
      </c>
      <c r="AC114" s="162">
        <v>1</v>
      </c>
      <c r="AD114" s="156">
        <v>1</v>
      </c>
      <c r="AE114" s="156">
        <v>1</v>
      </c>
      <c r="AF114" s="156">
        <v>1</v>
      </c>
      <c r="AG114" s="377">
        <f t="shared" si="15"/>
        <v>4</v>
      </c>
      <c r="AH114" s="377" t="b">
        <f t="shared" si="12"/>
        <v>0</v>
      </c>
      <c r="AI114" s="27">
        <v>1</v>
      </c>
      <c r="AJ114" s="27">
        <v>1</v>
      </c>
      <c r="AK114" s="27">
        <v>1</v>
      </c>
      <c r="AL114" s="27">
        <v>1</v>
      </c>
      <c r="AM114" s="16">
        <f t="shared" si="13"/>
        <v>1</v>
      </c>
      <c r="AN114" s="162">
        <v>1</v>
      </c>
      <c r="AO114" s="27">
        <v>1</v>
      </c>
      <c r="AP114" s="27">
        <v>1</v>
      </c>
      <c r="AQ114" s="27"/>
      <c r="AR114" s="311">
        <f t="shared" si="10"/>
        <v>1</v>
      </c>
      <c r="AS114" s="21">
        <f t="shared" si="11"/>
        <v>1</v>
      </c>
      <c r="AT114" s="1">
        <f t="shared" si="14"/>
        <v>0.5</v>
      </c>
      <c r="AU114" s="31"/>
      <c r="AV114" s="31"/>
      <c r="AW114" s="31"/>
      <c r="AX114" s="16">
        <f t="shared" si="17"/>
        <v>0.5</v>
      </c>
      <c r="AY114" s="156">
        <v>1</v>
      </c>
      <c r="AZ114" s="371">
        <v>1</v>
      </c>
      <c r="BA114" s="456"/>
      <c r="BB114" s="31"/>
      <c r="BC114" s="31"/>
      <c r="BD114" s="16">
        <f t="shared" si="16"/>
        <v>1</v>
      </c>
      <c r="BE114" s="31"/>
      <c r="BF114" s="31"/>
      <c r="BG114" s="31"/>
      <c r="BH114" s="31"/>
      <c r="BI114" s="16"/>
      <c r="BJ114" s="16"/>
      <c r="BK114" s="31"/>
      <c r="BL114" s="31"/>
      <c r="BM114" s="31"/>
      <c r="BN114" s="31"/>
      <c r="BO114" s="16"/>
      <c r="BP114" s="31"/>
      <c r="BQ114" s="31"/>
      <c r="BR114" s="31"/>
      <c r="BS114" s="31"/>
      <c r="BT114" s="16"/>
      <c r="BU114" s="16"/>
      <c r="BV114" s="16"/>
      <c r="BW114" s="16"/>
      <c r="BX114" s="16"/>
      <c r="BY114" s="16"/>
      <c r="BZ114" s="16"/>
      <c r="CA114" s="1"/>
      <c r="CB114" s="1"/>
      <c r="CC114" s="1"/>
    </row>
    <row r="115" spans="1:81" s="52" customFormat="1" ht="78.75" x14ac:dyDescent="0.25">
      <c r="A115" s="1">
        <v>1</v>
      </c>
      <c r="B115" s="13" t="s">
        <v>1746</v>
      </c>
      <c r="C115" s="588"/>
      <c r="D115" s="589"/>
      <c r="E115" s="10" t="s">
        <v>293</v>
      </c>
      <c r="F115" s="13" t="s">
        <v>294</v>
      </c>
      <c r="G115" s="588"/>
      <c r="H115" s="589"/>
      <c r="I115" s="10" t="s">
        <v>483</v>
      </c>
      <c r="J115" s="13" t="s">
        <v>484</v>
      </c>
      <c r="K115" s="572"/>
      <c r="L115" s="573"/>
      <c r="M115" s="10" t="s">
        <v>485</v>
      </c>
      <c r="N115" s="23" t="s">
        <v>486</v>
      </c>
      <c r="O115" s="13" t="s">
        <v>486</v>
      </c>
      <c r="P115" s="10">
        <v>25</v>
      </c>
      <c r="Q115" s="10">
        <v>100</v>
      </c>
      <c r="R115" s="10" t="s">
        <v>493</v>
      </c>
      <c r="S115" s="13" t="s">
        <v>494</v>
      </c>
      <c r="T115" s="13" t="s">
        <v>494</v>
      </c>
      <c r="U115" s="1"/>
      <c r="V115" s="1">
        <v>5</v>
      </c>
      <c r="W115" s="10" t="s">
        <v>412</v>
      </c>
      <c r="X115" s="1"/>
      <c r="Y115" s="1" t="s">
        <v>302</v>
      </c>
      <c r="Z115" s="1" t="s">
        <v>303</v>
      </c>
      <c r="AA115" s="24"/>
      <c r="AB115" s="10" t="s">
        <v>1762</v>
      </c>
      <c r="AC115" s="162">
        <v>1</v>
      </c>
      <c r="AD115" s="156">
        <v>1</v>
      </c>
      <c r="AE115" s="156">
        <v>2</v>
      </c>
      <c r="AF115" s="156">
        <v>1</v>
      </c>
      <c r="AG115" s="377">
        <f t="shared" si="15"/>
        <v>5</v>
      </c>
      <c r="AH115" s="377" t="b">
        <f t="shared" si="12"/>
        <v>1</v>
      </c>
      <c r="AI115" s="27">
        <v>0</v>
      </c>
      <c r="AJ115" s="27">
        <v>0</v>
      </c>
      <c r="AK115" s="27">
        <v>1</v>
      </c>
      <c r="AL115" s="27">
        <v>1</v>
      </c>
      <c r="AM115" s="16">
        <f t="shared" si="13"/>
        <v>0.2</v>
      </c>
      <c r="AN115" s="162">
        <v>1</v>
      </c>
      <c r="AO115" s="27">
        <v>0</v>
      </c>
      <c r="AP115" s="27">
        <v>0</v>
      </c>
      <c r="AQ115" s="27"/>
      <c r="AR115" s="311">
        <f t="shared" si="10"/>
        <v>1</v>
      </c>
      <c r="AS115" s="21">
        <f t="shared" si="11"/>
        <v>1</v>
      </c>
      <c r="AT115" s="1">
        <f t="shared" si="14"/>
        <v>1</v>
      </c>
      <c r="AU115" s="31"/>
      <c r="AV115" s="31"/>
      <c r="AW115" s="31"/>
      <c r="AX115" s="16">
        <f t="shared" si="17"/>
        <v>0.2</v>
      </c>
      <c r="AY115" s="156">
        <v>1</v>
      </c>
      <c r="AZ115" s="371">
        <v>0</v>
      </c>
      <c r="BA115" s="456"/>
      <c r="BB115" s="31"/>
      <c r="BC115" s="31"/>
      <c r="BD115" s="16">
        <f t="shared" si="16"/>
        <v>0</v>
      </c>
      <c r="BE115" s="31"/>
      <c r="BF115" s="31"/>
      <c r="BG115" s="31"/>
      <c r="BH115" s="31"/>
      <c r="BI115" s="16"/>
      <c r="BJ115" s="16"/>
      <c r="BK115" s="31"/>
      <c r="BL115" s="31"/>
      <c r="BM115" s="31"/>
      <c r="BN115" s="31"/>
      <c r="BO115" s="16"/>
      <c r="BP115" s="31"/>
      <c r="BQ115" s="31"/>
      <c r="BR115" s="31"/>
      <c r="BS115" s="31"/>
      <c r="BT115" s="16"/>
      <c r="BU115" s="16"/>
      <c r="BV115" s="16"/>
      <c r="BW115" s="16"/>
      <c r="BX115" s="16"/>
      <c r="BY115" s="16"/>
      <c r="BZ115" s="16"/>
      <c r="CA115" s="1"/>
      <c r="CB115" s="1"/>
      <c r="CC115" s="1"/>
    </row>
    <row r="116" spans="1:81" s="52" customFormat="1" ht="78.75" x14ac:dyDescent="0.25">
      <c r="A116" s="1">
        <v>1</v>
      </c>
      <c r="B116" s="13" t="s">
        <v>1746</v>
      </c>
      <c r="C116" s="588"/>
      <c r="D116" s="589"/>
      <c r="E116" s="10" t="s">
        <v>293</v>
      </c>
      <c r="F116" s="13" t="s">
        <v>294</v>
      </c>
      <c r="G116" s="588"/>
      <c r="H116" s="589"/>
      <c r="I116" s="10" t="s">
        <v>483</v>
      </c>
      <c r="J116" s="13" t="s">
        <v>484</v>
      </c>
      <c r="K116" s="568"/>
      <c r="L116" s="570"/>
      <c r="M116" s="10" t="s">
        <v>485</v>
      </c>
      <c r="N116" s="23" t="s">
        <v>486</v>
      </c>
      <c r="O116" s="13" t="s">
        <v>486</v>
      </c>
      <c r="P116" s="10">
        <v>25</v>
      </c>
      <c r="Q116" s="10">
        <v>100</v>
      </c>
      <c r="R116" s="10" t="s">
        <v>495</v>
      </c>
      <c r="S116" s="13" t="s">
        <v>496</v>
      </c>
      <c r="T116" s="13" t="s">
        <v>496</v>
      </c>
      <c r="U116" s="1"/>
      <c r="V116" s="1">
        <v>1</v>
      </c>
      <c r="W116" s="10" t="s">
        <v>412</v>
      </c>
      <c r="X116" s="1"/>
      <c r="Y116" s="1"/>
      <c r="Z116" s="1"/>
      <c r="AA116" s="24"/>
      <c r="AB116" s="10" t="s">
        <v>1762</v>
      </c>
      <c r="AC116" s="162"/>
      <c r="AD116" s="156"/>
      <c r="AE116" s="156">
        <v>1</v>
      </c>
      <c r="AF116" s="156"/>
      <c r="AG116" s="377">
        <f t="shared" si="15"/>
        <v>1</v>
      </c>
      <c r="AH116" s="377" t="b">
        <f t="shared" si="12"/>
        <v>1</v>
      </c>
      <c r="AI116" s="27"/>
      <c r="AJ116" s="27"/>
      <c r="AK116" s="27"/>
      <c r="AL116" s="27"/>
      <c r="AM116" s="16">
        <f t="shared" si="13"/>
        <v>0</v>
      </c>
      <c r="AN116" s="162"/>
      <c r="AO116" s="27"/>
      <c r="AP116" s="27"/>
      <c r="AQ116" s="27"/>
      <c r="AR116" s="311"/>
      <c r="AS116" s="21" t="s">
        <v>310</v>
      </c>
      <c r="AT116" s="1">
        <f t="shared" si="14"/>
        <v>0</v>
      </c>
      <c r="AU116" s="31"/>
      <c r="AV116" s="31"/>
      <c r="AW116" s="31"/>
      <c r="AX116" s="16">
        <f t="shared" si="17"/>
        <v>0</v>
      </c>
      <c r="AY116" s="156" t="s">
        <v>310</v>
      </c>
      <c r="AZ116" s="371">
        <v>0</v>
      </c>
      <c r="BA116" s="456"/>
      <c r="BB116" s="31"/>
      <c r="BC116" s="31"/>
      <c r="BD116" s="16" t="str">
        <f t="shared" si="16"/>
        <v>NP</v>
      </c>
      <c r="BE116" s="31"/>
      <c r="BF116" s="31"/>
      <c r="BG116" s="31"/>
      <c r="BH116" s="31"/>
      <c r="BI116" s="16"/>
      <c r="BJ116" s="16"/>
      <c r="BK116" s="31"/>
      <c r="BL116" s="31"/>
      <c r="BM116" s="31"/>
      <c r="BN116" s="31"/>
      <c r="BO116" s="16"/>
      <c r="BP116" s="31"/>
      <c r="BQ116" s="31"/>
      <c r="BR116" s="31"/>
      <c r="BS116" s="31"/>
      <c r="BT116" s="16"/>
      <c r="BU116" s="16"/>
      <c r="BV116" s="16"/>
      <c r="BW116" s="16"/>
      <c r="BX116" s="16"/>
      <c r="BY116" s="16"/>
      <c r="BZ116" s="16"/>
      <c r="CA116" s="1"/>
      <c r="CB116" s="1"/>
      <c r="CC116" s="1"/>
    </row>
    <row r="117" spans="1:81" s="52" customFormat="1" ht="63" x14ac:dyDescent="0.25">
      <c r="A117" s="1">
        <v>1</v>
      </c>
      <c r="B117" s="13" t="s">
        <v>1746</v>
      </c>
      <c r="C117" s="588"/>
      <c r="D117" s="589"/>
      <c r="E117" s="10" t="s">
        <v>293</v>
      </c>
      <c r="F117" s="13" t="s">
        <v>294</v>
      </c>
      <c r="G117" s="588"/>
      <c r="H117" s="589"/>
      <c r="I117" s="10" t="s">
        <v>497</v>
      </c>
      <c r="J117" s="13" t="s">
        <v>498</v>
      </c>
      <c r="K117" s="567">
        <f>AVERAGE(AX117:AX120)</f>
        <v>0.21906565656565657</v>
      </c>
      <c r="L117" s="569">
        <f>AVERAGE(BD117:BD120)</f>
        <v>0.25</v>
      </c>
      <c r="M117" s="10" t="s">
        <v>499</v>
      </c>
      <c r="N117" s="23" t="s">
        <v>500</v>
      </c>
      <c r="O117" s="13" t="s">
        <v>500</v>
      </c>
      <c r="P117" s="10" t="s">
        <v>501</v>
      </c>
      <c r="Q117" s="10">
        <v>5</v>
      </c>
      <c r="R117" s="10" t="s">
        <v>502</v>
      </c>
      <c r="S117" s="13" t="s">
        <v>503</v>
      </c>
      <c r="T117" s="13" t="s">
        <v>503</v>
      </c>
      <c r="U117" s="1"/>
      <c r="V117" s="1">
        <v>40</v>
      </c>
      <c r="W117" s="10" t="s">
        <v>412</v>
      </c>
      <c r="X117" s="1"/>
      <c r="Y117" s="1" t="s">
        <v>302</v>
      </c>
      <c r="Z117" s="1" t="s">
        <v>303</v>
      </c>
      <c r="AA117" s="24"/>
      <c r="AB117" s="10" t="s">
        <v>1762</v>
      </c>
      <c r="AC117" s="162">
        <v>10</v>
      </c>
      <c r="AD117" s="156">
        <v>10</v>
      </c>
      <c r="AE117" s="156">
        <v>10</v>
      </c>
      <c r="AF117" s="156">
        <v>10</v>
      </c>
      <c r="AG117" s="377">
        <f t="shared" si="15"/>
        <v>40</v>
      </c>
      <c r="AH117" s="377" t="b">
        <f t="shared" si="12"/>
        <v>1</v>
      </c>
      <c r="AI117" s="27">
        <v>6</v>
      </c>
      <c r="AJ117" s="27">
        <v>6</v>
      </c>
      <c r="AK117" s="27">
        <v>10</v>
      </c>
      <c r="AL117" s="27">
        <v>10</v>
      </c>
      <c r="AM117" s="16">
        <f t="shared" si="13"/>
        <v>0.25</v>
      </c>
      <c r="AN117" s="162">
        <v>10</v>
      </c>
      <c r="AO117" s="27">
        <v>6</v>
      </c>
      <c r="AP117" s="27">
        <v>6</v>
      </c>
      <c r="AQ117" s="27"/>
      <c r="AR117" s="311">
        <f t="shared" si="10"/>
        <v>10</v>
      </c>
      <c r="AS117" s="21">
        <f t="shared" si="11"/>
        <v>1</v>
      </c>
      <c r="AT117" s="1">
        <f t="shared" si="14"/>
        <v>10</v>
      </c>
      <c r="AU117" s="31"/>
      <c r="AV117" s="31"/>
      <c r="AW117" s="31"/>
      <c r="AX117" s="16">
        <f t="shared" si="17"/>
        <v>0.25</v>
      </c>
      <c r="AY117" s="156">
        <v>10</v>
      </c>
      <c r="AZ117" s="371">
        <v>0</v>
      </c>
      <c r="BA117" s="456"/>
      <c r="BB117" s="31"/>
      <c r="BC117" s="31"/>
      <c r="BD117" s="16">
        <f t="shared" si="16"/>
        <v>0</v>
      </c>
      <c r="BE117" s="31"/>
      <c r="BF117" s="31"/>
      <c r="BG117" s="31"/>
      <c r="BH117" s="31"/>
      <c r="BI117" s="16"/>
      <c r="BJ117" s="16"/>
      <c r="BK117" s="31"/>
      <c r="BL117" s="31"/>
      <c r="BM117" s="31"/>
      <c r="BN117" s="31"/>
      <c r="BO117" s="16"/>
      <c r="BP117" s="31"/>
      <c r="BQ117" s="31"/>
      <c r="BR117" s="31"/>
      <c r="BS117" s="31"/>
      <c r="BT117" s="16"/>
      <c r="BU117" s="16"/>
      <c r="BV117" s="16"/>
      <c r="BW117" s="16"/>
      <c r="BX117" s="16"/>
      <c r="BY117" s="16"/>
      <c r="BZ117" s="16"/>
      <c r="CA117" s="1"/>
      <c r="CB117" s="1"/>
      <c r="CC117" s="1"/>
    </row>
    <row r="118" spans="1:81" s="52" customFormat="1" ht="62.25" customHeight="1" x14ac:dyDescent="0.25">
      <c r="A118" s="1">
        <v>1</v>
      </c>
      <c r="B118" s="13" t="s">
        <v>1746</v>
      </c>
      <c r="C118" s="588"/>
      <c r="D118" s="589"/>
      <c r="E118" s="10" t="s">
        <v>293</v>
      </c>
      <c r="F118" s="13" t="s">
        <v>294</v>
      </c>
      <c r="G118" s="588"/>
      <c r="H118" s="589"/>
      <c r="I118" s="10" t="s">
        <v>497</v>
      </c>
      <c r="J118" s="13" t="s">
        <v>498</v>
      </c>
      <c r="K118" s="572"/>
      <c r="L118" s="573"/>
      <c r="M118" s="10" t="s">
        <v>499</v>
      </c>
      <c r="N118" s="23" t="s">
        <v>500</v>
      </c>
      <c r="O118" s="13" t="s">
        <v>500</v>
      </c>
      <c r="P118" s="10" t="s">
        <v>501</v>
      </c>
      <c r="Q118" s="10">
        <v>5</v>
      </c>
      <c r="R118" s="10" t="s">
        <v>504</v>
      </c>
      <c r="S118" s="13" t="s">
        <v>505</v>
      </c>
      <c r="T118" s="13" t="s">
        <v>505</v>
      </c>
      <c r="U118" s="1"/>
      <c r="V118" s="108">
        <v>45</v>
      </c>
      <c r="W118" s="10" t="s">
        <v>412</v>
      </c>
      <c r="X118" s="1"/>
      <c r="Y118" s="1" t="s">
        <v>302</v>
      </c>
      <c r="Z118" s="1" t="s">
        <v>303</v>
      </c>
      <c r="AA118" s="24"/>
      <c r="AB118" s="10" t="s">
        <v>1762</v>
      </c>
      <c r="AC118" s="162">
        <v>10</v>
      </c>
      <c r="AD118" s="156">
        <v>10</v>
      </c>
      <c r="AE118" s="156">
        <v>10</v>
      </c>
      <c r="AF118" s="156">
        <v>10</v>
      </c>
      <c r="AG118" s="377">
        <f t="shared" si="15"/>
        <v>40</v>
      </c>
      <c r="AH118" s="377" t="b">
        <f t="shared" si="12"/>
        <v>0</v>
      </c>
      <c r="AI118" s="27">
        <v>0</v>
      </c>
      <c r="AJ118" s="27">
        <v>0</v>
      </c>
      <c r="AK118" s="27">
        <v>0</v>
      </c>
      <c r="AL118" s="27">
        <v>0</v>
      </c>
      <c r="AM118" s="16">
        <f t="shared" si="13"/>
        <v>0</v>
      </c>
      <c r="AN118" s="162">
        <v>10</v>
      </c>
      <c r="AO118" s="27">
        <v>0</v>
      </c>
      <c r="AP118" s="27">
        <v>0</v>
      </c>
      <c r="AQ118" s="27"/>
      <c r="AR118" s="311">
        <f t="shared" si="10"/>
        <v>0</v>
      </c>
      <c r="AS118" s="21">
        <f t="shared" si="11"/>
        <v>0</v>
      </c>
      <c r="AT118" s="1">
        <f t="shared" si="14"/>
        <v>0</v>
      </c>
      <c r="AU118" s="31"/>
      <c r="AV118" s="31"/>
      <c r="AW118" s="31"/>
      <c r="AX118" s="16">
        <f t="shared" si="17"/>
        <v>0</v>
      </c>
      <c r="AY118" s="156">
        <v>10</v>
      </c>
      <c r="AZ118" s="371">
        <v>0</v>
      </c>
      <c r="BA118" s="456"/>
      <c r="BB118" s="31"/>
      <c r="BC118" s="31"/>
      <c r="BD118" s="16">
        <f t="shared" si="16"/>
        <v>0</v>
      </c>
      <c r="BE118" s="31"/>
      <c r="BF118" s="31"/>
      <c r="BG118" s="31"/>
      <c r="BH118" s="31"/>
      <c r="BI118" s="16"/>
      <c r="BJ118" s="16"/>
      <c r="BK118" s="31"/>
      <c r="BL118" s="31"/>
      <c r="BM118" s="31"/>
      <c r="BN118" s="31"/>
      <c r="BO118" s="16"/>
      <c r="BP118" s="31"/>
      <c r="BQ118" s="31"/>
      <c r="BR118" s="31"/>
      <c r="BS118" s="31"/>
      <c r="BT118" s="16"/>
      <c r="BU118" s="16"/>
      <c r="BV118" s="16"/>
      <c r="BW118" s="16"/>
      <c r="BX118" s="16"/>
      <c r="BY118" s="16"/>
      <c r="BZ118" s="16"/>
      <c r="CA118" s="1"/>
      <c r="CB118" s="1"/>
      <c r="CC118" s="1"/>
    </row>
    <row r="119" spans="1:81" s="354" customFormat="1" ht="84" customHeight="1" x14ac:dyDescent="0.25">
      <c r="A119" s="76">
        <v>1</v>
      </c>
      <c r="B119" s="350" t="s">
        <v>1746</v>
      </c>
      <c r="C119" s="595"/>
      <c r="D119" s="595"/>
      <c r="E119" s="351" t="s">
        <v>293</v>
      </c>
      <c r="F119" s="350" t="s">
        <v>294</v>
      </c>
      <c r="G119" s="588"/>
      <c r="H119" s="589"/>
      <c r="I119" s="10" t="s">
        <v>497</v>
      </c>
      <c r="J119" s="13" t="s">
        <v>498</v>
      </c>
      <c r="K119" s="572"/>
      <c r="L119" s="573"/>
      <c r="M119" s="10" t="s">
        <v>499</v>
      </c>
      <c r="N119" s="352" t="s">
        <v>500</v>
      </c>
      <c r="O119" s="13" t="s">
        <v>500</v>
      </c>
      <c r="P119" s="10" t="s">
        <v>501</v>
      </c>
      <c r="Q119" s="10">
        <v>5</v>
      </c>
      <c r="R119" s="10" t="s">
        <v>506</v>
      </c>
      <c r="S119" s="350" t="s">
        <v>507</v>
      </c>
      <c r="T119" s="350" t="s">
        <v>507</v>
      </c>
      <c r="U119" s="76"/>
      <c r="V119" s="76">
        <v>22</v>
      </c>
      <c r="W119" s="10" t="s">
        <v>412</v>
      </c>
      <c r="X119" s="76"/>
      <c r="Y119" s="76"/>
      <c r="Z119" s="76"/>
      <c r="AA119" s="353"/>
      <c r="AB119" s="351" t="s">
        <v>1762</v>
      </c>
      <c r="AC119" s="162">
        <v>4</v>
      </c>
      <c r="AD119" s="108">
        <v>6</v>
      </c>
      <c r="AE119" s="156">
        <v>7</v>
      </c>
      <c r="AF119" s="156">
        <v>7</v>
      </c>
      <c r="AG119" s="377">
        <f t="shared" si="15"/>
        <v>24</v>
      </c>
      <c r="AH119" s="377" t="b">
        <f t="shared" si="12"/>
        <v>0</v>
      </c>
      <c r="AI119" s="310">
        <v>4</v>
      </c>
      <c r="AJ119" s="310">
        <v>4</v>
      </c>
      <c r="AK119" s="27">
        <v>4</v>
      </c>
      <c r="AL119" s="310">
        <v>4</v>
      </c>
      <c r="AM119" s="16">
        <f t="shared" si="13"/>
        <v>0.18181818181818182</v>
      </c>
      <c r="AN119" s="162">
        <v>4</v>
      </c>
      <c r="AO119" s="27">
        <v>4</v>
      </c>
      <c r="AP119" s="27">
        <v>4</v>
      </c>
      <c r="AQ119" s="27"/>
      <c r="AR119" s="311">
        <f>AL119</f>
        <v>4</v>
      </c>
      <c r="AS119" s="21">
        <f t="shared" si="11"/>
        <v>1</v>
      </c>
      <c r="AT119" s="1">
        <f t="shared" si="14"/>
        <v>4</v>
      </c>
      <c r="AU119" s="31"/>
      <c r="AV119" s="31"/>
      <c r="AW119" s="31"/>
      <c r="AX119" s="16">
        <f t="shared" si="17"/>
        <v>0.18181818181818182</v>
      </c>
      <c r="AY119" s="108">
        <v>6</v>
      </c>
      <c r="AZ119" s="371">
        <v>0</v>
      </c>
      <c r="BA119" s="456"/>
      <c r="BB119" s="31"/>
      <c r="BC119" s="31"/>
      <c r="BD119" s="16">
        <f t="shared" si="16"/>
        <v>0</v>
      </c>
      <c r="BE119" s="31"/>
      <c r="BF119" s="31"/>
      <c r="BG119" s="31"/>
      <c r="BH119" s="31"/>
      <c r="BI119" s="16"/>
      <c r="BJ119" s="16"/>
      <c r="BK119" s="31"/>
      <c r="BL119" s="31"/>
      <c r="BM119" s="31"/>
      <c r="BN119" s="31"/>
      <c r="BO119" s="16"/>
      <c r="BP119" s="31"/>
      <c r="BQ119" s="31"/>
      <c r="BR119" s="31"/>
      <c r="BS119" s="31"/>
      <c r="BT119" s="16"/>
      <c r="BU119" s="16"/>
      <c r="BV119" s="16"/>
      <c r="BW119" s="16"/>
      <c r="BX119" s="16"/>
      <c r="BY119" s="16"/>
      <c r="BZ119" s="16"/>
      <c r="CA119" s="76"/>
      <c r="CB119" s="76"/>
      <c r="CC119" s="76"/>
    </row>
    <row r="120" spans="1:81" s="52" customFormat="1" ht="94.5" x14ac:dyDescent="0.25">
      <c r="A120" s="1">
        <v>1</v>
      </c>
      <c r="B120" s="13" t="s">
        <v>1746</v>
      </c>
      <c r="C120" s="588"/>
      <c r="D120" s="589"/>
      <c r="E120" s="10" t="s">
        <v>293</v>
      </c>
      <c r="F120" s="13" t="s">
        <v>294</v>
      </c>
      <c r="G120" s="588"/>
      <c r="H120" s="589"/>
      <c r="I120" s="10" t="s">
        <v>497</v>
      </c>
      <c r="J120" s="13" t="s">
        <v>498</v>
      </c>
      <c r="K120" s="568"/>
      <c r="L120" s="570"/>
      <c r="M120" s="10" t="s">
        <v>499</v>
      </c>
      <c r="N120" s="23" t="s">
        <v>500</v>
      </c>
      <c r="O120" s="13" t="s">
        <v>500</v>
      </c>
      <c r="P120" s="10" t="s">
        <v>501</v>
      </c>
      <c r="Q120" s="10">
        <v>5</v>
      </c>
      <c r="R120" s="10" t="s">
        <v>508</v>
      </c>
      <c r="S120" s="13" t="s">
        <v>509</v>
      </c>
      <c r="T120" s="13" t="s">
        <v>509</v>
      </c>
      <c r="U120" s="1"/>
      <c r="V120" s="108">
        <v>45</v>
      </c>
      <c r="W120" s="10" t="s">
        <v>412</v>
      </c>
      <c r="X120" s="1"/>
      <c r="Y120" s="1" t="s">
        <v>302</v>
      </c>
      <c r="Z120" s="1" t="s">
        <v>303</v>
      </c>
      <c r="AA120" s="24"/>
      <c r="AB120" s="10" t="s">
        <v>1762</v>
      </c>
      <c r="AC120" s="162">
        <v>10</v>
      </c>
      <c r="AD120" s="156">
        <v>10</v>
      </c>
      <c r="AE120" s="156">
        <v>10</v>
      </c>
      <c r="AF120" s="156">
        <v>10</v>
      </c>
      <c r="AG120" s="377">
        <f t="shared" si="15"/>
        <v>40</v>
      </c>
      <c r="AH120" s="377" t="b">
        <f t="shared" si="12"/>
        <v>0</v>
      </c>
      <c r="AI120" s="1">
        <v>0</v>
      </c>
      <c r="AJ120" s="1">
        <v>10</v>
      </c>
      <c r="AK120" s="1">
        <v>10</v>
      </c>
      <c r="AL120" s="1">
        <v>10</v>
      </c>
      <c r="AM120" s="16">
        <f t="shared" si="13"/>
        <v>0.22222222222222221</v>
      </c>
      <c r="AN120" s="162">
        <v>10</v>
      </c>
      <c r="AO120" s="1">
        <v>0</v>
      </c>
      <c r="AP120" s="1">
        <v>10</v>
      </c>
      <c r="AQ120" s="1"/>
      <c r="AR120" s="311">
        <f t="shared" si="10"/>
        <v>10</v>
      </c>
      <c r="AS120" s="21">
        <f t="shared" si="11"/>
        <v>1</v>
      </c>
      <c r="AT120" s="1">
        <f t="shared" si="14"/>
        <v>20</v>
      </c>
      <c r="AU120" s="31"/>
      <c r="AV120" s="31"/>
      <c r="AW120" s="31"/>
      <c r="AX120" s="16">
        <f t="shared" si="17"/>
        <v>0.44444444444444442</v>
      </c>
      <c r="AY120" s="156">
        <v>10</v>
      </c>
      <c r="AZ120" s="371">
        <v>10</v>
      </c>
      <c r="BA120" s="456"/>
      <c r="BB120" s="31"/>
      <c r="BC120" s="31"/>
      <c r="BD120" s="16">
        <f t="shared" si="16"/>
        <v>1</v>
      </c>
      <c r="BE120" s="31"/>
      <c r="BF120" s="31"/>
      <c r="BG120" s="31"/>
      <c r="BH120" s="31"/>
      <c r="BI120" s="16"/>
      <c r="BJ120" s="16"/>
      <c r="BK120" s="31"/>
      <c r="BL120" s="31"/>
      <c r="BM120" s="31"/>
      <c r="BN120" s="31"/>
      <c r="BO120" s="16"/>
      <c r="BP120" s="31"/>
      <c r="BQ120" s="31"/>
      <c r="BR120" s="31"/>
      <c r="BS120" s="31"/>
      <c r="BT120" s="16"/>
      <c r="BU120" s="16"/>
      <c r="BV120" s="16"/>
      <c r="BW120" s="16"/>
      <c r="BX120" s="16"/>
      <c r="BY120" s="16"/>
      <c r="BZ120" s="16"/>
      <c r="CA120" s="1"/>
      <c r="CB120" s="1"/>
      <c r="CC120" s="1"/>
    </row>
    <row r="121" spans="1:81" s="52" customFormat="1" ht="82.5" customHeight="1" x14ac:dyDescent="0.25">
      <c r="A121" s="1">
        <v>1</v>
      </c>
      <c r="B121" s="13" t="s">
        <v>1746</v>
      </c>
      <c r="C121" s="588"/>
      <c r="D121" s="589"/>
      <c r="E121" s="10" t="s">
        <v>293</v>
      </c>
      <c r="F121" s="13" t="s">
        <v>294</v>
      </c>
      <c r="G121" s="588"/>
      <c r="H121" s="589"/>
      <c r="I121" s="10" t="s">
        <v>510</v>
      </c>
      <c r="J121" s="13" t="s">
        <v>511</v>
      </c>
      <c r="K121" s="567">
        <f>AVERAGE(AX121:AX142)</f>
        <v>0.22224888359369785</v>
      </c>
      <c r="L121" s="569">
        <f>AVERAGE(BD121:BD142)</f>
        <v>1.7045454545454544E-2</v>
      </c>
      <c r="M121" s="10" t="s">
        <v>512</v>
      </c>
      <c r="N121" s="23" t="s">
        <v>513</v>
      </c>
      <c r="O121" s="13" t="s">
        <v>513</v>
      </c>
      <c r="P121" s="10" t="s">
        <v>514</v>
      </c>
      <c r="Q121" s="10" t="s">
        <v>514</v>
      </c>
      <c r="R121" s="10" t="s">
        <v>515</v>
      </c>
      <c r="S121" s="13" t="s">
        <v>516</v>
      </c>
      <c r="T121" s="13" t="s">
        <v>516</v>
      </c>
      <c r="U121" s="1"/>
      <c r="V121" s="1">
        <v>16</v>
      </c>
      <c r="W121" s="10" t="s">
        <v>412</v>
      </c>
      <c r="X121" s="1"/>
      <c r="Y121" s="1" t="s">
        <v>302</v>
      </c>
      <c r="Z121" s="1" t="s">
        <v>303</v>
      </c>
      <c r="AA121" s="24"/>
      <c r="AB121" s="10" t="s">
        <v>1762</v>
      </c>
      <c r="AC121" s="162">
        <v>3</v>
      </c>
      <c r="AD121" s="156">
        <v>5</v>
      </c>
      <c r="AE121" s="156">
        <v>5</v>
      </c>
      <c r="AF121" s="156">
        <v>3</v>
      </c>
      <c r="AG121" s="377">
        <f t="shared" si="15"/>
        <v>16</v>
      </c>
      <c r="AH121" s="377" t="b">
        <f t="shared" si="12"/>
        <v>1</v>
      </c>
      <c r="AI121" s="1">
        <v>3</v>
      </c>
      <c r="AJ121" s="1">
        <v>3</v>
      </c>
      <c r="AK121" s="1">
        <v>3</v>
      </c>
      <c r="AL121" s="1">
        <v>3</v>
      </c>
      <c r="AM121" s="16">
        <f t="shared" si="13"/>
        <v>0.1875</v>
      </c>
      <c r="AN121" s="162">
        <v>3</v>
      </c>
      <c r="AO121" s="1">
        <v>3</v>
      </c>
      <c r="AP121" s="1">
        <v>3</v>
      </c>
      <c r="AQ121" s="1"/>
      <c r="AR121" s="311">
        <f t="shared" si="10"/>
        <v>3</v>
      </c>
      <c r="AS121" s="21">
        <f t="shared" si="11"/>
        <v>1</v>
      </c>
      <c r="AT121" s="1">
        <f t="shared" si="14"/>
        <v>3</v>
      </c>
      <c r="AU121" s="31"/>
      <c r="AV121" s="31"/>
      <c r="AW121" s="31"/>
      <c r="AX121" s="16">
        <f t="shared" si="17"/>
        <v>0.1875</v>
      </c>
      <c r="AY121" s="156">
        <v>5</v>
      </c>
      <c r="AZ121" s="371">
        <v>0</v>
      </c>
      <c r="BA121" s="456"/>
      <c r="BB121" s="31"/>
      <c r="BC121" s="31"/>
      <c r="BD121" s="16">
        <f t="shared" si="16"/>
        <v>0</v>
      </c>
      <c r="BE121" s="31"/>
      <c r="BF121" s="31"/>
      <c r="BG121" s="31"/>
      <c r="BH121" s="31"/>
      <c r="BI121" s="16"/>
      <c r="BJ121" s="16"/>
      <c r="BK121" s="31"/>
      <c r="BL121" s="31"/>
      <c r="BM121" s="31"/>
      <c r="BN121" s="31"/>
      <c r="BO121" s="16"/>
      <c r="BP121" s="31"/>
      <c r="BQ121" s="31"/>
      <c r="BR121" s="31"/>
      <c r="BS121" s="31"/>
      <c r="BT121" s="16"/>
      <c r="BU121" s="16"/>
      <c r="BV121" s="16"/>
      <c r="BW121" s="16"/>
      <c r="BX121" s="16"/>
      <c r="BY121" s="16"/>
      <c r="BZ121" s="16"/>
      <c r="CA121" s="1"/>
      <c r="CB121" s="1"/>
      <c r="CC121" s="1"/>
    </row>
    <row r="122" spans="1:81" s="52" customFormat="1" ht="126" x14ac:dyDescent="0.25">
      <c r="A122" s="1">
        <v>1</v>
      </c>
      <c r="B122" s="13" t="s">
        <v>1746</v>
      </c>
      <c r="C122" s="588"/>
      <c r="D122" s="589"/>
      <c r="E122" s="10" t="s">
        <v>293</v>
      </c>
      <c r="F122" s="13" t="s">
        <v>294</v>
      </c>
      <c r="G122" s="588"/>
      <c r="H122" s="589"/>
      <c r="I122" s="10" t="s">
        <v>510</v>
      </c>
      <c r="J122" s="13" t="s">
        <v>511</v>
      </c>
      <c r="K122" s="572"/>
      <c r="L122" s="573"/>
      <c r="M122" s="10" t="s">
        <v>512</v>
      </c>
      <c r="N122" s="23" t="s">
        <v>513</v>
      </c>
      <c r="O122" s="13" t="s">
        <v>513</v>
      </c>
      <c r="P122" s="10" t="s">
        <v>514</v>
      </c>
      <c r="Q122" s="10" t="s">
        <v>514</v>
      </c>
      <c r="R122" s="10" t="s">
        <v>517</v>
      </c>
      <c r="S122" s="13" t="s">
        <v>518</v>
      </c>
      <c r="T122" s="13" t="s">
        <v>518</v>
      </c>
      <c r="U122" s="1"/>
      <c r="V122" s="1">
        <v>8</v>
      </c>
      <c r="W122" s="10" t="s">
        <v>420</v>
      </c>
      <c r="X122" s="1"/>
      <c r="Y122" s="1" t="s">
        <v>302</v>
      </c>
      <c r="Z122" s="1" t="s">
        <v>303</v>
      </c>
      <c r="AA122" s="24"/>
      <c r="AB122" s="10" t="s">
        <v>1762</v>
      </c>
      <c r="AC122" s="162">
        <v>8</v>
      </c>
      <c r="AD122" s="156">
        <v>8</v>
      </c>
      <c r="AE122" s="156">
        <v>8</v>
      </c>
      <c r="AF122" s="156">
        <v>8</v>
      </c>
      <c r="AG122" s="377">
        <f t="shared" si="15"/>
        <v>32</v>
      </c>
      <c r="AH122" s="377" t="b">
        <f t="shared" si="12"/>
        <v>0</v>
      </c>
      <c r="AI122" s="1">
        <v>8</v>
      </c>
      <c r="AJ122" s="1">
        <v>8</v>
      </c>
      <c r="AK122" s="1">
        <v>8</v>
      </c>
      <c r="AL122" s="1">
        <v>8</v>
      </c>
      <c r="AM122" s="16">
        <f t="shared" si="13"/>
        <v>1</v>
      </c>
      <c r="AN122" s="162">
        <v>8</v>
      </c>
      <c r="AO122" s="1">
        <v>8</v>
      </c>
      <c r="AP122" s="1">
        <v>8</v>
      </c>
      <c r="AQ122" s="1"/>
      <c r="AR122" s="311">
        <f t="shared" si="10"/>
        <v>8</v>
      </c>
      <c r="AS122" s="21">
        <f t="shared" si="11"/>
        <v>1</v>
      </c>
      <c r="AT122" s="1">
        <f t="shared" si="14"/>
        <v>2.75</v>
      </c>
      <c r="AU122" s="31"/>
      <c r="AV122" s="31"/>
      <c r="AW122" s="31"/>
      <c r="AX122" s="16">
        <f t="shared" si="17"/>
        <v>0.34375</v>
      </c>
      <c r="AY122" s="156">
        <v>8</v>
      </c>
      <c r="AZ122" s="371">
        <v>3</v>
      </c>
      <c r="BA122" s="456"/>
      <c r="BB122" s="31"/>
      <c r="BC122" s="31"/>
      <c r="BD122" s="16">
        <f t="shared" si="16"/>
        <v>0.375</v>
      </c>
      <c r="BE122" s="31"/>
      <c r="BF122" s="31"/>
      <c r="BG122" s="31"/>
      <c r="BH122" s="31"/>
      <c r="BI122" s="16"/>
      <c r="BJ122" s="16"/>
      <c r="BK122" s="31"/>
      <c r="BL122" s="31"/>
      <c r="BM122" s="31"/>
      <c r="BN122" s="31"/>
      <c r="BO122" s="16"/>
      <c r="BP122" s="31"/>
      <c r="BQ122" s="31"/>
      <c r="BR122" s="31"/>
      <c r="BS122" s="31"/>
      <c r="BT122" s="16"/>
      <c r="BU122" s="16"/>
      <c r="BV122" s="16"/>
      <c r="BW122" s="16"/>
      <c r="BX122" s="16"/>
      <c r="BY122" s="16"/>
      <c r="BZ122" s="16"/>
      <c r="CA122" s="1"/>
      <c r="CB122" s="1"/>
      <c r="CC122" s="1"/>
    </row>
    <row r="123" spans="1:81" s="52" customFormat="1" ht="99" customHeight="1" x14ac:dyDescent="0.25">
      <c r="A123" s="1">
        <v>1</v>
      </c>
      <c r="B123" s="13" t="s">
        <v>1746</v>
      </c>
      <c r="C123" s="588"/>
      <c r="D123" s="589"/>
      <c r="E123" s="10" t="s">
        <v>293</v>
      </c>
      <c r="F123" s="13" t="s">
        <v>294</v>
      </c>
      <c r="G123" s="588"/>
      <c r="H123" s="589"/>
      <c r="I123" s="10" t="s">
        <v>510</v>
      </c>
      <c r="J123" s="13" t="s">
        <v>511</v>
      </c>
      <c r="K123" s="572"/>
      <c r="L123" s="573"/>
      <c r="M123" s="10" t="s">
        <v>519</v>
      </c>
      <c r="N123" s="23" t="s">
        <v>520</v>
      </c>
      <c r="O123" s="13" t="s">
        <v>520</v>
      </c>
      <c r="P123" s="10" t="s">
        <v>521</v>
      </c>
      <c r="Q123" s="10" t="s">
        <v>521</v>
      </c>
      <c r="R123" s="10" t="s">
        <v>522</v>
      </c>
      <c r="S123" s="13" t="s">
        <v>523</v>
      </c>
      <c r="T123" s="13" t="s">
        <v>523</v>
      </c>
      <c r="U123" s="1"/>
      <c r="V123" s="26">
        <v>1</v>
      </c>
      <c r="W123" s="10" t="s">
        <v>420</v>
      </c>
      <c r="X123" s="1"/>
      <c r="Y123" s="1" t="s">
        <v>302</v>
      </c>
      <c r="Z123" s="1" t="s">
        <v>303</v>
      </c>
      <c r="AA123" s="24"/>
      <c r="AB123" s="10" t="s">
        <v>1762</v>
      </c>
      <c r="AC123" s="162">
        <v>1</v>
      </c>
      <c r="AD123" s="156">
        <v>1</v>
      </c>
      <c r="AE123" s="156">
        <v>1</v>
      </c>
      <c r="AF123" s="156">
        <v>1</v>
      </c>
      <c r="AG123" s="377">
        <f t="shared" si="15"/>
        <v>4</v>
      </c>
      <c r="AH123" s="377" t="b">
        <f t="shared" si="12"/>
        <v>0</v>
      </c>
      <c r="AI123" s="335">
        <v>0.5</v>
      </c>
      <c r="AJ123" s="335">
        <v>0.75</v>
      </c>
      <c r="AK123" s="170">
        <v>1</v>
      </c>
      <c r="AL123" s="335">
        <v>1</v>
      </c>
      <c r="AM123" s="16">
        <f t="shared" si="13"/>
        <v>1</v>
      </c>
      <c r="AN123" s="162">
        <v>1</v>
      </c>
      <c r="AO123" s="26">
        <v>0.25</v>
      </c>
      <c r="AP123" s="26">
        <v>0.5</v>
      </c>
      <c r="AQ123" s="26"/>
      <c r="AR123" s="311">
        <f t="shared" si="10"/>
        <v>1</v>
      </c>
      <c r="AS123" s="21">
        <f t="shared" si="11"/>
        <v>1</v>
      </c>
      <c r="AT123" s="1">
        <f t="shared" si="14"/>
        <v>0.25</v>
      </c>
      <c r="AU123" s="31"/>
      <c r="AV123" s="31"/>
      <c r="AW123" s="31"/>
      <c r="AX123" s="16">
        <f t="shared" si="17"/>
        <v>0.25</v>
      </c>
      <c r="AY123" s="156">
        <v>1</v>
      </c>
      <c r="AZ123" s="371">
        <v>0</v>
      </c>
      <c r="BA123" s="456"/>
      <c r="BB123" s="31"/>
      <c r="BC123" s="31"/>
      <c r="BD123" s="16">
        <f t="shared" si="16"/>
        <v>0</v>
      </c>
      <c r="BE123" s="31"/>
      <c r="BF123" s="31"/>
      <c r="BG123" s="31"/>
      <c r="BH123" s="31"/>
      <c r="BI123" s="16"/>
      <c r="BJ123" s="16"/>
      <c r="BK123" s="31"/>
      <c r="BL123" s="31"/>
      <c r="BM123" s="31"/>
      <c r="BN123" s="31"/>
      <c r="BO123" s="16"/>
      <c r="BP123" s="31"/>
      <c r="BQ123" s="31"/>
      <c r="BR123" s="31"/>
      <c r="BS123" s="31"/>
      <c r="BT123" s="16"/>
      <c r="BU123" s="16"/>
      <c r="BV123" s="16"/>
      <c r="BW123" s="16"/>
      <c r="BX123" s="16"/>
      <c r="BY123" s="16"/>
      <c r="BZ123" s="16"/>
      <c r="CA123" s="26"/>
      <c r="CB123" s="26"/>
      <c r="CC123" s="1"/>
    </row>
    <row r="124" spans="1:81" s="52" customFormat="1" ht="78.75" x14ac:dyDescent="0.25">
      <c r="A124" s="1">
        <v>1</v>
      </c>
      <c r="B124" s="13" t="s">
        <v>1746</v>
      </c>
      <c r="C124" s="588"/>
      <c r="D124" s="589"/>
      <c r="E124" s="10" t="s">
        <v>293</v>
      </c>
      <c r="F124" s="13" t="s">
        <v>294</v>
      </c>
      <c r="G124" s="588"/>
      <c r="H124" s="589"/>
      <c r="I124" s="10" t="s">
        <v>510</v>
      </c>
      <c r="J124" s="13" t="s">
        <v>511</v>
      </c>
      <c r="K124" s="572"/>
      <c r="L124" s="573"/>
      <c r="M124" s="10" t="s">
        <v>519</v>
      </c>
      <c r="N124" s="23" t="s">
        <v>520</v>
      </c>
      <c r="O124" s="13" t="s">
        <v>520</v>
      </c>
      <c r="P124" s="10" t="s">
        <v>521</v>
      </c>
      <c r="Q124" s="10" t="s">
        <v>521</v>
      </c>
      <c r="R124" s="10" t="s">
        <v>524</v>
      </c>
      <c r="S124" s="13" t="s">
        <v>525</v>
      </c>
      <c r="T124" s="13" t="s">
        <v>1939</v>
      </c>
      <c r="U124" s="1"/>
      <c r="V124" s="1">
        <v>24</v>
      </c>
      <c r="W124" s="10" t="s">
        <v>412</v>
      </c>
      <c r="X124" s="1"/>
      <c r="Y124" s="1" t="s">
        <v>302</v>
      </c>
      <c r="Z124" s="1" t="s">
        <v>303</v>
      </c>
      <c r="AA124" s="24"/>
      <c r="AB124" s="10" t="s">
        <v>1762</v>
      </c>
      <c r="AC124" s="162">
        <v>5</v>
      </c>
      <c r="AD124" s="156">
        <v>7</v>
      </c>
      <c r="AE124" s="156">
        <v>7</v>
      </c>
      <c r="AF124" s="156">
        <v>5</v>
      </c>
      <c r="AG124" s="377">
        <f t="shared" si="15"/>
        <v>24</v>
      </c>
      <c r="AH124" s="377" t="b">
        <f t="shared" si="12"/>
        <v>1</v>
      </c>
      <c r="AI124" s="1">
        <v>3</v>
      </c>
      <c r="AJ124" s="1">
        <v>2</v>
      </c>
      <c r="AK124" s="1">
        <v>5</v>
      </c>
      <c r="AL124" s="1">
        <v>5</v>
      </c>
      <c r="AM124" s="16">
        <f t="shared" si="13"/>
        <v>0.20833333333333334</v>
      </c>
      <c r="AN124" s="162">
        <v>5</v>
      </c>
      <c r="AO124" s="1">
        <v>3</v>
      </c>
      <c r="AP124" s="1">
        <v>2</v>
      </c>
      <c r="AQ124" s="1"/>
      <c r="AR124" s="311">
        <f t="shared" si="10"/>
        <v>5</v>
      </c>
      <c r="AS124" s="21">
        <f t="shared" si="11"/>
        <v>1</v>
      </c>
      <c r="AT124" s="1">
        <f t="shared" si="14"/>
        <v>5</v>
      </c>
      <c r="AU124" s="31"/>
      <c r="AV124" s="31"/>
      <c r="AW124" s="31"/>
      <c r="AX124" s="16">
        <f t="shared" si="17"/>
        <v>0.20833333333333334</v>
      </c>
      <c r="AY124" s="156">
        <v>7</v>
      </c>
      <c r="AZ124" s="371">
        <v>0</v>
      </c>
      <c r="BA124" s="456"/>
      <c r="BB124" s="31"/>
      <c r="BC124" s="31"/>
      <c r="BD124" s="16">
        <f t="shared" si="16"/>
        <v>0</v>
      </c>
      <c r="BE124" s="31"/>
      <c r="BF124" s="31"/>
      <c r="BG124" s="31"/>
      <c r="BH124" s="31"/>
      <c r="BI124" s="16"/>
      <c r="BJ124" s="16"/>
      <c r="BK124" s="31"/>
      <c r="BL124" s="31"/>
      <c r="BM124" s="31"/>
      <c r="BN124" s="31"/>
      <c r="BO124" s="16"/>
      <c r="BP124" s="31"/>
      <c r="BQ124" s="31"/>
      <c r="BR124" s="31"/>
      <c r="BS124" s="31"/>
      <c r="BT124" s="16"/>
      <c r="BU124" s="16"/>
      <c r="BV124" s="16"/>
      <c r="BW124" s="16"/>
      <c r="BX124" s="16"/>
      <c r="BY124" s="16"/>
      <c r="BZ124" s="16"/>
      <c r="CA124" s="1"/>
      <c r="CB124" s="1"/>
      <c r="CC124" s="1"/>
    </row>
    <row r="125" spans="1:81" s="52" customFormat="1" ht="78.75" x14ac:dyDescent="0.25">
      <c r="A125" s="1">
        <v>1</v>
      </c>
      <c r="B125" s="13" t="s">
        <v>1746</v>
      </c>
      <c r="C125" s="588"/>
      <c r="D125" s="589"/>
      <c r="E125" s="10" t="s">
        <v>293</v>
      </c>
      <c r="F125" s="13" t="s">
        <v>294</v>
      </c>
      <c r="G125" s="588"/>
      <c r="H125" s="589"/>
      <c r="I125" s="10" t="s">
        <v>510</v>
      </c>
      <c r="J125" s="13" t="s">
        <v>511</v>
      </c>
      <c r="K125" s="572"/>
      <c r="L125" s="573"/>
      <c r="M125" s="10" t="s">
        <v>519</v>
      </c>
      <c r="N125" s="23" t="s">
        <v>520</v>
      </c>
      <c r="O125" s="13" t="s">
        <v>520</v>
      </c>
      <c r="P125" s="10" t="s">
        <v>521</v>
      </c>
      <c r="Q125" s="10" t="s">
        <v>521</v>
      </c>
      <c r="R125" s="10" t="s">
        <v>526</v>
      </c>
      <c r="S125" s="13" t="s">
        <v>527</v>
      </c>
      <c r="T125" s="13" t="s">
        <v>527</v>
      </c>
      <c r="U125" s="1"/>
      <c r="V125" s="1">
        <v>24</v>
      </c>
      <c r="W125" s="10" t="s">
        <v>412</v>
      </c>
      <c r="X125" s="1"/>
      <c r="Y125" s="1" t="s">
        <v>302</v>
      </c>
      <c r="Z125" s="1" t="s">
        <v>303</v>
      </c>
      <c r="AA125" s="24"/>
      <c r="AB125" s="10" t="s">
        <v>1762</v>
      </c>
      <c r="AC125" s="162">
        <v>5</v>
      </c>
      <c r="AD125" s="156">
        <v>7</v>
      </c>
      <c r="AE125" s="156">
        <v>7</v>
      </c>
      <c r="AF125" s="156">
        <v>5</v>
      </c>
      <c r="AG125" s="377">
        <f t="shared" si="15"/>
        <v>24</v>
      </c>
      <c r="AH125" s="377" t="b">
        <f t="shared" si="12"/>
        <v>1</v>
      </c>
      <c r="AI125" s="1">
        <v>3</v>
      </c>
      <c r="AJ125" s="1">
        <v>2</v>
      </c>
      <c r="AK125" s="1">
        <v>5</v>
      </c>
      <c r="AL125" s="1">
        <v>5</v>
      </c>
      <c r="AM125" s="16">
        <f t="shared" si="13"/>
        <v>0.20833333333333334</v>
      </c>
      <c r="AN125" s="162">
        <v>5</v>
      </c>
      <c r="AO125" s="1">
        <v>3</v>
      </c>
      <c r="AP125" s="1">
        <v>2</v>
      </c>
      <c r="AQ125" s="1"/>
      <c r="AR125" s="311">
        <f t="shared" si="10"/>
        <v>5</v>
      </c>
      <c r="AS125" s="21">
        <f t="shared" si="11"/>
        <v>1</v>
      </c>
      <c r="AT125" s="1">
        <f t="shared" si="14"/>
        <v>5</v>
      </c>
      <c r="AU125" s="31"/>
      <c r="AV125" s="31"/>
      <c r="AW125" s="31"/>
      <c r="AX125" s="16">
        <f t="shared" si="17"/>
        <v>0.20833333333333334</v>
      </c>
      <c r="AY125" s="156">
        <v>7</v>
      </c>
      <c r="AZ125" s="371">
        <v>0</v>
      </c>
      <c r="BA125" s="456"/>
      <c r="BB125" s="31"/>
      <c r="BC125" s="31"/>
      <c r="BD125" s="16">
        <f t="shared" si="16"/>
        <v>0</v>
      </c>
      <c r="BE125" s="31"/>
      <c r="BF125" s="31"/>
      <c r="BG125" s="31"/>
      <c r="BH125" s="31"/>
      <c r="BI125" s="16"/>
      <c r="BJ125" s="16"/>
      <c r="BK125" s="31"/>
      <c r="BL125" s="31"/>
      <c r="BM125" s="31"/>
      <c r="BN125" s="31"/>
      <c r="BO125" s="16"/>
      <c r="BP125" s="31"/>
      <c r="BQ125" s="31"/>
      <c r="BR125" s="31"/>
      <c r="BS125" s="31"/>
      <c r="BT125" s="16"/>
      <c r="BU125" s="16"/>
      <c r="BV125" s="16"/>
      <c r="BW125" s="16"/>
      <c r="BX125" s="16"/>
      <c r="BY125" s="16"/>
      <c r="BZ125" s="16"/>
      <c r="CA125" s="1"/>
      <c r="CB125" s="1"/>
      <c r="CC125" s="1"/>
    </row>
    <row r="126" spans="1:81" s="52" customFormat="1" ht="87" customHeight="1" x14ac:dyDescent="0.25">
      <c r="A126" s="1">
        <v>1</v>
      </c>
      <c r="B126" s="13" t="s">
        <v>1746</v>
      </c>
      <c r="C126" s="588"/>
      <c r="D126" s="589"/>
      <c r="E126" s="10" t="s">
        <v>293</v>
      </c>
      <c r="F126" s="13" t="s">
        <v>294</v>
      </c>
      <c r="G126" s="588"/>
      <c r="H126" s="589"/>
      <c r="I126" s="10" t="s">
        <v>510</v>
      </c>
      <c r="J126" s="13" t="s">
        <v>511</v>
      </c>
      <c r="K126" s="572"/>
      <c r="L126" s="573"/>
      <c r="M126" s="10" t="s">
        <v>528</v>
      </c>
      <c r="N126" s="13" t="s">
        <v>529</v>
      </c>
      <c r="O126" s="13" t="s">
        <v>529</v>
      </c>
      <c r="P126" s="10">
        <v>60</v>
      </c>
      <c r="Q126" s="10">
        <v>60</v>
      </c>
      <c r="R126" s="10" t="s">
        <v>530</v>
      </c>
      <c r="S126" s="13" t="s">
        <v>531</v>
      </c>
      <c r="T126" s="13" t="s">
        <v>531</v>
      </c>
      <c r="U126" s="1"/>
      <c r="V126" s="1">
        <v>25</v>
      </c>
      <c r="W126" s="10" t="s">
        <v>412</v>
      </c>
      <c r="X126" s="1"/>
      <c r="Y126" s="1" t="s">
        <v>302</v>
      </c>
      <c r="Z126" s="1" t="s">
        <v>303</v>
      </c>
      <c r="AA126" s="24"/>
      <c r="AB126" s="10" t="s">
        <v>1762</v>
      </c>
      <c r="AC126" s="162">
        <v>7</v>
      </c>
      <c r="AD126" s="156">
        <v>6</v>
      </c>
      <c r="AE126" s="156">
        <v>7</v>
      </c>
      <c r="AF126" s="156">
        <v>5</v>
      </c>
      <c r="AG126" s="377">
        <f t="shared" si="15"/>
        <v>25</v>
      </c>
      <c r="AH126" s="377" t="b">
        <f t="shared" si="12"/>
        <v>1</v>
      </c>
      <c r="AI126" s="1">
        <v>0</v>
      </c>
      <c r="AJ126" s="1">
        <v>0</v>
      </c>
      <c r="AK126" s="1">
        <v>7</v>
      </c>
      <c r="AL126" s="1">
        <v>7</v>
      </c>
      <c r="AM126" s="16">
        <f t="shared" si="13"/>
        <v>0.28000000000000003</v>
      </c>
      <c r="AN126" s="162">
        <v>7</v>
      </c>
      <c r="AO126" s="1">
        <v>0</v>
      </c>
      <c r="AP126" s="1">
        <v>0</v>
      </c>
      <c r="AQ126" s="1"/>
      <c r="AR126" s="311">
        <f t="shared" si="10"/>
        <v>7</v>
      </c>
      <c r="AS126" s="21">
        <f t="shared" si="11"/>
        <v>1</v>
      </c>
      <c r="AT126" s="1">
        <f t="shared" si="14"/>
        <v>7</v>
      </c>
      <c r="AU126" s="31"/>
      <c r="AV126" s="31"/>
      <c r="AW126" s="31"/>
      <c r="AX126" s="16">
        <f t="shared" si="17"/>
        <v>0.28000000000000003</v>
      </c>
      <c r="AY126" s="156">
        <v>6</v>
      </c>
      <c r="AZ126" s="371">
        <v>0</v>
      </c>
      <c r="BA126" s="456"/>
      <c r="BB126" s="31"/>
      <c r="BC126" s="31"/>
      <c r="BD126" s="16">
        <f t="shared" si="16"/>
        <v>0</v>
      </c>
      <c r="BE126" s="31"/>
      <c r="BF126" s="31"/>
      <c r="BG126" s="31"/>
      <c r="BH126" s="31"/>
      <c r="BI126" s="16"/>
      <c r="BJ126" s="16"/>
      <c r="BK126" s="31"/>
      <c r="BL126" s="31"/>
      <c r="BM126" s="31"/>
      <c r="BN126" s="31"/>
      <c r="BO126" s="16"/>
      <c r="BP126" s="31"/>
      <c r="BQ126" s="31"/>
      <c r="BR126" s="31"/>
      <c r="BS126" s="31"/>
      <c r="BT126" s="16"/>
      <c r="BU126" s="16"/>
      <c r="BV126" s="16"/>
      <c r="BW126" s="16"/>
      <c r="BX126" s="16"/>
      <c r="BY126" s="16"/>
      <c r="BZ126" s="16"/>
      <c r="CA126" s="1"/>
      <c r="CB126" s="1"/>
      <c r="CC126" s="1"/>
    </row>
    <row r="127" spans="1:81" s="52" customFormat="1" ht="94.5" x14ac:dyDescent="0.25">
      <c r="A127" s="1">
        <v>1</v>
      </c>
      <c r="B127" s="13" t="s">
        <v>1746</v>
      </c>
      <c r="C127" s="588"/>
      <c r="D127" s="589"/>
      <c r="E127" s="10" t="s">
        <v>293</v>
      </c>
      <c r="F127" s="13" t="s">
        <v>294</v>
      </c>
      <c r="G127" s="588"/>
      <c r="H127" s="589"/>
      <c r="I127" s="10" t="s">
        <v>510</v>
      </c>
      <c r="J127" s="13" t="s">
        <v>511</v>
      </c>
      <c r="K127" s="572"/>
      <c r="L127" s="573"/>
      <c r="M127" s="10" t="s">
        <v>528</v>
      </c>
      <c r="N127" s="13" t="s">
        <v>529</v>
      </c>
      <c r="O127" s="13" t="s">
        <v>529</v>
      </c>
      <c r="P127" s="10">
        <v>60</v>
      </c>
      <c r="Q127" s="10">
        <v>60</v>
      </c>
      <c r="R127" s="10" t="s">
        <v>532</v>
      </c>
      <c r="S127" s="13" t="s">
        <v>533</v>
      </c>
      <c r="T127" s="13" t="s">
        <v>533</v>
      </c>
      <c r="U127" s="1"/>
      <c r="V127" s="27">
        <v>37</v>
      </c>
      <c r="W127" s="10" t="s">
        <v>412</v>
      </c>
      <c r="X127" s="1"/>
      <c r="Y127" s="1" t="s">
        <v>302</v>
      </c>
      <c r="Z127" s="1" t="s">
        <v>303</v>
      </c>
      <c r="AA127" s="24"/>
      <c r="AB127" s="10" t="s">
        <v>1762</v>
      </c>
      <c r="AC127" s="162">
        <v>10</v>
      </c>
      <c r="AD127" s="156">
        <v>9</v>
      </c>
      <c r="AE127" s="156">
        <v>9</v>
      </c>
      <c r="AF127" s="156">
        <v>9</v>
      </c>
      <c r="AG127" s="377">
        <f t="shared" si="15"/>
        <v>37</v>
      </c>
      <c r="AH127" s="377" t="b">
        <f t="shared" si="12"/>
        <v>1</v>
      </c>
      <c r="AI127" s="30">
        <v>0</v>
      </c>
      <c r="AJ127" s="30">
        <v>0</v>
      </c>
      <c r="AK127" s="30">
        <v>10</v>
      </c>
      <c r="AL127" s="30">
        <v>10</v>
      </c>
      <c r="AM127" s="16">
        <f t="shared" si="13"/>
        <v>0.27027027027027029</v>
      </c>
      <c r="AN127" s="162">
        <v>10</v>
      </c>
      <c r="AO127" s="30">
        <v>0</v>
      </c>
      <c r="AP127" s="30">
        <v>0</v>
      </c>
      <c r="AQ127" s="30"/>
      <c r="AR127" s="311">
        <f t="shared" si="10"/>
        <v>10</v>
      </c>
      <c r="AS127" s="21">
        <f t="shared" si="11"/>
        <v>1</v>
      </c>
      <c r="AT127" s="1">
        <f t="shared" si="14"/>
        <v>10</v>
      </c>
      <c r="AU127" s="31"/>
      <c r="AV127" s="31"/>
      <c r="AW127" s="31"/>
      <c r="AX127" s="16">
        <f t="shared" si="17"/>
        <v>0.27027027027027029</v>
      </c>
      <c r="AY127" s="156">
        <v>9</v>
      </c>
      <c r="AZ127" s="371">
        <v>0</v>
      </c>
      <c r="BA127" s="456"/>
      <c r="BB127" s="31"/>
      <c r="BC127" s="31"/>
      <c r="BD127" s="16">
        <f t="shared" si="16"/>
        <v>0</v>
      </c>
      <c r="BE127" s="31"/>
      <c r="BF127" s="31"/>
      <c r="BG127" s="31"/>
      <c r="BH127" s="31"/>
      <c r="BI127" s="16"/>
      <c r="BJ127" s="16"/>
      <c r="BK127" s="31"/>
      <c r="BL127" s="31"/>
      <c r="BM127" s="31"/>
      <c r="BN127" s="31"/>
      <c r="BO127" s="16"/>
      <c r="BP127" s="31"/>
      <c r="BQ127" s="31"/>
      <c r="BR127" s="31"/>
      <c r="BS127" s="31"/>
      <c r="BT127" s="16"/>
      <c r="BU127" s="16"/>
      <c r="BV127" s="16"/>
      <c r="BW127" s="16"/>
      <c r="BX127" s="16"/>
      <c r="BY127" s="16"/>
      <c r="BZ127" s="16"/>
      <c r="CA127" s="27"/>
      <c r="CB127" s="27"/>
      <c r="CC127" s="1"/>
    </row>
    <row r="128" spans="1:81" s="52" customFormat="1" ht="108.6" customHeight="1" x14ac:dyDescent="0.25">
      <c r="A128" s="1">
        <v>1</v>
      </c>
      <c r="B128" s="13" t="s">
        <v>1746</v>
      </c>
      <c r="C128" s="588"/>
      <c r="D128" s="589"/>
      <c r="E128" s="10" t="s">
        <v>293</v>
      </c>
      <c r="F128" s="13" t="s">
        <v>294</v>
      </c>
      <c r="G128" s="588"/>
      <c r="H128" s="589"/>
      <c r="I128" s="10" t="s">
        <v>510</v>
      </c>
      <c r="J128" s="13" t="s">
        <v>511</v>
      </c>
      <c r="K128" s="572"/>
      <c r="L128" s="573"/>
      <c r="M128" s="10" t="s">
        <v>528</v>
      </c>
      <c r="N128" s="13" t="s">
        <v>529</v>
      </c>
      <c r="O128" s="13" t="s">
        <v>529</v>
      </c>
      <c r="P128" s="10">
        <v>60</v>
      </c>
      <c r="Q128" s="10">
        <v>60</v>
      </c>
      <c r="R128" s="10" t="s">
        <v>534</v>
      </c>
      <c r="S128" s="13" t="s">
        <v>535</v>
      </c>
      <c r="T128" s="13" t="s">
        <v>535</v>
      </c>
      <c r="U128" s="1"/>
      <c r="V128" s="27">
        <v>37</v>
      </c>
      <c r="W128" s="10" t="s">
        <v>412</v>
      </c>
      <c r="X128" s="1"/>
      <c r="Y128" s="1"/>
      <c r="Z128" s="1"/>
      <c r="AA128" s="24"/>
      <c r="AB128" s="10" t="s">
        <v>1762</v>
      </c>
      <c r="AC128" s="162">
        <v>10</v>
      </c>
      <c r="AD128" s="156">
        <v>9</v>
      </c>
      <c r="AE128" s="156">
        <v>9</v>
      </c>
      <c r="AF128" s="156">
        <v>9</v>
      </c>
      <c r="AG128" s="377">
        <f t="shared" si="15"/>
        <v>37</v>
      </c>
      <c r="AH128" s="377" t="b">
        <f t="shared" si="12"/>
        <v>1</v>
      </c>
      <c r="AI128" s="30">
        <v>4</v>
      </c>
      <c r="AJ128" s="30">
        <v>4</v>
      </c>
      <c r="AK128" s="30">
        <v>10</v>
      </c>
      <c r="AL128" s="30">
        <v>10</v>
      </c>
      <c r="AM128" s="16">
        <f t="shared" si="13"/>
        <v>0.27027027027027029</v>
      </c>
      <c r="AN128" s="162">
        <v>10</v>
      </c>
      <c r="AO128" s="30">
        <v>4</v>
      </c>
      <c r="AP128" s="30">
        <v>4</v>
      </c>
      <c r="AQ128" s="30"/>
      <c r="AR128" s="311">
        <f t="shared" si="10"/>
        <v>10</v>
      </c>
      <c r="AS128" s="21">
        <f t="shared" si="11"/>
        <v>1</v>
      </c>
      <c r="AT128" s="1">
        <f t="shared" si="14"/>
        <v>10</v>
      </c>
      <c r="AU128" s="31"/>
      <c r="AV128" s="31"/>
      <c r="AW128" s="31"/>
      <c r="AX128" s="16">
        <f t="shared" si="17"/>
        <v>0.27027027027027029</v>
      </c>
      <c r="AY128" s="156">
        <v>9</v>
      </c>
      <c r="AZ128" s="371">
        <v>0</v>
      </c>
      <c r="BA128" s="456"/>
      <c r="BB128" s="31"/>
      <c r="BC128" s="31"/>
      <c r="BD128" s="16">
        <f t="shared" si="16"/>
        <v>0</v>
      </c>
      <c r="BE128" s="31"/>
      <c r="BF128" s="31"/>
      <c r="BG128" s="31"/>
      <c r="BH128" s="31"/>
      <c r="BI128" s="16"/>
      <c r="BJ128" s="16"/>
      <c r="BK128" s="31"/>
      <c r="BL128" s="31"/>
      <c r="BM128" s="31"/>
      <c r="BN128" s="31"/>
      <c r="BO128" s="16"/>
      <c r="BP128" s="31"/>
      <c r="BQ128" s="31"/>
      <c r="BR128" s="31"/>
      <c r="BS128" s="31"/>
      <c r="BT128" s="16"/>
      <c r="BU128" s="16"/>
      <c r="BV128" s="16"/>
      <c r="BW128" s="16"/>
      <c r="BX128" s="16"/>
      <c r="BY128" s="16"/>
      <c r="BZ128" s="16"/>
      <c r="CA128" s="27"/>
      <c r="CB128" s="27"/>
      <c r="CC128" s="1"/>
    </row>
    <row r="129" spans="1:81" s="52" customFormat="1" ht="94.9" customHeight="1" x14ac:dyDescent="0.25">
      <c r="A129" s="1">
        <v>1</v>
      </c>
      <c r="B129" s="13" t="s">
        <v>1746</v>
      </c>
      <c r="C129" s="588"/>
      <c r="D129" s="589"/>
      <c r="E129" s="10" t="s">
        <v>293</v>
      </c>
      <c r="F129" s="13" t="s">
        <v>294</v>
      </c>
      <c r="G129" s="588"/>
      <c r="H129" s="589"/>
      <c r="I129" s="10" t="s">
        <v>510</v>
      </c>
      <c r="J129" s="13" t="s">
        <v>511</v>
      </c>
      <c r="K129" s="572"/>
      <c r="L129" s="573"/>
      <c r="M129" s="10" t="s">
        <v>528</v>
      </c>
      <c r="N129" s="13" t="s">
        <v>529</v>
      </c>
      <c r="O129" s="13" t="s">
        <v>529</v>
      </c>
      <c r="P129" s="10">
        <v>60</v>
      </c>
      <c r="Q129" s="10">
        <v>60</v>
      </c>
      <c r="R129" s="10" t="s">
        <v>536</v>
      </c>
      <c r="S129" s="13" t="s">
        <v>537</v>
      </c>
      <c r="T129" s="13" t="s">
        <v>537</v>
      </c>
      <c r="U129" s="1"/>
      <c r="V129" s="27">
        <v>15</v>
      </c>
      <c r="W129" s="10" t="s">
        <v>412</v>
      </c>
      <c r="X129" s="1"/>
      <c r="Y129" s="1"/>
      <c r="Z129" s="1"/>
      <c r="AA129" s="24"/>
      <c r="AB129" s="10" t="s">
        <v>1762</v>
      </c>
      <c r="AC129" s="162">
        <v>4</v>
      </c>
      <c r="AD129" s="108">
        <v>4</v>
      </c>
      <c r="AE129" s="156">
        <v>4</v>
      </c>
      <c r="AF129" s="156">
        <v>3</v>
      </c>
      <c r="AG129" s="377">
        <f t="shared" si="15"/>
        <v>15</v>
      </c>
      <c r="AH129" s="377" t="b">
        <f t="shared" si="12"/>
        <v>1</v>
      </c>
      <c r="AI129" s="30">
        <v>0</v>
      </c>
      <c r="AJ129" s="30">
        <v>0</v>
      </c>
      <c r="AK129" s="30">
        <v>4</v>
      </c>
      <c r="AL129" s="30">
        <v>4</v>
      </c>
      <c r="AM129" s="16">
        <f t="shared" si="13"/>
        <v>0.26666666666666666</v>
      </c>
      <c r="AN129" s="162">
        <v>4</v>
      </c>
      <c r="AO129" s="30">
        <v>0</v>
      </c>
      <c r="AP129" s="30">
        <v>0</v>
      </c>
      <c r="AQ129" s="30"/>
      <c r="AR129" s="311">
        <f t="shared" si="10"/>
        <v>4</v>
      </c>
      <c r="AS129" s="21">
        <f t="shared" si="11"/>
        <v>1</v>
      </c>
      <c r="AT129" s="1">
        <f t="shared" si="14"/>
        <v>4</v>
      </c>
      <c r="AU129" s="31"/>
      <c r="AV129" s="31"/>
      <c r="AW129" s="31"/>
      <c r="AX129" s="16">
        <f t="shared" si="17"/>
        <v>0.26666666666666666</v>
      </c>
      <c r="AY129" s="108">
        <v>4</v>
      </c>
      <c r="AZ129" s="371">
        <v>0</v>
      </c>
      <c r="BA129" s="456"/>
      <c r="BB129" s="31"/>
      <c r="BC129" s="31"/>
      <c r="BD129" s="16">
        <f t="shared" si="16"/>
        <v>0</v>
      </c>
      <c r="BE129" s="31"/>
      <c r="BF129" s="31"/>
      <c r="BG129" s="31"/>
      <c r="BH129" s="31"/>
      <c r="BI129" s="16"/>
      <c r="BJ129" s="16"/>
      <c r="BK129" s="31"/>
      <c r="BL129" s="31"/>
      <c r="BM129" s="31"/>
      <c r="BN129" s="31"/>
      <c r="BO129" s="16"/>
      <c r="BP129" s="31"/>
      <c r="BQ129" s="31"/>
      <c r="BR129" s="31"/>
      <c r="BS129" s="31"/>
      <c r="BT129" s="16"/>
      <c r="BU129" s="16"/>
      <c r="BV129" s="16"/>
      <c r="BW129" s="16"/>
      <c r="BX129" s="16"/>
      <c r="BY129" s="16"/>
      <c r="BZ129" s="16"/>
      <c r="CA129" s="27"/>
      <c r="CB129" s="27"/>
      <c r="CC129" s="1"/>
    </row>
    <row r="130" spans="1:81" s="52" customFormat="1" ht="136.15" customHeight="1" x14ac:dyDescent="0.25">
      <c r="A130" s="1">
        <v>1</v>
      </c>
      <c r="B130" s="13" t="s">
        <v>1746</v>
      </c>
      <c r="C130" s="588"/>
      <c r="D130" s="589"/>
      <c r="E130" s="10" t="s">
        <v>293</v>
      </c>
      <c r="F130" s="13" t="s">
        <v>294</v>
      </c>
      <c r="G130" s="588"/>
      <c r="H130" s="589"/>
      <c r="I130" s="10" t="s">
        <v>510</v>
      </c>
      <c r="J130" s="13" t="s">
        <v>511</v>
      </c>
      <c r="K130" s="572"/>
      <c r="L130" s="573"/>
      <c r="M130" s="10" t="s">
        <v>528</v>
      </c>
      <c r="N130" s="13" t="s">
        <v>529</v>
      </c>
      <c r="O130" s="13" t="s">
        <v>529</v>
      </c>
      <c r="P130" s="10">
        <v>60</v>
      </c>
      <c r="Q130" s="10">
        <v>60</v>
      </c>
      <c r="R130" s="10" t="s">
        <v>538</v>
      </c>
      <c r="S130" s="13" t="s">
        <v>539</v>
      </c>
      <c r="T130" s="13" t="s">
        <v>539</v>
      </c>
      <c r="U130" s="1"/>
      <c r="V130" s="1">
        <v>5</v>
      </c>
      <c r="W130" s="10" t="s">
        <v>412</v>
      </c>
      <c r="X130" s="1"/>
      <c r="Y130" s="1" t="s">
        <v>302</v>
      </c>
      <c r="Z130" s="1" t="s">
        <v>303</v>
      </c>
      <c r="AA130" s="24"/>
      <c r="AB130" s="10" t="s">
        <v>1762</v>
      </c>
      <c r="AC130" s="162">
        <v>1</v>
      </c>
      <c r="AD130" s="156">
        <v>2</v>
      </c>
      <c r="AE130" s="156">
        <v>1</v>
      </c>
      <c r="AF130" s="156">
        <v>1</v>
      </c>
      <c r="AG130" s="377">
        <f t="shared" si="15"/>
        <v>5</v>
      </c>
      <c r="AH130" s="377" t="b">
        <f t="shared" si="12"/>
        <v>1</v>
      </c>
      <c r="AI130" s="27">
        <v>0</v>
      </c>
      <c r="AJ130" s="27">
        <v>0</v>
      </c>
      <c r="AK130" s="27">
        <v>1</v>
      </c>
      <c r="AL130" s="27">
        <v>1</v>
      </c>
      <c r="AM130" s="16">
        <f t="shared" si="13"/>
        <v>0.2</v>
      </c>
      <c r="AN130" s="162">
        <v>1</v>
      </c>
      <c r="AO130" s="27">
        <v>0</v>
      </c>
      <c r="AP130" s="27">
        <v>0</v>
      </c>
      <c r="AQ130" s="27"/>
      <c r="AR130" s="311">
        <f t="shared" si="10"/>
        <v>1</v>
      </c>
      <c r="AS130" s="21">
        <f t="shared" si="11"/>
        <v>1</v>
      </c>
      <c r="AT130" s="1">
        <f t="shared" si="14"/>
        <v>1</v>
      </c>
      <c r="AU130" s="31"/>
      <c r="AV130" s="31"/>
      <c r="AW130" s="31"/>
      <c r="AX130" s="16">
        <f t="shared" si="17"/>
        <v>0.2</v>
      </c>
      <c r="AY130" s="156">
        <v>2</v>
      </c>
      <c r="AZ130" s="371">
        <v>0</v>
      </c>
      <c r="BA130" s="456"/>
      <c r="BB130" s="31"/>
      <c r="BC130" s="31"/>
      <c r="BD130" s="16">
        <f t="shared" si="16"/>
        <v>0</v>
      </c>
      <c r="BE130" s="31"/>
      <c r="BF130" s="31"/>
      <c r="BG130" s="31"/>
      <c r="BH130" s="31"/>
      <c r="BI130" s="16"/>
      <c r="BJ130" s="16"/>
      <c r="BK130" s="31"/>
      <c r="BL130" s="31"/>
      <c r="BM130" s="31"/>
      <c r="BN130" s="31"/>
      <c r="BO130" s="16"/>
      <c r="BP130" s="31"/>
      <c r="BQ130" s="31"/>
      <c r="BR130" s="31"/>
      <c r="BS130" s="31"/>
      <c r="BT130" s="16"/>
      <c r="BU130" s="16"/>
      <c r="BV130" s="16"/>
      <c r="BW130" s="16"/>
      <c r="BX130" s="16"/>
      <c r="BY130" s="16"/>
      <c r="BZ130" s="16"/>
      <c r="CA130" s="1"/>
      <c r="CB130" s="1"/>
      <c r="CC130" s="1"/>
    </row>
    <row r="131" spans="1:81" s="52" customFormat="1" ht="66.75" customHeight="1" x14ac:dyDescent="0.25">
      <c r="A131" s="1">
        <v>1</v>
      </c>
      <c r="B131" s="13" t="s">
        <v>1746</v>
      </c>
      <c r="C131" s="588"/>
      <c r="D131" s="589"/>
      <c r="E131" s="10" t="s">
        <v>293</v>
      </c>
      <c r="F131" s="13" t="s">
        <v>294</v>
      </c>
      <c r="G131" s="588"/>
      <c r="H131" s="589"/>
      <c r="I131" s="10" t="s">
        <v>510</v>
      </c>
      <c r="J131" s="13" t="s">
        <v>511</v>
      </c>
      <c r="K131" s="572"/>
      <c r="L131" s="573"/>
      <c r="M131" s="10" t="s">
        <v>540</v>
      </c>
      <c r="N131" s="13" t="s">
        <v>541</v>
      </c>
      <c r="O131" s="13" t="s">
        <v>541</v>
      </c>
      <c r="P131" s="10">
        <v>40</v>
      </c>
      <c r="Q131" s="10">
        <v>40</v>
      </c>
      <c r="R131" s="10" t="s">
        <v>542</v>
      </c>
      <c r="S131" s="13" t="s">
        <v>543</v>
      </c>
      <c r="T131" s="13" t="s">
        <v>543</v>
      </c>
      <c r="U131" s="1"/>
      <c r="V131" s="26">
        <v>1</v>
      </c>
      <c r="W131" s="10" t="s">
        <v>420</v>
      </c>
      <c r="X131" s="1"/>
      <c r="Y131" s="1" t="s">
        <v>302</v>
      </c>
      <c r="Z131" s="1" t="s">
        <v>303</v>
      </c>
      <c r="AA131" s="24"/>
      <c r="AB131" s="10" t="s">
        <v>1762</v>
      </c>
      <c r="AC131" s="162">
        <v>1</v>
      </c>
      <c r="AD131" s="156">
        <v>1</v>
      </c>
      <c r="AE131" s="156">
        <v>1</v>
      </c>
      <c r="AF131" s="156">
        <v>1</v>
      </c>
      <c r="AG131" s="377">
        <f t="shared" si="15"/>
        <v>4</v>
      </c>
      <c r="AH131" s="377" t="b">
        <f t="shared" si="12"/>
        <v>0</v>
      </c>
      <c r="AI131" s="336">
        <v>0.5</v>
      </c>
      <c r="AJ131" s="31">
        <v>0.5</v>
      </c>
      <c r="AK131" s="31">
        <v>1</v>
      </c>
      <c r="AL131" s="31">
        <v>1</v>
      </c>
      <c r="AM131" s="16">
        <f t="shared" si="13"/>
        <v>1</v>
      </c>
      <c r="AN131" s="162">
        <v>1</v>
      </c>
      <c r="AO131" s="31">
        <v>0.25</v>
      </c>
      <c r="AP131" s="31">
        <v>0.5</v>
      </c>
      <c r="AQ131" s="31"/>
      <c r="AR131" s="311">
        <f t="shared" si="10"/>
        <v>1</v>
      </c>
      <c r="AS131" s="21">
        <f t="shared" si="11"/>
        <v>1</v>
      </c>
      <c r="AT131" s="1">
        <f t="shared" si="14"/>
        <v>0.25</v>
      </c>
      <c r="AU131" s="31"/>
      <c r="AV131" s="31"/>
      <c r="AW131" s="31"/>
      <c r="AX131" s="16">
        <f t="shared" si="17"/>
        <v>0.25</v>
      </c>
      <c r="AY131" s="156">
        <v>1</v>
      </c>
      <c r="AZ131" s="371">
        <v>0</v>
      </c>
      <c r="BA131" s="456"/>
      <c r="BB131" s="31"/>
      <c r="BC131" s="31"/>
      <c r="BD131" s="16">
        <f t="shared" si="16"/>
        <v>0</v>
      </c>
      <c r="BE131" s="31"/>
      <c r="BF131" s="31"/>
      <c r="BG131" s="31"/>
      <c r="BH131" s="31"/>
      <c r="BI131" s="16"/>
      <c r="BJ131" s="16"/>
      <c r="BK131" s="31"/>
      <c r="BL131" s="31"/>
      <c r="BM131" s="31"/>
      <c r="BN131" s="31"/>
      <c r="BO131" s="16"/>
      <c r="BP131" s="31"/>
      <c r="BQ131" s="31"/>
      <c r="BR131" s="31"/>
      <c r="BS131" s="31"/>
      <c r="BT131" s="16"/>
      <c r="BU131" s="16"/>
      <c r="BV131" s="16"/>
      <c r="BW131" s="16"/>
      <c r="BX131" s="16"/>
      <c r="BY131" s="16"/>
      <c r="BZ131" s="16"/>
      <c r="CA131" s="26"/>
      <c r="CB131" s="1"/>
      <c r="CC131" s="1"/>
    </row>
    <row r="132" spans="1:81" s="52" customFormat="1" ht="120" customHeight="1" x14ac:dyDescent="0.25">
      <c r="A132" s="1">
        <v>1</v>
      </c>
      <c r="B132" s="13" t="s">
        <v>1746</v>
      </c>
      <c r="C132" s="588"/>
      <c r="D132" s="589"/>
      <c r="E132" s="10" t="s">
        <v>293</v>
      </c>
      <c r="F132" s="13" t="s">
        <v>294</v>
      </c>
      <c r="G132" s="588"/>
      <c r="H132" s="589"/>
      <c r="I132" s="10" t="s">
        <v>510</v>
      </c>
      <c r="J132" s="13" t="s">
        <v>511</v>
      </c>
      <c r="K132" s="572"/>
      <c r="L132" s="573"/>
      <c r="M132" s="10" t="s">
        <v>540</v>
      </c>
      <c r="N132" s="13" t="s">
        <v>541</v>
      </c>
      <c r="O132" s="13" t="s">
        <v>541</v>
      </c>
      <c r="P132" s="10">
        <v>40</v>
      </c>
      <c r="Q132" s="10">
        <v>40</v>
      </c>
      <c r="R132" s="10" t="s">
        <v>544</v>
      </c>
      <c r="S132" s="13" t="s">
        <v>545</v>
      </c>
      <c r="T132" s="13" t="s">
        <v>545</v>
      </c>
      <c r="U132" s="1"/>
      <c r="V132" s="27">
        <v>20</v>
      </c>
      <c r="W132" s="10" t="s">
        <v>412</v>
      </c>
      <c r="X132" s="1"/>
      <c r="Y132" s="1"/>
      <c r="Z132" s="1"/>
      <c r="AA132" s="24"/>
      <c r="AB132" s="10" t="s">
        <v>1762</v>
      </c>
      <c r="AC132" s="162">
        <v>5</v>
      </c>
      <c r="AD132" s="156">
        <v>5</v>
      </c>
      <c r="AE132" s="156">
        <v>5</v>
      </c>
      <c r="AF132" s="156">
        <v>5</v>
      </c>
      <c r="AG132" s="377">
        <f t="shared" si="15"/>
        <v>20</v>
      </c>
      <c r="AH132" s="377" t="b">
        <f t="shared" si="12"/>
        <v>1</v>
      </c>
      <c r="AI132" s="31">
        <v>0</v>
      </c>
      <c r="AJ132" s="31">
        <v>0</v>
      </c>
      <c r="AK132" s="31">
        <v>0</v>
      </c>
      <c r="AL132" s="31">
        <v>0</v>
      </c>
      <c r="AM132" s="16">
        <f t="shared" si="13"/>
        <v>0</v>
      </c>
      <c r="AN132" s="162">
        <v>5</v>
      </c>
      <c r="AO132" s="31">
        <v>0</v>
      </c>
      <c r="AP132" s="31">
        <v>0</v>
      </c>
      <c r="AQ132" s="31"/>
      <c r="AR132" s="311">
        <f t="shared" si="10"/>
        <v>0</v>
      </c>
      <c r="AS132" s="21">
        <f t="shared" si="11"/>
        <v>0</v>
      </c>
      <c r="AT132" s="1">
        <f t="shared" si="14"/>
        <v>0</v>
      </c>
      <c r="AU132" s="31"/>
      <c r="AV132" s="31"/>
      <c r="AW132" s="31"/>
      <c r="AX132" s="16">
        <f t="shared" si="17"/>
        <v>0</v>
      </c>
      <c r="AY132" s="156">
        <v>5</v>
      </c>
      <c r="AZ132" s="371">
        <v>0</v>
      </c>
      <c r="BA132" s="456"/>
      <c r="BB132" s="31"/>
      <c r="BC132" s="31"/>
      <c r="BD132" s="16">
        <f t="shared" si="16"/>
        <v>0</v>
      </c>
      <c r="BE132" s="31"/>
      <c r="BF132" s="31"/>
      <c r="BG132" s="31"/>
      <c r="BH132" s="31"/>
      <c r="BI132" s="16"/>
      <c r="BJ132" s="16"/>
      <c r="BK132" s="31"/>
      <c r="BL132" s="31"/>
      <c r="BM132" s="31"/>
      <c r="BN132" s="31"/>
      <c r="BO132" s="16"/>
      <c r="BP132" s="31"/>
      <c r="BQ132" s="31"/>
      <c r="BR132" s="31"/>
      <c r="BS132" s="31"/>
      <c r="BT132" s="16"/>
      <c r="BU132" s="16"/>
      <c r="BV132" s="16"/>
      <c r="BW132" s="16"/>
      <c r="BX132" s="16"/>
      <c r="BY132" s="16"/>
      <c r="BZ132" s="16"/>
      <c r="CA132" s="27"/>
      <c r="CB132" s="27"/>
      <c r="CC132" s="1"/>
    </row>
    <row r="133" spans="1:81" s="52" customFormat="1" ht="110.25" x14ac:dyDescent="0.25">
      <c r="A133" s="1">
        <v>1</v>
      </c>
      <c r="B133" s="13" t="s">
        <v>1746</v>
      </c>
      <c r="C133" s="588"/>
      <c r="D133" s="589"/>
      <c r="E133" s="10" t="s">
        <v>293</v>
      </c>
      <c r="F133" s="13" t="s">
        <v>294</v>
      </c>
      <c r="G133" s="588"/>
      <c r="H133" s="589"/>
      <c r="I133" s="10" t="s">
        <v>510</v>
      </c>
      <c r="J133" s="13" t="s">
        <v>511</v>
      </c>
      <c r="K133" s="572"/>
      <c r="L133" s="573"/>
      <c r="M133" s="10" t="s">
        <v>546</v>
      </c>
      <c r="N133" s="13" t="s">
        <v>547</v>
      </c>
      <c r="O133" s="13" t="s">
        <v>547</v>
      </c>
      <c r="P133" s="10">
        <v>0</v>
      </c>
      <c r="Q133" s="10">
        <v>50</v>
      </c>
      <c r="R133" s="10" t="s">
        <v>548</v>
      </c>
      <c r="S133" s="13" t="s">
        <v>549</v>
      </c>
      <c r="T133" s="13" t="s">
        <v>549</v>
      </c>
      <c r="U133" s="1"/>
      <c r="V133" s="27">
        <v>19</v>
      </c>
      <c r="W133" s="10" t="s">
        <v>412</v>
      </c>
      <c r="X133" s="1"/>
      <c r="Y133" s="1" t="s">
        <v>302</v>
      </c>
      <c r="Z133" s="1" t="s">
        <v>303</v>
      </c>
      <c r="AA133" s="24"/>
      <c r="AB133" s="10" t="s">
        <v>1762</v>
      </c>
      <c r="AC133" s="162">
        <v>4</v>
      </c>
      <c r="AD133" s="156">
        <v>5</v>
      </c>
      <c r="AE133" s="156">
        <v>5</v>
      </c>
      <c r="AF133" s="156">
        <v>5</v>
      </c>
      <c r="AG133" s="377">
        <f t="shared" si="15"/>
        <v>19</v>
      </c>
      <c r="AH133" s="377" t="b">
        <f t="shared" si="12"/>
        <v>1</v>
      </c>
      <c r="AI133" s="1">
        <v>4</v>
      </c>
      <c r="AJ133" s="1">
        <v>4</v>
      </c>
      <c r="AK133" s="1">
        <v>6</v>
      </c>
      <c r="AL133" s="1">
        <v>6</v>
      </c>
      <c r="AM133" s="16">
        <f t="shared" si="13"/>
        <v>0.31578947368421051</v>
      </c>
      <c r="AN133" s="162">
        <v>4</v>
      </c>
      <c r="AO133" s="1">
        <v>4</v>
      </c>
      <c r="AP133" s="1">
        <v>4</v>
      </c>
      <c r="AQ133" s="1"/>
      <c r="AR133" s="311">
        <f t="shared" si="10"/>
        <v>6</v>
      </c>
      <c r="AS133" s="21">
        <v>1</v>
      </c>
      <c r="AT133" s="1">
        <f t="shared" si="14"/>
        <v>6</v>
      </c>
      <c r="AU133" s="31"/>
      <c r="AV133" s="31"/>
      <c r="AW133" s="31"/>
      <c r="AX133" s="16">
        <f t="shared" si="17"/>
        <v>0.31578947368421051</v>
      </c>
      <c r="AY133" s="156">
        <v>5</v>
      </c>
      <c r="AZ133" s="371">
        <v>0</v>
      </c>
      <c r="BA133" s="456"/>
      <c r="BB133" s="31"/>
      <c r="BC133" s="31"/>
      <c r="BD133" s="16">
        <f t="shared" si="16"/>
        <v>0</v>
      </c>
      <c r="BE133" s="31"/>
      <c r="BF133" s="31"/>
      <c r="BG133" s="31"/>
      <c r="BH133" s="31"/>
      <c r="BI133" s="16"/>
      <c r="BJ133" s="16"/>
      <c r="BK133" s="31"/>
      <c r="BL133" s="31"/>
      <c r="BM133" s="31"/>
      <c r="BN133" s="31"/>
      <c r="BO133" s="16"/>
      <c r="BP133" s="31"/>
      <c r="BQ133" s="31"/>
      <c r="BR133" s="31"/>
      <c r="BS133" s="31"/>
      <c r="BT133" s="16"/>
      <c r="BU133" s="16"/>
      <c r="BV133" s="16"/>
      <c r="BW133" s="16"/>
      <c r="BX133" s="16"/>
      <c r="BY133" s="16"/>
      <c r="BZ133" s="16"/>
      <c r="CA133" s="27"/>
      <c r="CB133" s="27"/>
      <c r="CC133" s="1"/>
    </row>
    <row r="134" spans="1:81" s="52" customFormat="1" ht="94.5" x14ac:dyDescent="0.25">
      <c r="A134" s="1">
        <v>1</v>
      </c>
      <c r="B134" s="13" t="s">
        <v>1746</v>
      </c>
      <c r="C134" s="588"/>
      <c r="D134" s="589"/>
      <c r="E134" s="10" t="s">
        <v>293</v>
      </c>
      <c r="F134" s="13" t="s">
        <v>294</v>
      </c>
      <c r="G134" s="588"/>
      <c r="H134" s="589"/>
      <c r="I134" s="10" t="s">
        <v>510</v>
      </c>
      <c r="J134" s="13" t="s">
        <v>511</v>
      </c>
      <c r="K134" s="572"/>
      <c r="L134" s="573"/>
      <c r="M134" s="10" t="s">
        <v>550</v>
      </c>
      <c r="N134" s="13" t="s">
        <v>551</v>
      </c>
      <c r="O134" s="13" t="s">
        <v>551</v>
      </c>
      <c r="P134" s="10">
        <v>25</v>
      </c>
      <c r="Q134" s="10">
        <v>25</v>
      </c>
      <c r="R134" s="10" t="s">
        <v>552</v>
      </c>
      <c r="S134" s="13" t="s">
        <v>553</v>
      </c>
      <c r="T134" s="13" t="s">
        <v>553</v>
      </c>
      <c r="U134" s="1"/>
      <c r="V134" s="1">
        <v>15</v>
      </c>
      <c r="W134" s="10" t="s">
        <v>412</v>
      </c>
      <c r="X134" s="1"/>
      <c r="Y134" s="1" t="s">
        <v>302</v>
      </c>
      <c r="Z134" s="1" t="s">
        <v>303</v>
      </c>
      <c r="AA134" s="24"/>
      <c r="AB134" s="10" t="s">
        <v>1762</v>
      </c>
      <c r="AC134" s="162">
        <v>2</v>
      </c>
      <c r="AD134" s="156">
        <v>3</v>
      </c>
      <c r="AE134" s="156">
        <v>5</v>
      </c>
      <c r="AF134" s="156">
        <v>5</v>
      </c>
      <c r="AG134" s="377">
        <f t="shared" si="15"/>
        <v>15</v>
      </c>
      <c r="AH134" s="377" t="b">
        <f t="shared" si="12"/>
        <v>1</v>
      </c>
      <c r="AI134" s="19">
        <v>0</v>
      </c>
      <c r="AJ134" s="19">
        <v>0</v>
      </c>
      <c r="AK134" s="19">
        <v>0</v>
      </c>
      <c r="AL134" s="19">
        <v>0</v>
      </c>
      <c r="AM134" s="16">
        <f t="shared" si="13"/>
        <v>0</v>
      </c>
      <c r="AN134" s="162">
        <v>2</v>
      </c>
      <c r="AO134" s="19">
        <v>0</v>
      </c>
      <c r="AP134" s="19">
        <v>0</v>
      </c>
      <c r="AQ134" s="19"/>
      <c r="AR134" s="311">
        <f t="shared" ref="AR134:AR170" si="18">AL134</f>
        <v>0</v>
      </c>
      <c r="AS134" s="21">
        <f t="shared" si="11"/>
        <v>0</v>
      </c>
      <c r="AT134" s="1">
        <f t="shared" si="14"/>
        <v>0</v>
      </c>
      <c r="AU134" s="31"/>
      <c r="AV134" s="31"/>
      <c r="AW134" s="31"/>
      <c r="AX134" s="16">
        <f t="shared" si="17"/>
        <v>0</v>
      </c>
      <c r="AY134" s="156">
        <v>3</v>
      </c>
      <c r="AZ134" s="371">
        <v>0</v>
      </c>
      <c r="BA134" s="456"/>
      <c r="BB134" s="31"/>
      <c r="BC134" s="31"/>
      <c r="BD134" s="16">
        <f t="shared" si="16"/>
        <v>0</v>
      </c>
      <c r="BE134" s="31"/>
      <c r="BF134" s="31"/>
      <c r="BG134" s="31"/>
      <c r="BH134" s="31"/>
      <c r="BI134" s="16"/>
      <c r="BJ134" s="16"/>
      <c r="BK134" s="31"/>
      <c r="BL134" s="31"/>
      <c r="BM134" s="31"/>
      <c r="BN134" s="31"/>
      <c r="BO134" s="16"/>
      <c r="BP134" s="31"/>
      <c r="BQ134" s="31"/>
      <c r="BR134" s="31"/>
      <c r="BS134" s="31"/>
      <c r="BT134" s="16"/>
      <c r="BU134" s="16"/>
      <c r="BV134" s="16"/>
      <c r="BW134" s="16"/>
      <c r="BX134" s="16"/>
      <c r="BY134" s="16"/>
      <c r="BZ134" s="16"/>
      <c r="CA134" s="1"/>
      <c r="CB134" s="1"/>
      <c r="CC134" s="1"/>
    </row>
    <row r="135" spans="1:81" s="52" customFormat="1" ht="68.25" customHeight="1" x14ac:dyDescent="0.25">
      <c r="A135" s="1">
        <v>1</v>
      </c>
      <c r="B135" s="13" t="s">
        <v>1746</v>
      </c>
      <c r="C135" s="588"/>
      <c r="D135" s="589"/>
      <c r="E135" s="10" t="s">
        <v>293</v>
      </c>
      <c r="F135" s="13" t="s">
        <v>294</v>
      </c>
      <c r="G135" s="588"/>
      <c r="H135" s="589"/>
      <c r="I135" s="10" t="s">
        <v>510</v>
      </c>
      <c r="J135" s="13" t="s">
        <v>511</v>
      </c>
      <c r="K135" s="572"/>
      <c r="L135" s="573"/>
      <c r="M135" s="10" t="s">
        <v>550</v>
      </c>
      <c r="N135" s="13" t="s">
        <v>551</v>
      </c>
      <c r="O135" s="13" t="s">
        <v>551</v>
      </c>
      <c r="P135" s="10">
        <v>25</v>
      </c>
      <c r="Q135" s="10">
        <v>25</v>
      </c>
      <c r="R135" s="10" t="s">
        <v>554</v>
      </c>
      <c r="S135" s="13" t="s">
        <v>555</v>
      </c>
      <c r="T135" s="13" t="s">
        <v>555</v>
      </c>
      <c r="U135" s="1"/>
      <c r="V135" s="1">
        <v>45</v>
      </c>
      <c r="W135" s="10" t="s">
        <v>412</v>
      </c>
      <c r="X135" s="1"/>
      <c r="Y135" s="1" t="s">
        <v>302</v>
      </c>
      <c r="Z135" s="1" t="s">
        <v>303</v>
      </c>
      <c r="AA135" s="24"/>
      <c r="AB135" s="10" t="s">
        <v>1762</v>
      </c>
      <c r="AC135" s="162">
        <v>10</v>
      </c>
      <c r="AD135" s="156">
        <v>10</v>
      </c>
      <c r="AE135" s="156">
        <v>10</v>
      </c>
      <c r="AF135" s="156">
        <v>15</v>
      </c>
      <c r="AG135" s="377">
        <f t="shared" si="15"/>
        <v>45</v>
      </c>
      <c r="AH135" s="377" t="b">
        <f t="shared" si="12"/>
        <v>1</v>
      </c>
      <c r="AI135" s="19">
        <v>2</v>
      </c>
      <c r="AJ135" s="19">
        <v>2</v>
      </c>
      <c r="AK135" s="19">
        <v>10</v>
      </c>
      <c r="AL135" s="19">
        <v>10</v>
      </c>
      <c r="AM135" s="16">
        <f t="shared" si="13"/>
        <v>0.22222222222222221</v>
      </c>
      <c r="AN135" s="162">
        <v>10</v>
      </c>
      <c r="AO135" s="19">
        <v>2</v>
      </c>
      <c r="AP135" s="19">
        <v>2</v>
      </c>
      <c r="AQ135" s="19"/>
      <c r="AR135" s="311">
        <f t="shared" si="18"/>
        <v>10</v>
      </c>
      <c r="AS135" s="21">
        <f t="shared" si="11"/>
        <v>1</v>
      </c>
      <c r="AT135" s="1">
        <f t="shared" si="14"/>
        <v>10</v>
      </c>
      <c r="AU135" s="31"/>
      <c r="AV135" s="31"/>
      <c r="AW135" s="31"/>
      <c r="AX135" s="16">
        <f t="shared" si="17"/>
        <v>0.22222222222222221</v>
      </c>
      <c r="AY135" s="156">
        <v>10</v>
      </c>
      <c r="AZ135" s="371">
        <v>0</v>
      </c>
      <c r="BA135" s="456"/>
      <c r="BB135" s="31"/>
      <c r="BC135" s="31"/>
      <c r="BD135" s="16">
        <f t="shared" si="16"/>
        <v>0</v>
      </c>
      <c r="BE135" s="31"/>
      <c r="BF135" s="31"/>
      <c r="BG135" s="31"/>
      <c r="BH135" s="31"/>
      <c r="BI135" s="16"/>
      <c r="BJ135" s="16"/>
      <c r="BK135" s="31"/>
      <c r="BL135" s="31"/>
      <c r="BM135" s="31"/>
      <c r="BN135" s="31"/>
      <c r="BO135" s="16"/>
      <c r="BP135" s="31"/>
      <c r="BQ135" s="31"/>
      <c r="BR135" s="31"/>
      <c r="BS135" s="31"/>
      <c r="BT135" s="16"/>
      <c r="BU135" s="16"/>
      <c r="BV135" s="16"/>
      <c r="BW135" s="16"/>
      <c r="BX135" s="16"/>
      <c r="BY135" s="16"/>
      <c r="BZ135" s="16"/>
      <c r="CA135" s="1"/>
      <c r="CB135" s="1"/>
      <c r="CC135" s="1"/>
    </row>
    <row r="136" spans="1:81" s="52" customFormat="1" ht="78.75" x14ac:dyDescent="0.25">
      <c r="A136" s="1">
        <v>1</v>
      </c>
      <c r="B136" s="13" t="s">
        <v>1746</v>
      </c>
      <c r="C136" s="588"/>
      <c r="D136" s="589"/>
      <c r="E136" s="10" t="s">
        <v>293</v>
      </c>
      <c r="F136" s="13" t="s">
        <v>294</v>
      </c>
      <c r="G136" s="588"/>
      <c r="H136" s="589"/>
      <c r="I136" s="10" t="s">
        <v>510</v>
      </c>
      <c r="J136" s="13" t="s">
        <v>511</v>
      </c>
      <c r="K136" s="572"/>
      <c r="L136" s="573"/>
      <c r="M136" s="10" t="s">
        <v>550</v>
      </c>
      <c r="N136" s="13" t="s">
        <v>551</v>
      </c>
      <c r="O136" s="13" t="s">
        <v>551</v>
      </c>
      <c r="P136" s="10">
        <v>25</v>
      </c>
      <c r="Q136" s="10">
        <v>25</v>
      </c>
      <c r="R136" s="10" t="s">
        <v>556</v>
      </c>
      <c r="S136" s="13" t="s">
        <v>557</v>
      </c>
      <c r="T136" s="13" t="s">
        <v>557</v>
      </c>
      <c r="U136" s="1"/>
      <c r="V136" s="1">
        <v>24</v>
      </c>
      <c r="W136" s="10" t="s">
        <v>412</v>
      </c>
      <c r="X136" s="1"/>
      <c r="Y136" s="1" t="s">
        <v>302</v>
      </c>
      <c r="Z136" s="1" t="s">
        <v>303</v>
      </c>
      <c r="AA136" s="24"/>
      <c r="AB136" s="10" t="s">
        <v>1762</v>
      </c>
      <c r="AC136" s="162">
        <v>8</v>
      </c>
      <c r="AD136" s="156">
        <v>5</v>
      </c>
      <c r="AE136" s="156">
        <v>6</v>
      </c>
      <c r="AF136" s="156">
        <v>5</v>
      </c>
      <c r="AG136" s="377">
        <f t="shared" si="15"/>
        <v>24</v>
      </c>
      <c r="AH136" s="377" t="b">
        <f t="shared" si="12"/>
        <v>1</v>
      </c>
      <c r="AI136" s="19">
        <v>0</v>
      </c>
      <c r="AJ136" s="19">
        <v>0</v>
      </c>
      <c r="AK136" s="19">
        <v>8</v>
      </c>
      <c r="AL136" s="19">
        <v>8</v>
      </c>
      <c r="AM136" s="16">
        <f t="shared" si="13"/>
        <v>0.33333333333333331</v>
      </c>
      <c r="AN136" s="162">
        <v>8</v>
      </c>
      <c r="AO136" s="19">
        <v>0</v>
      </c>
      <c r="AP136" s="19">
        <v>0</v>
      </c>
      <c r="AQ136" s="19"/>
      <c r="AR136" s="311">
        <f t="shared" si="18"/>
        <v>8</v>
      </c>
      <c r="AS136" s="21">
        <f t="shared" si="11"/>
        <v>1</v>
      </c>
      <c r="AT136" s="1">
        <f t="shared" si="14"/>
        <v>8</v>
      </c>
      <c r="AU136" s="31"/>
      <c r="AV136" s="31"/>
      <c r="AW136" s="31"/>
      <c r="AX136" s="16">
        <f t="shared" si="17"/>
        <v>0.33333333333333331</v>
      </c>
      <c r="AY136" s="156">
        <v>5</v>
      </c>
      <c r="AZ136" s="371">
        <v>0</v>
      </c>
      <c r="BA136" s="456"/>
      <c r="BB136" s="31"/>
      <c r="BC136" s="31"/>
      <c r="BD136" s="16">
        <f t="shared" si="16"/>
        <v>0</v>
      </c>
      <c r="BE136" s="31"/>
      <c r="BF136" s="31"/>
      <c r="BG136" s="31"/>
      <c r="BH136" s="31"/>
      <c r="BI136" s="16"/>
      <c r="BJ136" s="16"/>
      <c r="BK136" s="31"/>
      <c r="BL136" s="31"/>
      <c r="BM136" s="31"/>
      <c r="BN136" s="31"/>
      <c r="BO136" s="16"/>
      <c r="BP136" s="31"/>
      <c r="BQ136" s="31"/>
      <c r="BR136" s="31"/>
      <c r="BS136" s="31"/>
      <c r="BT136" s="16"/>
      <c r="BU136" s="16"/>
      <c r="BV136" s="16"/>
      <c r="BW136" s="16"/>
      <c r="BX136" s="16"/>
      <c r="BY136" s="16"/>
      <c r="BZ136" s="16"/>
      <c r="CA136" s="1"/>
      <c r="CB136" s="1"/>
      <c r="CC136" s="1"/>
    </row>
    <row r="137" spans="1:81" s="52" customFormat="1" ht="62.65" customHeight="1" x14ac:dyDescent="0.25">
      <c r="A137" s="1">
        <v>1</v>
      </c>
      <c r="B137" s="13" t="s">
        <v>1746</v>
      </c>
      <c r="C137" s="588"/>
      <c r="D137" s="589"/>
      <c r="E137" s="10" t="s">
        <v>293</v>
      </c>
      <c r="F137" s="13" t="s">
        <v>294</v>
      </c>
      <c r="G137" s="588"/>
      <c r="H137" s="589"/>
      <c r="I137" s="10" t="s">
        <v>510</v>
      </c>
      <c r="J137" s="13" t="s">
        <v>511</v>
      </c>
      <c r="K137" s="572"/>
      <c r="L137" s="573"/>
      <c r="M137" s="10" t="s">
        <v>550</v>
      </c>
      <c r="N137" s="13" t="s">
        <v>551</v>
      </c>
      <c r="O137" s="13" t="s">
        <v>551</v>
      </c>
      <c r="P137" s="10">
        <v>25</v>
      </c>
      <c r="Q137" s="10">
        <v>25</v>
      </c>
      <c r="R137" s="10" t="s">
        <v>558</v>
      </c>
      <c r="S137" s="13" t="s">
        <v>559</v>
      </c>
      <c r="T137" s="13" t="s">
        <v>559</v>
      </c>
      <c r="U137" s="1"/>
      <c r="V137" s="1">
        <v>2900</v>
      </c>
      <c r="W137" s="10" t="s">
        <v>412</v>
      </c>
      <c r="X137" s="1"/>
      <c r="Y137" s="1"/>
      <c r="Z137" s="1"/>
      <c r="AA137" s="24"/>
      <c r="AB137" s="10" t="s">
        <v>1762</v>
      </c>
      <c r="AC137" s="162">
        <v>725</v>
      </c>
      <c r="AD137" s="156">
        <v>725</v>
      </c>
      <c r="AE137" s="156">
        <v>725</v>
      </c>
      <c r="AF137" s="156">
        <v>725</v>
      </c>
      <c r="AG137" s="377">
        <f t="shared" si="15"/>
        <v>2900</v>
      </c>
      <c r="AH137" s="377" t="b">
        <f t="shared" si="12"/>
        <v>1</v>
      </c>
      <c r="AI137" s="19">
        <v>0</v>
      </c>
      <c r="AJ137" s="19">
        <v>0</v>
      </c>
      <c r="AK137" s="19">
        <v>0</v>
      </c>
      <c r="AL137" s="19">
        <v>0</v>
      </c>
      <c r="AM137" s="16">
        <f t="shared" si="13"/>
        <v>0</v>
      </c>
      <c r="AN137" s="162">
        <v>725</v>
      </c>
      <c r="AO137" s="19">
        <v>0</v>
      </c>
      <c r="AP137" s="19">
        <v>0</v>
      </c>
      <c r="AQ137" s="19"/>
      <c r="AR137" s="311">
        <f t="shared" si="18"/>
        <v>0</v>
      </c>
      <c r="AS137" s="21">
        <f t="shared" si="11"/>
        <v>0</v>
      </c>
      <c r="AT137" s="1">
        <f t="shared" si="14"/>
        <v>0</v>
      </c>
      <c r="AU137" s="31"/>
      <c r="AV137" s="31"/>
      <c r="AW137" s="31"/>
      <c r="AX137" s="16">
        <f t="shared" si="17"/>
        <v>0</v>
      </c>
      <c r="AY137" s="156">
        <v>725</v>
      </c>
      <c r="AZ137" s="371">
        <v>0</v>
      </c>
      <c r="BA137" s="456"/>
      <c r="BB137" s="31"/>
      <c r="BC137" s="31"/>
      <c r="BD137" s="16">
        <f t="shared" si="16"/>
        <v>0</v>
      </c>
      <c r="BE137" s="31"/>
      <c r="BF137" s="31"/>
      <c r="BG137" s="31"/>
      <c r="BH137" s="31"/>
      <c r="BI137" s="16"/>
      <c r="BJ137" s="16"/>
      <c r="BK137" s="31"/>
      <c r="BL137" s="31"/>
      <c r="BM137" s="31"/>
      <c r="BN137" s="31"/>
      <c r="BO137" s="16"/>
      <c r="BP137" s="31"/>
      <c r="BQ137" s="31"/>
      <c r="BR137" s="31"/>
      <c r="BS137" s="31"/>
      <c r="BT137" s="16"/>
      <c r="BU137" s="16"/>
      <c r="BV137" s="16"/>
      <c r="BW137" s="16"/>
      <c r="BX137" s="16"/>
      <c r="BY137" s="16"/>
      <c r="BZ137" s="16"/>
      <c r="CA137" s="1"/>
      <c r="CB137" s="1"/>
      <c r="CC137" s="1"/>
    </row>
    <row r="138" spans="1:81" s="52" customFormat="1" ht="78.75" x14ac:dyDescent="0.25">
      <c r="A138" s="1">
        <v>1</v>
      </c>
      <c r="B138" s="13" t="s">
        <v>1746</v>
      </c>
      <c r="C138" s="588"/>
      <c r="D138" s="589"/>
      <c r="E138" s="10" t="s">
        <v>293</v>
      </c>
      <c r="F138" s="13" t="s">
        <v>294</v>
      </c>
      <c r="G138" s="588"/>
      <c r="H138" s="589"/>
      <c r="I138" s="10" t="s">
        <v>510</v>
      </c>
      <c r="J138" s="13" t="s">
        <v>511</v>
      </c>
      <c r="K138" s="572"/>
      <c r="L138" s="573"/>
      <c r="M138" s="10" t="s">
        <v>550</v>
      </c>
      <c r="N138" s="13" t="s">
        <v>551</v>
      </c>
      <c r="O138" s="13" t="s">
        <v>551</v>
      </c>
      <c r="P138" s="10">
        <v>25</v>
      </c>
      <c r="Q138" s="10">
        <v>25</v>
      </c>
      <c r="R138" s="10" t="s">
        <v>560</v>
      </c>
      <c r="S138" s="13" t="s">
        <v>561</v>
      </c>
      <c r="T138" s="13" t="s">
        <v>561</v>
      </c>
      <c r="U138" s="1"/>
      <c r="V138" s="1">
        <v>34</v>
      </c>
      <c r="W138" s="10" t="s">
        <v>412</v>
      </c>
      <c r="X138" s="1"/>
      <c r="Y138" s="1" t="s">
        <v>302</v>
      </c>
      <c r="Z138" s="1" t="s">
        <v>303</v>
      </c>
      <c r="AA138" s="24"/>
      <c r="AB138" s="10" t="s">
        <v>1762</v>
      </c>
      <c r="AC138" s="162">
        <v>10</v>
      </c>
      <c r="AD138" s="156">
        <v>9</v>
      </c>
      <c r="AE138" s="156">
        <v>8</v>
      </c>
      <c r="AF138" s="156">
        <v>7</v>
      </c>
      <c r="AG138" s="377">
        <f t="shared" si="15"/>
        <v>34</v>
      </c>
      <c r="AH138" s="377" t="b">
        <f t="shared" si="12"/>
        <v>1</v>
      </c>
      <c r="AI138" s="1">
        <v>2</v>
      </c>
      <c r="AJ138" s="1">
        <v>2</v>
      </c>
      <c r="AK138" s="1">
        <v>10</v>
      </c>
      <c r="AL138" s="1">
        <v>10</v>
      </c>
      <c r="AM138" s="16">
        <f t="shared" si="13"/>
        <v>0.29411764705882354</v>
      </c>
      <c r="AN138" s="162">
        <v>10</v>
      </c>
      <c r="AO138" s="1">
        <v>2</v>
      </c>
      <c r="AP138" s="1">
        <v>2</v>
      </c>
      <c r="AQ138" s="1"/>
      <c r="AR138" s="311">
        <f t="shared" si="18"/>
        <v>10</v>
      </c>
      <c r="AS138" s="21">
        <f t="shared" ref="AS138:AS170" si="19">IFERROR(+AR138/AN138,0)</f>
        <v>1</v>
      </c>
      <c r="AT138" s="1">
        <f t="shared" si="14"/>
        <v>10</v>
      </c>
      <c r="AU138" s="31"/>
      <c r="AV138" s="31"/>
      <c r="AW138" s="31"/>
      <c r="AX138" s="16">
        <f t="shared" si="17"/>
        <v>0.29411764705882354</v>
      </c>
      <c r="AY138" s="156">
        <v>9</v>
      </c>
      <c r="AZ138" s="371">
        <v>0</v>
      </c>
      <c r="BA138" s="456"/>
      <c r="BB138" s="31"/>
      <c r="BC138" s="31"/>
      <c r="BD138" s="16">
        <f t="shared" si="16"/>
        <v>0</v>
      </c>
      <c r="BE138" s="31"/>
      <c r="BF138" s="31"/>
      <c r="BG138" s="31"/>
      <c r="BH138" s="31"/>
      <c r="BI138" s="16"/>
      <c r="BJ138" s="16"/>
      <c r="BK138" s="31"/>
      <c r="BL138" s="31"/>
      <c r="BM138" s="31"/>
      <c r="BN138" s="31"/>
      <c r="BO138" s="16"/>
      <c r="BP138" s="31"/>
      <c r="BQ138" s="31"/>
      <c r="BR138" s="31"/>
      <c r="BS138" s="31"/>
      <c r="BT138" s="16"/>
      <c r="BU138" s="16"/>
      <c r="BV138" s="16"/>
      <c r="BW138" s="16"/>
      <c r="BX138" s="16"/>
      <c r="BY138" s="16"/>
      <c r="BZ138" s="16"/>
      <c r="CA138" s="1"/>
      <c r="CB138" s="1"/>
      <c r="CC138" s="1"/>
    </row>
    <row r="139" spans="1:81" s="52" customFormat="1" ht="78.75" x14ac:dyDescent="0.25">
      <c r="A139" s="1">
        <v>1</v>
      </c>
      <c r="B139" s="13" t="s">
        <v>1746</v>
      </c>
      <c r="C139" s="588"/>
      <c r="D139" s="589"/>
      <c r="E139" s="10" t="s">
        <v>293</v>
      </c>
      <c r="F139" s="13" t="s">
        <v>294</v>
      </c>
      <c r="G139" s="588"/>
      <c r="H139" s="589"/>
      <c r="I139" s="10" t="s">
        <v>510</v>
      </c>
      <c r="J139" s="13" t="s">
        <v>511</v>
      </c>
      <c r="K139" s="572"/>
      <c r="L139" s="573"/>
      <c r="M139" s="10" t="s">
        <v>562</v>
      </c>
      <c r="N139" s="23" t="s">
        <v>563</v>
      </c>
      <c r="O139" s="13" t="s">
        <v>563</v>
      </c>
      <c r="P139" s="10">
        <v>56</v>
      </c>
      <c r="Q139" s="10">
        <v>56</v>
      </c>
      <c r="R139" s="10" t="s">
        <v>564</v>
      </c>
      <c r="S139" s="13" t="s">
        <v>565</v>
      </c>
      <c r="T139" s="13" t="s">
        <v>565</v>
      </c>
      <c r="U139" s="1"/>
      <c r="V139" s="1">
        <v>45</v>
      </c>
      <c r="W139" s="10" t="s">
        <v>412</v>
      </c>
      <c r="X139" s="1"/>
      <c r="Y139" s="1" t="s">
        <v>302</v>
      </c>
      <c r="Z139" s="1" t="s">
        <v>303</v>
      </c>
      <c r="AA139" s="24"/>
      <c r="AB139" s="10" t="s">
        <v>1762</v>
      </c>
      <c r="AC139" s="162">
        <v>10</v>
      </c>
      <c r="AD139" s="156">
        <v>10</v>
      </c>
      <c r="AE139" s="156">
        <v>15</v>
      </c>
      <c r="AF139" s="156">
        <v>10</v>
      </c>
      <c r="AG139" s="377">
        <f t="shared" si="15"/>
        <v>45</v>
      </c>
      <c r="AH139" s="377" t="b">
        <f t="shared" si="12"/>
        <v>1</v>
      </c>
      <c r="AI139" s="1">
        <v>1</v>
      </c>
      <c r="AJ139" s="1">
        <v>1</v>
      </c>
      <c r="AK139" s="1">
        <v>10</v>
      </c>
      <c r="AL139" s="1">
        <v>10</v>
      </c>
      <c r="AM139" s="16">
        <f t="shared" si="13"/>
        <v>0.22222222222222221</v>
      </c>
      <c r="AN139" s="162">
        <v>10</v>
      </c>
      <c r="AO139" s="1">
        <v>1</v>
      </c>
      <c r="AP139" s="1">
        <v>1</v>
      </c>
      <c r="AQ139" s="1"/>
      <c r="AR139" s="311">
        <f t="shared" si="18"/>
        <v>10</v>
      </c>
      <c r="AS139" s="21">
        <f t="shared" si="19"/>
        <v>1</v>
      </c>
      <c r="AT139" s="1">
        <f t="shared" si="14"/>
        <v>10</v>
      </c>
      <c r="AU139" s="31"/>
      <c r="AV139" s="31"/>
      <c r="AW139" s="31"/>
      <c r="AX139" s="16">
        <f t="shared" si="17"/>
        <v>0.22222222222222221</v>
      </c>
      <c r="AY139" s="156">
        <v>10</v>
      </c>
      <c r="AZ139" s="371">
        <v>0</v>
      </c>
      <c r="BA139" s="456"/>
      <c r="BB139" s="31"/>
      <c r="BC139" s="31"/>
      <c r="BD139" s="16">
        <f t="shared" si="16"/>
        <v>0</v>
      </c>
      <c r="BE139" s="31"/>
      <c r="BF139" s="31"/>
      <c r="BG139" s="31"/>
      <c r="BH139" s="31"/>
      <c r="BI139" s="16"/>
      <c r="BJ139" s="16"/>
      <c r="BK139" s="31"/>
      <c r="BL139" s="31"/>
      <c r="BM139" s="31"/>
      <c r="BN139" s="31"/>
      <c r="BO139" s="16"/>
      <c r="BP139" s="31"/>
      <c r="BQ139" s="31"/>
      <c r="BR139" s="31"/>
      <c r="BS139" s="31"/>
      <c r="BT139" s="16"/>
      <c r="BU139" s="16"/>
      <c r="BV139" s="16"/>
      <c r="BW139" s="16"/>
      <c r="BX139" s="16"/>
      <c r="BY139" s="16"/>
      <c r="BZ139" s="16"/>
      <c r="CA139" s="1"/>
      <c r="CB139" s="1"/>
      <c r="CC139" s="1"/>
    </row>
    <row r="140" spans="1:81" s="52" customFormat="1" ht="110.25" x14ac:dyDescent="0.25">
      <c r="A140" s="1">
        <v>1</v>
      </c>
      <c r="B140" s="13" t="s">
        <v>1746</v>
      </c>
      <c r="C140" s="588"/>
      <c r="D140" s="589"/>
      <c r="E140" s="10" t="s">
        <v>293</v>
      </c>
      <c r="F140" s="13" t="s">
        <v>294</v>
      </c>
      <c r="G140" s="588"/>
      <c r="H140" s="589"/>
      <c r="I140" s="10" t="s">
        <v>510</v>
      </c>
      <c r="J140" s="13" t="s">
        <v>511</v>
      </c>
      <c r="K140" s="572"/>
      <c r="L140" s="573"/>
      <c r="M140" s="10" t="s">
        <v>562</v>
      </c>
      <c r="N140" s="13" t="s">
        <v>566</v>
      </c>
      <c r="O140" s="13" t="s">
        <v>566</v>
      </c>
      <c r="P140" s="10">
        <v>56</v>
      </c>
      <c r="Q140" s="10">
        <v>56</v>
      </c>
      <c r="R140" s="10" t="s">
        <v>567</v>
      </c>
      <c r="S140" s="13" t="s">
        <v>568</v>
      </c>
      <c r="T140" s="13" t="s">
        <v>569</v>
      </c>
      <c r="U140" s="1"/>
      <c r="V140" s="26">
        <v>1</v>
      </c>
      <c r="W140" s="10" t="s">
        <v>420</v>
      </c>
      <c r="X140" s="1"/>
      <c r="Y140" s="1"/>
      <c r="Z140" s="1"/>
      <c r="AA140" s="24"/>
      <c r="AB140" s="10" t="s">
        <v>1762</v>
      </c>
      <c r="AC140" s="162">
        <v>1</v>
      </c>
      <c r="AD140" s="156">
        <v>1</v>
      </c>
      <c r="AE140" s="156">
        <v>1</v>
      </c>
      <c r="AF140" s="156">
        <v>1</v>
      </c>
      <c r="AG140" s="377">
        <f t="shared" si="15"/>
        <v>4</v>
      </c>
      <c r="AH140" s="377" t="b">
        <f t="shared" ref="AH140:AH200" si="20">V140=AG140</f>
        <v>0</v>
      </c>
      <c r="AI140" s="1">
        <v>0</v>
      </c>
      <c r="AJ140" s="26">
        <v>0.25</v>
      </c>
      <c r="AK140" s="26">
        <v>0.4</v>
      </c>
      <c r="AL140" s="26">
        <v>0.4</v>
      </c>
      <c r="AM140" s="16">
        <f t="shared" ref="AM140:AM200" si="21">+AL140/V140</f>
        <v>0.4</v>
      </c>
      <c r="AN140" s="162">
        <v>1</v>
      </c>
      <c r="AO140" s="1">
        <v>0</v>
      </c>
      <c r="AP140" s="75">
        <v>1</v>
      </c>
      <c r="AQ140" s="75"/>
      <c r="AR140" s="313">
        <f t="shared" si="18"/>
        <v>0.4</v>
      </c>
      <c r="AS140" s="21">
        <f t="shared" si="19"/>
        <v>0.4</v>
      </c>
      <c r="AT140" s="1">
        <f t="shared" si="14"/>
        <v>0.1</v>
      </c>
      <c r="AU140" s="31"/>
      <c r="AV140" s="31"/>
      <c r="AW140" s="31"/>
      <c r="AX140" s="16">
        <f t="shared" si="17"/>
        <v>0.1</v>
      </c>
      <c r="AY140" s="156">
        <v>1</v>
      </c>
      <c r="AZ140" s="371">
        <v>0</v>
      </c>
      <c r="BA140" s="456"/>
      <c r="BB140" s="31"/>
      <c r="BC140" s="31"/>
      <c r="BD140" s="16">
        <f t="shared" si="16"/>
        <v>0</v>
      </c>
      <c r="BE140" s="31"/>
      <c r="BF140" s="31"/>
      <c r="BG140" s="31"/>
      <c r="BH140" s="31"/>
      <c r="BI140" s="16"/>
      <c r="BJ140" s="16"/>
      <c r="BK140" s="31"/>
      <c r="BL140" s="31"/>
      <c r="BM140" s="31"/>
      <c r="BN140" s="31"/>
      <c r="BO140" s="16"/>
      <c r="BP140" s="31"/>
      <c r="BQ140" s="31"/>
      <c r="BR140" s="31"/>
      <c r="BS140" s="31"/>
      <c r="BT140" s="16"/>
      <c r="BU140" s="16"/>
      <c r="BV140" s="16"/>
      <c r="BW140" s="16"/>
      <c r="BX140" s="16"/>
      <c r="BY140" s="16"/>
      <c r="BZ140" s="16"/>
      <c r="CA140" s="26"/>
      <c r="CB140" s="26"/>
      <c r="CC140" s="1"/>
    </row>
    <row r="141" spans="1:81" s="52" customFormat="1" ht="157.5" x14ac:dyDescent="0.25">
      <c r="A141" s="1">
        <v>1</v>
      </c>
      <c r="B141" s="13" t="s">
        <v>1746</v>
      </c>
      <c r="C141" s="588"/>
      <c r="D141" s="589"/>
      <c r="E141" s="10" t="s">
        <v>293</v>
      </c>
      <c r="F141" s="13" t="s">
        <v>294</v>
      </c>
      <c r="G141" s="588"/>
      <c r="H141" s="589"/>
      <c r="I141" s="10" t="s">
        <v>510</v>
      </c>
      <c r="J141" s="13" t="s">
        <v>511</v>
      </c>
      <c r="K141" s="572"/>
      <c r="L141" s="573"/>
      <c r="M141" s="10" t="s">
        <v>562</v>
      </c>
      <c r="N141" s="13" t="s">
        <v>566</v>
      </c>
      <c r="O141" s="13" t="s">
        <v>566</v>
      </c>
      <c r="P141" s="10">
        <v>56</v>
      </c>
      <c r="Q141" s="10">
        <v>56</v>
      </c>
      <c r="R141" s="10" t="s">
        <v>570</v>
      </c>
      <c r="S141" s="13" t="s">
        <v>571</v>
      </c>
      <c r="T141" s="13" t="s">
        <v>571</v>
      </c>
      <c r="U141" s="1"/>
      <c r="V141" s="27">
        <v>20</v>
      </c>
      <c r="W141" s="10" t="s">
        <v>412</v>
      </c>
      <c r="X141" s="1"/>
      <c r="Y141" s="1" t="s">
        <v>302</v>
      </c>
      <c r="Z141" s="1" t="s">
        <v>303</v>
      </c>
      <c r="AA141" s="24"/>
      <c r="AB141" s="10" t="s">
        <v>1762</v>
      </c>
      <c r="AC141" s="162">
        <v>5</v>
      </c>
      <c r="AD141" s="156">
        <v>5</v>
      </c>
      <c r="AE141" s="156">
        <v>5</v>
      </c>
      <c r="AF141" s="156">
        <v>5</v>
      </c>
      <c r="AG141" s="377">
        <f t="shared" si="15"/>
        <v>20</v>
      </c>
      <c r="AH141" s="377" t="b">
        <f t="shared" si="20"/>
        <v>1</v>
      </c>
      <c r="AI141" s="32">
        <v>1</v>
      </c>
      <c r="AJ141" s="32">
        <v>1</v>
      </c>
      <c r="AK141" s="32">
        <v>10</v>
      </c>
      <c r="AL141" s="32">
        <v>10</v>
      </c>
      <c r="AM141" s="16">
        <f t="shared" si="21"/>
        <v>0.5</v>
      </c>
      <c r="AN141" s="162">
        <v>5</v>
      </c>
      <c r="AO141" s="32">
        <v>1</v>
      </c>
      <c r="AP141" s="32">
        <v>1</v>
      </c>
      <c r="AQ141" s="32"/>
      <c r="AR141" s="311">
        <f t="shared" si="18"/>
        <v>10</v>
      </c>
      <c r="AS141" s="21">
        <v>1</v>
      </c>
      <c r="AT141" s="1">
        <f t="shared" si="14"/>
        <v>10</v>
      </c>
      <c r="AU141" s="31"/>
      <c r="AV141" s="31"/>
      <c r="AW141" s="31"/>
      <c r="AX141" s="16">
        <f t="shared" si="17"/>
        <v>0.5</v>
      </c>
      <c r="AY141" s="156">
        <v>5</v>
      </c>
      <c r="AZ141" s="371">
        <v>0</v>
      </c>
      <c r="BA141" s="456"/>
      <c r="BB141" s="31"/>
      <c r="BC141" s="31"/>
      <c r="BD141" s="16">
        <f t="shared" si="16"/>
        <v>0</v>
      </c>
      <c r="BE141" s="31"/>
      <c r="BF141" s="31"/>
      <c r="BG141" s="31"/>
      <c r="BH141" s="31"/>
      <c r="BI141" s="16"/>
      <c r="BJ141" s="16"/>
      <c r="BK141" s="31"/>
      <c r="BL141" s="31"/>
      <c r="BM141" s="31"/>
      <c r="BN141" s="31"/>
      <c r="BO141" s="16"/>
      <c r="BP141" s="31"/>
      <c r="BQ141" s="31"/>
      <c r="BR141" s="31"/>
      <c r="BS141" s="31"/>
      <c r="BT141" s="16"/>
      <c r="BU141" s="16"/>
      <c r="BV141" s="16"/>
      <c r="BW141" s="16"/>
      <c r="BX141" s="16"/>
      <c r="BY141" s="16"/>
      <c r="BZ141" s="16"/>
      <c r="CA141" s="27"/>
      <c r="CB141" s="27"/>
      <c r="CC141" s="1"/>
    </row>
    <row r="142" spans="1:81" s="52" customFormat="1" ht="78.75" x14ac:dyDescent="0.25">
      <c r="A142" s="1">
        <v>1</v>
      </c>
      <c r="B142" s="13" t="s">
        <v>1746</v>
      </c>
      <c r="C142" s="588"/>
      <c r="D142" s="589"/>
      <c r="E142" s="10" t="s">
        <v>293</v>
      </c>
      <c r="F142" s="13" t="s">
        <v>294</v>
      </c>
      <c r="G142" s="588"/>
      <c r="H142" s="589"/>
      <c r="I142" s="10" t="s">
        <v>510</v>
      </c>
      <c r="J142" s="13" t="s">
        <v>511</v>
      </c>
      <c r="K142" s="568"/>
      <c r="L142" s="570"/>
      <c r="M142" s="10" t="s">
        <v>572</v>
      </c>
      <c r="N142" s="10" t="s">
        <v>573</v>
      </c>
      <c r="O142" s="13" t="s">
        <v>573</v>
      </c>
      <c r="P142" s="10">
        <v>100</v>
      </c>
      <c r="Q142" s="10">
        <v>100</v>
      </c>
      <c r="R142" s="10" t="s">
        <v>574</v>
      </c>
      <c r="S142" s="13" t="s">
        <v>575</v>
      </c>
      <c r="T142" s="13" t="s">
        <v>575</v>
      </c>
      <c r="U142" s="1"/>
      <c r="V142" s="1">
        <v>6</v>
      </c>
      <c r="W142" s="10" t="s">
        <v>412</v>
      </c>
      <c r="X142" s="1"/>
      <c r="Y142" s="1" t="s">
        <v>302</v>
      </c>
      <c r="Z142" s="1" t="s">
        <v>303</v>
      </c>
      <c r="AA142" s="24"/>
      <c r="AB142" s="10" t="s">
        <v>1762</v>
      </c>
      <c r="AC142" s="162">
        <v>1</v>
      </c>
      <c r="AD142" s="156">
        <v>2</v>
      </c>
      <c r="AE142" s="156">
        <v>2</v>
      </c>
      <c r="AF142" s="156">
        <v>1</v>
      </c>
      <c r="AG142" s="377">
        <f t="shared" si="15"/>
        <v>6</v>
      </c>
      <c r="AH142" s="377" t="b">
        <f t="shared" si="20"/>
        <v>1</v>
      </c>
      <c r="AI142" s="1">
        <v>1</v>
      </c>
      <c r="AJ142" s="1">
        <v>1</v>
      </c>
      <c r="AK142" s="1">
        <v>1</v>
      </c>
      <c r="AL142" s="1">
        <v>1</v>
      </c>
      <c r="AM142" s="16">
        <f t="shared" si="21"/>
        <v>0.16666666666666666</v>
      </c>
      <c r="AN142" s="162">
        <v>1</v>
      </c>
      <c r="AO142" s="1">
        <v>1</v>
      </c>
      <c r="AP142" s="1">
        <v>1</v>
      </c>
      <c r="AQ142" s="1"/>
      <c r="AR142" s="311">
        <f t="shared" si="18"/>
        <v>1</v>
      </c>
      <c r="AS142" s="21">
        <f t="shared" si="19"/>
        <v>1</v>
      </c>
      <c r="AT142" s="1">
        <f t="shared" si="14"/>
        <v>1</v>
      </c>
      <c r="AU142" s="31"/>
      <c r="AV142" s="31"/>
      <c r="AW142" s="31"/>
      <c r="AX142" s="16">
        <f t="shared" si="17"/>
        <v>0.16666666666666666</v>
      </c>
      <c r="AY142" s="156">
        <v>2</v>
      </c>
      <c r="AZ142" s="371">
        <v>0</v>
      </c>
      <c r="BA142" s="456"/>
      <c r="BB142" s="31"/>
      <c r="BC142" s="31"/>
      <c r="BD142" s="16">
        <f t="shared" si="16"/>
        <v>0</v>
      </c>
      <c r="BE142" s="31"/>
      <c r="BF142" s="31"/>
      <c r="BG142" s="31"/>
      <c r="BH142" s="31"/>
      <c r="BI142" s="16"/>
      <c r="BJ142" s="16"/>
      <c r="BK142" s="31"/>
      <c r="BL142" s="31"/>
      <c r="BM142" s="31"/>
      <c r="BN142" s="31"/>
      <c r="BO142" s="16"/>
      <c r="BP142" s="31"/>
      <c r="BQ142" s="31"/>
      <c r="BR142" s="31"/>
      <c r="BS142" s="31"/>
      <c r="BT142" s="16"/>
      <c r="BU142" s="16"/>
      <c r="BV142" s="16"/>
      <c r="BW142" s="16"/>
      <c r="BX142" s="16"/>
      <c r="BY142" s="16"/>
      <c r="BZ142" s="16"/>
      <c r="CA142" s="1"/>
      <c r="CB142" s="1"/>
      <c r="CC142" s="1"/>
    </row>
    <row r="143" spans="1:81" s="52" customFormat="1" ht="103.15" customHeight="1" x14ac:dyDescent="0.25">
      <c r="A143" s="1">
        <v>1</v>
      </c>
      <c r="B143" s="13" t="s">
        <v>1746</v>
      </c>
      <c r="C143" s="588"/>
      <c r="D143" s="589"/>
      <c r="E143" s="10" t="s">
        <v>293</v>
      </c>
      <c r="F143" s="13" t="s">
        <v>294</v>
      </c>
      <c r="G143" s="588"/>
      <c r="H143" s="589"/>
      <c r="I143" s="10" t="s">
        <v>576</v>
      </c>
      <c r="J143" s="13" t="s">
        <v>577</v>
      </c>
      <c r="K143" s="567">
        <f>AVERAGE(AX143:AX170)</f>
        <v>0.29796334722086598</v>
      </c>
      <c r="L143" s="569">
        <f>AVERAGE(BD143:BD170)</f>
        <v>0.29579782790309106</v>
      </c>
      <c r="M143" s="10" t="s">
        <v>578</v>
      </c>
      <c r="N143" s="10" t="s">
        <v>579</v>
      </c>
      <c r="O143" s="13" t="s">
        <v>579</v>
      </c>
      <c r="P143" s="10">
        <v>100</v>
      </c>
      <c r="Q143" s="10">
        <v>100</v>
      </c>
      <c r="R143" s="10" t="s">
        <v>580</v>
      </c>
      <c r="S143" s="13" t="s">
        <v>581</v>
      </c>
      <c r="T143" s="13" t="s">
        <v>581</v>
      </c>
      <c r="U143" s="1"/>
      <c r="V143" s="27">
        <v>45</v>
      </c>
      <c r="W143" s="10" t="s">
        <v>420</v>
      </c>
      <c r="X143" s="1"/>
      <c r="Y143" s="1" t="s">
        <v>302</v>
      </c>
      <c r="Z143" s="1" t="s">
        <v>303</v>
      </c>
      <c r="AA143" s="24"/>
      <c r="AB143" s="10" t="s">
        <v>1762</v>
      </c>
      <c r="AC143" s="162">
        <v>45</v>
      </c>
      <c r="AD143" s="156">
        <v>45</v>
      </c>
      <c r="AE143" s="156">
        <v>45</v>
      </c>
      <c r="AF143" s="156">
        <v>45</v>
      </c>
      <c r="AG143" s="377">
        <f t="shared" si="15"/>
        <v>180</v>
      </c>
      <c r="AH143" s="377" t="b">
        <f t="shared" si="20"/>
        <v>0</v>
      </c>
      <c r="AI143" s="32">
        <v>15</v>
      </c>
      <c r="AJ143" s="32">
        <v>22</v>
      </c>
      <c r="AK143" s="32">
        <v>45</v>
      </c>
      <c r="AL143" s="32">
        <v>45</v>
      </c>
      <c r="AM143" s="16">
        <f t="shared" si="21"/>
        <v>1</v>
      </c>
      <c r="AN143" s="162">
        <v>45</v>
      </c>
      <c r="AO143" s="32">
        <v>15</v>
      </c>
      <c r="AP143" s="32">
        <v>22</v>
      </c>
      <c r="AQ143" s="32"/>
      <c r="AR143" s="311">
        <f t="shared" si="18"/>
        <v>45</v>
      </c>
      <c r="AS143" s="21">
        <f t="shared" si="19"/>
        <v>1</v>
      </c>
      <c r="AT143" s="1">
        <f t="shared" ref="AT143:AT206" si="22">IF(W143="Mantenimiento",(AL143+AZ143)/4*100%,AL143+AZ143)</f>
        <v>13.25</v>
      </c>
      <c r="AU143" s="31"/>
      <c r="AV143" s="31"/>
      <c r="AW143" s="31"/>
      <c r="AX143" s="16">
        <f t="shared" si="17"/>
        <v>0.29444444444444445</v>
      </c>
      <c r="AY143" s="156">
        <v>45</v>
      </c>
      <c r="AZ143" s="371">
        <v>8</v>
      </c>
      <c r="BA143" s="456"/>
      <c r="BB143" s="31"/>
      <c r="BC143" s="31"/>
      <c r="BD143" s="16">
        <f t="shared" si="16"/>
        <v>0.17777777777777778</v>
      </c>
      <c r="BE143" s="31"/>
      <c r="BF143" s="31"/>
      <c r="BG143" s="31"/>
      <c r="BH143" s="31"/>
      <c r="BI143" s="16"/>
      <c r="BJ143" s="16"/>
      <c r="BK143" s="31"/>
      <c r="BL143" s="31"/>
      <c r="BM143" s="31"/>
      <c r="BN143" s="31"/>
      <c r="BO143" s="16"/>
      <c r="BP143" s="31"/>
      <c r="BQ143" s="31"/>
      <c r="BR143" s="31"/>
      <c r="BS143" s="31"/>
      <c r="BT143" s="16"/>
      <c r="BU143" s="16"/>
      <c r="BV143" s="16"/>
      <c r="BW143" s="16"/>
      <c r="BX143" s="16"/>
      <c r="BY143" s="16"/>
      <c r="BZ143" s="16"/>
      <c r="CA143" s="27"/>
      <c r="CB143" s="27"/>
      <c r="CC143" s="1"/>
    </row>
    <row r="144" spans="1:81" s="52" customFormat="1" ht="110.25" x14ac:dyDescent="0.25">
      <c r="A144" s="1">
        <v>1</v>
      </c>
      <c r="B144" s="13" t="s">
        <v>1746</v>
      </c>
      <c r="C144" s="588"/>
      <c r="D144" s="589"/>
      <c r="E144" s="10" t="s">
        <v>293</v>
      </c>
      <c r="F144" s="13" t="s">
        <v>294</v>
      </c>
      <c r="G144" s="588"/>
      <c r="H144" s="589"/>
      <c r="I144" s="10" t="s">
        <v>576</v>
      </c>
      <c r="J144" s="13" t="s">
        <v>577</v>
      </c>
      <c r="K144" s="572"/>
      <c r="L144" s="573"/>
      <c r="M144" s="10" t="s">
        <v>578</v>
      </c>
      <c r="N144" s="10" t="s">
        <v>582</v>
      </c>
      <c r="O144" s="13" t="s">
        <v>582</v>
      </c>
      <c r="P144" s="10">
        <v>100</v>
      </c>
      <c r="Q144" s="10">
        <v>100</v>
      </c>
      <c r="R144" s="10" t="s">
        <v>583</v>
      </c>
      <c r="S144" s="13" t="s">
        <v>584</v>
      </c>
      <c r="T144" s="13" t="s">
        <v>584</v>
      </c>
      <c r="U144" s="1"/>
      <c r="V144" s="1">
        <v>45</v>
      </c>
      <c r="W144" s="10" t="s">
        <v>420</v>
      </c>
      <c r="X144" s="1"/>
      <c r="Y144" s="1" t="s">
        <v>302</v>
      </c>
      <c r="Z144" s="1" t="s">
        <v>303</v>
      </c>
      <c r="AA144" s="24"/>
      <c r="AB144" s="10" t="s">
        <v>1762</v>
      </c>
      <c r="AC144" s="162">
        <v>45</v>
      </c>
      <c r="AD144" s="156">
        <v>45</v>
      </c>
      <c r="AE144" s="156">
        <v>45</v>
      </c>
      <c r="AF144" s="156">
        <v>45</v>
      </c>
      <c r="AG144" s="377">
        <f t="shared" si="15"/>
        <v>180</v>
      </c>
      <c r="AH144" s="377" t="b">
        <f t="shared" si="20"/>
        <v>0</v>
      </c>
      <c r="AI144" s="27">
        <v>45</v>
      </c>
      <c r="AJ144" s="27">
        <v>45</v>
      </c>
      <c r="AK144" s="27">
        <v>45</v>
      </c>
      <c r="AL144" s="27">
        <v>45</v>
      </c>
      <c r="AM144" s="16">
        <f t="shared" si="21"/>
        <v>1</v>
      </c>
      <c r="AN144" s="162">
        <v>45</v>
      </c>
      <c r="AO144" s="27">
        <v>45</v>
      </c>
      <c r="AP144" s="27">
        <v>45</v>
      </c>
      <c r="AQ144" s="27"/>
      <c r="AR144" s="311">
        <f t="shared" si="18"/>
        <v>45</v>
      </c>
      <c r="AS144" s="21">
        <f t="shared" si="19"/>
        <v>1</v>
      </c>
      <c r="AT144" s="1">
        <f t="shared" si="22"/>
        <v>11.25</v>
      </c>
      <c r="AU144" s="31"/>
      <c r="AV144" s="31"/>
      <c r="AW144" s="31"/>
      <c r="AX144" s="16">
        <f t="shared" si="17"/>
        <v>0.25</v>
      </c>
      <c r="AY144" s="156">
        <v>45</v>
      </c>
      <c r="AZ144" s="371">
        <v>0</v>
      </c>
      <c r="BA144" s="456"/>
      <c r="BB144" s="31"/>
      <c r="BC144" s="31"/>
      <c r="BD144" s="16">
        <f t="shared" si="16"/>
        <v>0</v>
      </c>
      <c r="BE144" s="31"/>
      <c r="BF144" s="31"/>
      <c r="BG144" s="31"/>
      <c r="BH144" s="31"/>
      <c r="BI144" s="16"/>
      <c r="BJ144" s="16"/>
      <c r="BK144" s="31"/>
      <c r="BL144" s="31"/>
      <c r="BM144" s="31"/>
      <c r="BN144" s="31"/>
      <c r="BO144" s="16"/>
      <c r="BP144" s="31"/>
      <c r="BQ144" s="31"/>
      <c r="BR144" s="31"/>
      <c r="BS144" s="31"/>
      <c r="BT144" s="16"/>
      <c r="BU144" s="16"/>
      <c r="BV144" s="16"/>
      <c r="BW144" s="16"/>
      <c r="BX144" s="16"/>
      <c r="BY144" s="16"/>
      <c r="BZ144" s="16"/>
      <c r="CA144" s="27"/>
      <c r="CB144" s="27"/>
      <c r="CC144" s="1"/>
    </row>
    <row r="145" spans="1:81" s="52" customFormat="1" ht="63" x14ac:dyDescent="0.25">
      <c r="A145" s="1">
        <v>1</v>
      </c>
      <c r="B145" s="13" t="s">
        <v>1746</v>
      </c>
      <c r="C145" s="588"/>
      <c r="D145" s="589"/>
      <c r="E145" s="10" t="s">
        <v>293</v>
      </c>
      <c r="F145" s="13" t="s">
        <v>294</v>
      </c>
      <c r="G145" s="588"/>
      <c r="H145" s="589"/>
      <c r="I145" s="10" t="s">
        <v>576</v>
      </c>
      <c r="J145" s="13" t="s">
        <v>577</v>
      </c>
      <c r="K145" s="572"/>
      <c r="L145" s="573"/>
      <c r="M145" s="10" t="s">
        <v>578</v>
      </c>
      <c r="N145" s="10" t="s">
        <v>585</v>
      </c>
      <c r="O145" s="13" t="s">
        <v>585</v>
      </c>
      <c r="P145" s="10">
        <v>20</v>
      </c>
      <c r="Q145" s="10">
        <v>20</v>
      </c>
      <c r="R145" s="10" t="s">
        <v>586</v>
      </c>
      <c r="S145" s="13" t="s">
        <v>587</v>
      </c>
      <c r="T145" s="13" t="s">
        <v>587</v>
      </c>
      <c r="U145" s="1"/>
      <c r="V145" s="1">
        <v>22</v>
      </c>
      <c r="W145" s="10" t="s">
        <v>412</v>
      </c>
      <c r="X145" s="1"/>
      <c r="Y145" s="1"/>
      <c r="Z145" s="1"/>
      <c r="AA145" s="24"/>
      <c r="AB145" s="10" t="s">
        <v>1762</v>
      </c>
      <c r="AC145" s="162">
        <v>5</v>
      </c>
      <c r="AD145" s="156">
        <v>6</v>
      </c>
      <c r="AE145" s="156">
        <v>6</v>
      </c>
      <c r="AF145" s="156">
        <v>5</v>
      </c>
      <c r="AG145" s="377">
        <f t="shared" si="15"/>
        <v>22</v>
      </c>
      <c r="AH145" s="377" t="b">
        <f t="shared" si="20"/>
        <v>1</v>
      </c>
      <c r="AI145" s="27">
        <v>1</v>
      </c>
      <c r="AJ145" s="27">
        <v>2</v>
      </c>
      <c r="AK145" s="27">
        <v>5</v>
      </c>
      <c r="AL145" s="27">
        <v>5</v>
      </c>
      <c r="AM145" s="16">
        <f t="shared" si="21"/>
        <v>0.22727272727272727</v>
      </c>
      <c r="AN145" s="162">
        <v>5</v>
      </c>
      <c r="AO145" s="27">
        <v>1</v>
      </c>
      <c r="AP145" s="27">
        <v>2</v>
      </c>
      <c r="AQ145" s="27"/>
      <c r="AR145" s="311">
        <f t="shared" si="18"/>
        <v>5</v>
      </c>
      <c r="AS145" s="21">
        <f t="shared" si="19"/>
        <v>1</v>
      </c>
      <c r="AT145" s="1">
        <f t="shared" si="22"/>
        <v>5</v>
      </c>
      <c r="AU145" s="31"/>
      <c r="AV145" s="31"/>
      <c r="AW145" s="31"/>
      <c r="AX145" s="16">
        <f t="shared" si="17"/>
        <v>0.22727272727272727</v>
      </c>
      <c r="AY145" s="156">
        <v>6</v>
      </c>
      <c r="AZ145" s="371">
        <v>0</v>
      </c>
      <c r="BA145" s="456"/>
      <c r="BB145" s="31"/>
      <c r="BC145" s="31"/>
      <c r="BD145" s="16">
        <f t="shared" si="16"/>
        <v>0</v>
      </c>
      <c r="BE145" s="31"/>
      <c r="BF145" s="31"/>
      <c r="BG145" s="31"/>
      <c r="BH145" s="31"/>
      <c r="BI145" s="16"/>
      <c r="BJ145" s="16"/>
      <c r="BK145" s="31"/>
      <c r="BL145" s="31"/>
      <c r="BM145" s="31"/>
      <c r="BN145" s="31"/>
      <c r="BO145" s="16"/>
      <c r="BP145" s="31"/>
      <c r="BQ145" s="31"/>
      <c r="BR145" s="31"/>
      <c r="BS145" s="31"/>
      <c r="BT145" s="16"/>
      <c r="BU145" s="16"/>
      <c r="BV145" s="16"/>
      <c r="BW145" s="16"/>
      <c r="BX145" s="16"/>
      <c r="BY145" s="16"/>
      <c r="BZ145" s="16"/>
      <c r="CA145" s="27"/>
      <c r="CB145" s="27"/>
      <c r="CC145" s="1"/>
    </row>
    <row r="146" spans="1:81" s="52" customFormat="1" ht="96" customHeight="1" x14ac:dyDescent="0.25">
      <c r="A146" s="1">
        <v>1</v>
      </c>
      <c r="B146" s="13" t="s">
        <v>1746</v>
      </c>
      <c r="C146" s="588"/>
      <c r="D146" s="589"/>
      <c r="E146" s="10" t="s">
        <v>293</v>
      </c>
      <c r="F146" s="13" t="s">
        <v>294</v>
      </c>
      <c r="G146" s="588"/>
      <c r="H146" s="589"/>
      <c r="I146" s="10" t="s">
        <v>576</v>
      </c>
      <c r="J146" s="13" t="s">
        <v>577</v>
      </c>
      <c r="K146" s="572"/>
      <c r="L146" s="573"/>
      <c r="M146" s="10"/>
      <c r="N146" s="23" t="s">
        <v>588</v>
      </c>
      <c r="O146" s="13" t="s">
        <v>588</v>
      </c>
      <c r="P146" s="10" t="s">
        <v>589</v>
      </c>
      <c r="Q146" s="10">
        <v>80</v>
      </c>
      <c r="R146" s="13"/>
      <c r="S146" s="13" t="s">
        <v>590</v>
      </c>
      <c r="T146" s="13" t="s">
        <v>590</v>
      </c>
      <c r="U146" s="1"/>
      <c r="V146" s="1">
        <v>45</v>
      </c>
      <c r="W146" s="10" t="s">
        <v>412</v>
      </c>
      <c r="X146" s="1"/>
      <c r="Y146" s="1" t="s">
        <v>302</v>
      </c>
      <c r="Z146" s="1" t="s">
        <v>303</v>
      </c>
      <c r="AA146" s="24"/>
      <c r="AB146" s="10" t="s">
        <v>1762</v>
      </c>
      <c r="AC146" s="162">
        <v>10</v>
      </c>
      <c r="AD146" s="156">
        <v>10</v>
      </c>
      <c r="AE146" s="156">
        <v>15</v>
      </c>
      <c r="AF146" s="156">
        <v>10</v>
      </c>
      <c r="AG146" s="377">
        <f t="shared" ref="AG146:AG206" si="23">SUBTOTAL(9,AC146:AF146)</f>
        <v>45</v>
      </c>
      <c r="AH146" s="377" t="b">
        <f t="shared" si="20"/>
        <v>1</v>
      </c>
      <c r="AI146" s="1">
        <v>7</v>
      </c>
      <c r="AJ146" s="1">
        <v>7</v>
      </c>
      <c r="AK146" s="1">
        <v>10</v>
      </c>
      <c r="AL146" s="1">
        <v>10</v>
      </c>
      <c r="AM146" s="16">
        <f t="shared" si="21"/>
        <v>0.22222222222222221</v>
      </c>
      <c r="AN146" s="162">
        <v>10</v>
      </c>
      <c r="AO146" s="1">
        <v>7</v>
      </c>
      <c r="AP146" s="1">
        <v>7</v>
      </c>
      <c r="AQ146" s="1"/>
      <c r="AR146" s="311">
        <f t="shared" si="18"/>
        <v>10</v>
      </c>
      <c r="AS146" s="21">
        <f t="shared" si="19"/>
        <v>1</v>
      </c>
      <c r="AT146" s="1">
        <f t="shared" si="22"/>
        <v>13</v>
      </c>
      <c r="AU146" s="31"/>
      <c r="AV146" s="31"/>
      <c r="AW146" s="31"/>
      <c r="AX146" s="16">
        <f t="shared" si="17"/>
        <v>0.28888888888888886</v>
      </c>
      <c r="AY146" s="156">
        <v>10</v>
      </c>
      <c r="AZ146" s="371">
        <v>3</v>
      </c>
      <c r="BA146" s="457"/>
      <c r="BB146" s="31"/>
      <c r="BC146" s="31"/>
      <c r="BD146" s="16">
        <f t="shared" ref="BD146:BD207" si="24">IFERROR(IF((+AZ146/AY146)&gt;100%,100%,(+AZ146/AY146)),"NP")</f>
        <v>0.3</v>
      </c>
      <c r="BE146" s="31"/>
      <c r="BF146" s="31"/>
      <c r="BG146" s="31"/>
      <c r="BH146" s="31"/>
      <c r="BI146" s="16"/>
      <c r="BJ146" s="16"/>
      <c r="BK146" s="31"/>
      <c r="BL146" s="31"/>
      <c r="BM146" s="31"/>
      <c r="BN146" s="31"/>
      <c r="BO146" s="16"/>
      <c r="BP146" s="31"/>
      <c r="BQ146" s="31"/>
      <c r="BR146" s="31"/>
      <c r="BS146" s="31"/>
      <c r="BT146" s="16"/>
      <c r="BU146" s="16"/>
      <c r="BV146" s="16"/>
      <c r="BW146" s="16"/>
      <c r="BX146" s="16"/>
      <c r="BY146" s="16"/>
      <c r="BZ146" s="16"/>
      <c r="CA146" s="1"/>
      <c r="CB146" s="1"/>
      <c r="CC146" s="1"/>
    </row>
    <row r="147" spans="1:81" s="52" customFormat="1" ht="129" customHeight="1" x14ac:dyDescent="0.25">
      <c r="A147" s="1">
        <v>1</v>
      </c>
      <c r="B147" s="13" t="s">
        <v>1746</v>
      </c>
      <c r="C147" s="588"/>
      <c r="D147" s="589"/>
      <c r="E147" s="10" t="s">
        <v>293</v>
      </c>
      <c r="F147" s="13" t="s">
        <v>294</v>
      </c>
      <c r="G147" s="588"/>
      <c r="H147" s="589"/>
      <c r="I147" s="10" t="s">
        <v>576</v>
      </c>
      <c r="J147" s="13" t="s">
        <v>577</v>
      </c>
      <c r="K147" s="572"/>
      <c r="L147" s="573"/>
      <c r="M147" s="10"/>
      <c r="N147" s="23" t="s">
        <v>588</v>
      </c>
      <c r="O147" s="13" t="s">
        <v>588</v>
      </c>
      <c r="P147" s="10" t="s">
        <v>589</v>
      </c>
      <c r="Q147" s="10">
        <v>81</v>
      </c>
      <c r="R147" s="13"/>
      <c r="S147" s="13" t="s">
        <v>591</v>
      </c>
      <c r="T147" s="13" t="s">
        <v>591</v>
      </c>
      <c r="U147" s="1"/>
      <c r="V147" s="26">
        <v>1</v>
      </c>
      <c r="W147" s="10" t="s">
        <v>78</v>
      </c>
      <c r="X147" s="1"/>
      <c r="Y147" s="1" t="s">
        <v>302</v>
      </c>
      <c r="Z147" s="1" t="s">
        <v>303</v>
      </c>
      <c r="AA147" s="24"/>
      <c r="AB147" s="10" t="s">
        <v>1762</v>
      </c>
      <c r="AC147" s="162">
        <v>1</v>
      </c>
      <c r="AD147" s="156">
        <v>1</v>
      </c>
      <c r="AE147" s="156">
        <v>1</v>
      </c>
      <c r="AF147" s="156">
        <v>1</v>
      </c>
      <c r="AG147" s="377">
        <f t="shared" si="23"/>
        <v>4</v>
      </c>
      <c r="AH147" s="377" t="b">
        <f t="shared" si="20"/>
        <v>0</v>
      </c>
      <c r="AI147" s="335">
        <v>0.5</v>
      </c>
      <c r="AJ147" s="26">
        <v>0.75</v>
      </c>
      <c r="AK147" s="26">
        <v>1</v>
      </c>
      <c r="AL147" s="26">
        <v>1</v>
      </c>
      <c r="AM147" s="16">
        <f t="shared" si="21"/>
        <v>1</v>
      </c>
      <c r="AN147" s="162">
        <v>1</v>
      </c>
      <c r="AO147" s="26">
        <v>0.25</v>
      </c>
      <c r="AP147" s="26">
        <v>0.5</v>
      </c>
      <c r="AQ147" s="26"/>
      <c r="AR147" s="33">
        <f t="shared" si="18"/>
        <v>1</v>
      </c>
      <c r="AS147" s="21">
        <f t="shared" si="19"/>
        <v>1</v>
      </c>
      <c r="AT147" s="1">
        <f t="shared" si="22"/>
        <v>0.5</v>
      </c>
      <c r="AU147" s="31"/>
      <c r="AV147" s="31"/>
      <c r="AW147" s="31"/>
      <c r="AX147" s="16">
        <f t="shared" si="17"/>
        <v>0.5</v>
      </c>
      <c r="AY147" s="156">
        <v>1</v>
      </c>
      <c r="AZ147" s="371">
        <v>1</v>
      </c>
      <c r="BA147" s="457"/>
      <c r="BB147" s="31"/>
      <c r="BC147" s="31"/>
      <c r="BD147" s="16">
        <f t="shared" si="24"/>
        <v>1</v>
      </c>
      <c r="BE147" s="31"/>
      <c r="BF147" s="31"/>
      <c r="BG147" s="31"/>
      <c r="BH147" s="31"/>
      <c r="BI147" s="16"/>
      <c r="BJ147" s="16"/>
      <c r="BK147" s="31"/>
      <c r="BL147" s="31"/>
      <c r="BM147" s="31"/>
      <c r="BN147" s="31"/>
      <c r="BO147" s="16"/>
      <c r="BP147" s="31"/>
      <c r="BQ147" s="31"/>
      <c r="BR147" s="31"/>
      <c r="BS147" s="31"/>
      <c r="BT147" s="16"/>
      <c r="BU147" s="16"/>
      <c r="BV147" s="16"/>
      <c r="BW147" s="16"/>
      <c r="BX147" s="16"/>
      <c r="BY147" s="16"/>
      <c r="BZ147" s="16"/>
      <c r="CA147" s="26"/>
      <c r="CB147" s="26"/>
      <c r="CC147" s="1"/>
    </row>
    <row r="148" spans="1:81" s="52" customFormat="1" ht="78.75" x14ac:dyDescent="0.25">
      <c r="A148" s="1">
        <v>1</v>
      </c>
      <c r="B148" s="13" t="s">
        <v>1746</v>
      </c>
      <c r="C148" s="588"/>
      <c r="D148" s="589"/>
      <c r="E148" s="10" t="s">
        <v>293</v>
      </c>
      <c r="F148" s="13" t="s">
        <v>294</v>
      </c>
      <c r="G148" s="588"/>
      <c r="H148" s="589"/>
      <c r="I148" s="10" t="s">
        <v>576</v>
      </c>
      <c r="J148" s="13" t="s">
        <v>577</v>
      </c>
      <c r="K148" s="572"/>
      <c r="L148" s="573"/>
      <c r="M148" s="10"/>
      <c r="N148" s="23" t="s">
        <v>588</v>
      </c>
      <c r="O148" s="13" t="s">
        <v>588</v>
      </c>
      <c r="P148" s="10" t="s">
        <v>589</v>
      </c>
      <c r="Q148" s="10">
        <v>82</v>
      </c>
      <c r="R148" s="13"/>
      <c r="S148" s="13" t="s">
        <v>592</v>
      </c>
      <c r="T148" s="13" t="s">
        <v>592</v>
      </c>
      <c r="U148" s="1"/>
      <c r="V148" s="26">
        <v>1</v>
      </c>
      <c r="W148" s="10" t="s">
        <v>420</v>
      </c>
      <c r="X148" s="1"/>
      <c r="Y148" s="1" t="s">
        <v>302</v>
      </c>
      <c r="Z148" s="1" t="s">
        <v>303</v>
      </c>
      <c r="AA148" s="24"/>
      <c r="AB148" s="10" t="s">
        <v>1762</v>
      </c>
      <c r="AC148" s="162">
        <v>1</v>
      </c>
      <c r="AD148" s="156">
        <v>1</v>
      </c>
      <c r="AE148" s="156">
        <v>1</v>
      </c>
      <c r="AF148" s="156">
        <v>1</v>
      </c>
      <c r="AG148" s="377">
        <f t="shared" si="23"/>
        <v>4</v>
      </c>
      <c r="AH148" s="377" t="b">
        <f t="shared" si="20"/>
        <v>0</v>
      </c>
      <c r="AI148" s="335">
        <v>0.5</v>
      </c>
      <c r="AJ148" s="26">
        <v>0.75</v>
      </c>
      <c r="AK148" s="26">
        <v>1</v>
      </c>
      <c r="AL148" s="26">
        <v>1</v>
      </c>
      <c r="AM148" s="16">
        <f t="shared" si="21"/>
        <v>1</v>
      </c>
      <c r="AN148" s="162">
        <v>1</v>
      </c>
      <c r="AO148" s="26">
        <v>0.25</v>
      </c>
      <c r="AP148" s="26">
        <v>0.5</v>
      </c>
      <c r="AQ148" s="26"/>
      <c r="AR148" s="33">
        <f t="shared" si="18"/>
        <v>1</v>
      </c>
      <c r="AS148" s="21">
        <f t="shared" si="19"/>
        <v>1</v>
      </c>
      <c r="AT148" s="1">
        <f t="shared" si="22"/>
        <v>0.26250000000000001</v>
      </c>
      <c r="AU148" s="31"/>
      <c r="AV148" s="31"/>
      <c r="AW148" s="31"/>
      <c r="AX148" s="16">
        <f t="shared" si="17"/>
        <v>0.26250000000000001</v>
      </c>
      <c r="AY148" s="156">
        <v>1</v>
      </c>
      <c r="AZ148" s="371">
        <v>0.05</v>
      </c>
      <c r="BA148" s="457"/>
      <c r="BB148" s="31"/>
      <c r="BC148" s="31"/>
      <c r="BD148" s="16">
        <f t="shared" si="24"/>
        <v>0.05</v>
      </c>
      <c r="BE148" s="31"/>
      <c r="BF148" s="31"/>
      <c r="BG148" s="31"/>
      <c r="BH148" s="31"/>
      <c r="BI148" s="16"/>
      <c r="BJ148" s="16"/>
      <c r="BK148" s="31"/>
      <c r="BL148" s="31"/>
      <c r="BM148" s="31"/>
      <c r="BN148" s="31"/>
      <c r="BO148" s="16"/>
      <c r="BP148" s="31"/>
      <c r="BQ148" s="31"/>
      <c r="BR148" s="31"/>
      <c r="BS148" s="31"/>
      <c r="BT148" s="16"/>
      <c r="BU148" s="16"/>
      <c r="BV148" s="16"/>
      <c r="BW148" s="16"/>
      <c r="BX148" s="16"/>
      <c r="BY148" s="16"/>
      <c r="BZ148" s="16"/>
      <c r="CA148" s="26"/>
      <c r="CB148" s="26"/>
      <c r="CC148" s="1"/>
    </row>
    <row r="149" spans="1:81" s="52" customFormat="1" ht="110.25" x14ac:dyDescent="0.25">
      <c r="A149" s="1">
        <v>1</v>
      </c>
      <c r="B149" s="13" t="s">
        <v>1746</v>
      </c>
      <c r="C149" s="588"/>
      <c r="D149" s="589"/>
      <c r="E149" s="10" t="s">
        <v>293</v>
      </c>
      <c r="F149" s="13" t="s">
        <v>294</v>
      </c>
      <c r="G149" s="588"/>
      <c r="H149" s="589"/>
      <c r="I149" s="10" t="s">
        <v>576</v>
      </c>
      <c r="J149" s="13" t="s">
        <v>577</v>
      </c>
      <c r="K149" s="572"/>
      <c r="L149" s="573"/>
      <c r="M149" s="10"/>
      <c r="N149" s="23" t="s">
        <v>588</v>
      </c>
      <c r="O149" s="13" t="s">
        <v>588</v>
      </c>
      <c r="P149" s="10" t="s">
        <v>589</v>
      </c>
      <c r="Q149" s="10">
        <v>83</v>
      </c>
      <c r="R149" s="13"/>
      <c r="S149" s="13" t="s">
        <v>593</v>
      </c>
      <c r="T149" s="13" t="s">
        <v>593</v>
      </c>
      <c r="U149" s="1"/>
      <c r="V149" s="26">
        <v>1</v>
      </c>
      <c r="W149" s="10" t="s">
        <v>420</v>
      </c>
      <c r="X149" s="1"/>
      <c r="Y149" s="1" t="s">
        <v>302</v>
      </c>
      <c r="Z149" s="1" t="s">
        <v>303</v>
      </c>
      <c r="AA149" s="24"/>
      <c r="AB149" s="10" t="s">
        <v>1762</v>
      </c>
      <c r="AC149" s="162">
        <v>1</v>
      </c>
      <c r="AD149" s="156">
        <v>1</v>
      </c>
      <c r="AE149" s="156">
        <v>1</v>
      </c>
      <c r="AF149" s="156">
        <v>1</v>
      </c>
      <c r="AG149" s="377">
        <f t="shared" si="23"/>
        <v>4</v>
      </c>
      <c r="AH149" s="377" t="b">
        <f t="shared" si="20"/>
        <v>0</v>
      </c>
      <c r="AI149" s="26">
        <v>0.5</v>
      </c>
      <c r="AJ149" s="26">
        <v>0.75</v>
      </c>
      <c r="AK149" s="26">
        <v>1</v>
      </c>
      <c r="AL149" s="26">
        <v>1</v>
      </c>
      <c r="AM149" s="16">
        <f t="shared" si="21"/>
        <v>1</v>
      </c>
      <c r="AN149" s="162">
        <v>1</v>
      </c>
      <c r="AO149" s="26">
        <v>0.25</v>
      </c>
      <c r="AP149" s="26">
        <v>0.5</v>
      </c>
      <c r="AQ149" s="26"/>
      <c r="AR149" s="33">
        <f t="shared" si="18"/>
        <v>1</v>
      </c>
      <c r="AS149" s="21">
        <f t="shared" si="19"/>
        <v>1</v>
      </c>
      <c r="AT149" s="1">
        <f t="shared" si="22"/>
        <v>0.5</v>
      </c>
      <c r="AU149" s="31"/>
      <c r="AV149" s="31"/>
      <c r="AW149" s="31"/>
      <c r="AX149" s="16">
        <f t="shared" si="17"/>
        <v>0.5</v>
      </c>
      <c r="AY149" s="156">
        <v>1</v>
      </c>
      <c r="AZ149" s="371">
        <v>1</v>
      </c>
      <c r="BA149" s="457"/>
      <c r="BB149" s="31"/>
      <c r="BC149" s="31"/>
      <c r="BD149" s="16">
        <f t="shared" si="24"/>
        <v>1</v>
      </c>
      <c r="BE149" s="31"/>
      <c r="BF149" s="31"/>
      <c r="BG149" s="31"/>
      <c r="BH149" s="31"/>
      <c r="BI149" s="16"/>
      <c r="BJ149" s="16"/>
      <c r="BK149" s="31"/>
      <c r="BL149" s="31"/>
      <c r="BM149" s="31"/>
      <c r="BN149" s="31"/>
      <c r="BO149" s="16"/>
      <c r="BP149" s="31"/>
      <c r="BQ149" s="31"/>
      <c r="BR149" s="31"/>
      <c r="BS149" s="31"/>
      <c r="BT149" s="16"/>
      <c r="BU149" s="16"/>
      <c r="BV149" s="16"/>
      <c r="BW149" s="16"/>
      <c r="BX149" s="16"/>
      <c r="BY149" s="16"/>
      <c r="BZ149" s="16"/>
      <c r="CA149" s="26"/>
      <c r="CB149" s="26"/>
      <c r="CC149" s="1"/>
    </row>
    <row r="150" spans="1:81" s="52" customFormat="1" ht="122.25" customHeight="1" x14ac:dyDescent="0.25">
      <c r="A150" s="1">
        <v>1</v>
      </c>
      <c r="B150" s="13" t="s">
        <v>1746</v>
      </c>
      <c r="C150" s="588"/>
      <c r="D150" s="589"/>
      <c r="E150" s="10" t="s">
        <v>293</v>
      </c>
      <c r="F150" s="13" t="s">
        <v>294</v>
      </c>
      <c r="G150" s="588"/>
      <c r="H150" s="589"/>
      <c r="I150" s="10" t="s">
        <v>576</v>
      </c>
      <c r="J150" s="13" t="s">
        <v>577</v>
      </c>
      <c r="K150" s="572"/>
      <c r="L150" s="573"/>
      <c r="M150" s="10"/>
      <c r="N150" s="23" t="s">
        <v>594</v>
      </c>
      <c r="O150" s="13" t="s">
        <v>594</v>
      </c>
      <c r="P150" s="10">
        <v>100</v>
      </c>
      <c r="Q150" s="10">
        <v>100</v>
      </c>
      <c r="R150" s="13"/>
      <c r="S150" s="13" t="s">
        <v>595</v>
      </c>
      <c r="T150" s="13" t="s">
        <v>595</v>
      </c>
      <c r="U150" s="1"/>
      <c r="V150" s="1">
        <v>45</v>
      </c>
      <c r="W150" s="10" t="s">
        <v>420</v>
      </c>
      <c r="X150" s="1"/>
      <c r="Y150" s="1" t="s">
        <v>302</v>
      </c>
      <c r="Z150" s="1" t="s">
        <v>303</v>
      </c>
      <c r="AA150" s="24"/>
      <c r="AB150" s="10" t="s">
        <v>1762</v>
      </c>
      <c r="AC150" s="162">
        <v>45</v>
      </c>
      <c r="AD150" s="156">
        <v>45</v>
      </c>
      <c r="AE150" s="156">
        <v>45</v>
      </c>
      <c r="AF150" s="156">
        <v>45</v>
      </c>
      <c r="AG150" s="377">
        <f t="shared" si="23"/>
        <v>180</v>
      </c>
      <c r="AH150" s="377" t="b">
        <f t="shared" si="20"/>
        <v>0</v>
      </c>
      <c r="AI150" s="1">
        <v>45</v>
      </c>
      <c r="AJ150" s="1">
        <v>45</v>
      </c>
      <c r="AK150" s="1">
        <v>45</v>
      </c>
      <c r="AL150" s="1">
        <v>45</v>
      </c>
      <c r="AM150" s="16">
        <f t="shared" si="21"/>
        <v>1</v>
      </c>
      <c r="AN150" s="162">
        <v>45</v>
      </c>
      <c r="AO150" s="1">
        <v>45</v>
      </c>
      <c r="AP150" s="1">
        <v>45</v>
      </c>
      <c r="AQ150" s="1"/>
      <c r="AR150" s="311">
        <f t="shared" si="18"/>
        <v>45</v>
      </c>
      <c r="AS150" s="21">
        <f t="shared" si="19"/>
        <v>1</v>
      </c>
      <c r="AT150" s="1">
        <f t="shared" si="22"/>
        <v>13</v>
      </c>
      <c r="AU150" s="31"/>
      <c r="AV150" s="31"/>
      <c r="AW150" s="31"/>
      <c r="AX150" s="16">
        <f t="shared" ref="AX150:AX207" si="25">IF(AT150/V150&gt;100%,100%,(AT150/V150))</f>
        <v>0.28888888888888886</v>
      </c>
      <c r="AY150" s="156">
        <v>45</v>
      </c>
      <c r="AZ150" s="371">
        <v>7</v>
      </c>
      <c r="BA150" s="456"/>
      <c r="BB150" s="31"/>
      <c r="BC150" s="31"/>
      <c r="BD150" s="16">
        <f t="shared" si="24"/>
        <v>0.15555555555555556</v>
      </c>
      <c r="BE150" s="31"/>
      <c r="BF150" s="31"/>
      <c r="BG150" s="31"/>
      <c r="BH150" s="31"/>
      <c r="BI150" s="16"/>
      <c r="BJ150" s="16"/>
      <c r="BK150" s="31"/>
      <c r="BL150" s="31"/>
      <c r="BM150" s="31"/>
      <c r="BN150" s="31"/>
      <c r="BO150" s="16"/>
      <c r="BP150" s="31"/>
      <c r="BQ150" s="31"/>
      <c r="BR150" s="31"/>
      <c r="BS150" s="31"/>
      <c r="BT150" s="16"/>
      <c r="BU150" s="16"/>
      <c r="BV150" s="16"/>
      <c r="BW150" s="16"/>
      <c r="BX150" s="16"/>
      <c r="BY150" s="16"/>
      <c r="BZ150" s="16"/>
      <c r="CA150" s="1"/>
      <c r="CB150" s="1"/>
      <c r="CC150" s="1"/>
    </row>
    <row r="151" spans="1:81" s="52" customFormat="1" ht="119.25" customHeight="1" x14ac:dyDescent="0.25">
      <c r="A151" s="1">
        <v>1</v>
      </c>
      <c r="B151" s="13" t="s">
        <v>1746</v>
      </c>
      <c r="C151" s="588"/>
      <c r="D151" s="589"/>
      <c r="E151" s="10" t="s">
        <v>293</v>
      </c>
      <c r="F151" s="13" t="s">
        <v>294</v>
      </c>
      <c r="G151" s="588"/>
      <c r="H151" s="589"/>
      <c r="I151" s="10" t="s">
        <v>576</v>
      </c>
      <c r="J151" s="13" t="s">
        <v>577</v>
      </c>
      <c r="K151" s="572"/>
      <c r="L151" s="573"/>
      <c r="M151" s="10"/>
      <c r="N151" s="23" t="s">
        <v>594</v>
      </c>
      <c r="O151" s="13" t="s">
        <v>594</v>
      </c>
      <c r="P151" s="10">
        <v>100</v>
      </c>
      <c r="Q151" s="10">
        <v>100</v>
      </c>
      <c r="R151" s="13"/>
      <c r="S151" s="13" t="s">
        <v>596</v>
      </c>
      <c r="T151" s="13" t="s">
        <v>596</v>
      </c>
      <c r="U151" s="1"/>
      <c r="V151" s="1">
        <v>4</v>
      </c>
      <c r="W151" s="10" t="s">
        <v>420</v>
      </c>
      <c r="X151" s="1"/>
      <c r="Y151" s="1" t="s">
        <v>302</v>
      </c>
      <c r="Z151" s="1" t="s">
        <v>303</v>
      </c>
      <c r="AA151" s="24"/>
      <c r="AB151" s="10" t="s">
        <v>1762</v>
      </c>
      <c r="AC151" s="162">
        <v>1</v>
      </c>
      <c r="AD151" s="156">
        <v>1</v>
      </c>
      <c r="AE151" s="156">
        <v>1</v>
      </c>
      <c r="AF151" s="156">
        <v>1</v>
      </c>
      <c r="AG151" s="377">
        <f t="shared" si="23"/>
        <v>4</v>
      </c>
      <c r="AH151" s="377" t="b">
        <f t="shared" si="20"/>
        <v>1</v>
      </c>
      <c r="AI151" s="1">
        <v>1</v>
      </c>
      <c r="AJ151" s="1">
        <v>1</v>
      </c>
      <c r="AK151" s="1">
        <v>1</v>
      </c>
      <c r="AL151" s="1">
        <v>1</v>
      </c>
      <c r="AM151" s="16">
        <f t="shared" si="21"/>
        <v>0.25</v>
      </c>
      <c r="AN151" s="162">
        <v>1</v>
      </c>
      <c r="AO151" s="1">
        <v>1</v>
      </c>
      <c r="AP151" s="1">
        <v>1</v>
      </c>
      <c r="AQ151" s="1"/>
      <c r="AR151" s="311">
        <f t="shared" si="18"/>
        <v>1</v>
      </c>
      <c r="AS151" s="21">
        <f t="shared" si="19"/>
        <v>1</v>
      </c>
      <c r="AT151" s="1">
        <f t="shared" si="22"/>
        <v>0.25</v>
      </c>
      <c r="AU151" s="31"/>
      <c r="AV151" s="31"/>
      <c r="AW151" s="31"/>
      <c r="AX151" s="16">
        <f t="shared" si="25"/>
        <v>6.25E-2</v>
      </c>
      <c r="AY151" s="156">
        <v>1</v>
      </c>
      <c r="AZ151" s="371">
        <v>0</v>
      </c>
      <c r="BA151" s="456"/>
      <c r="BB151" s="31"/>
      <c r="BC151" s="31"/>
      <c r="BD151" s="16">
        <f t="shared" si="24"/>
        <v>0</v>
      </c>
      <c r="BE151" s="31"/>
      <c r="BF151" s="31"/>
      <c r="BG151" s="31"/>
      <c r="BH151" s="31"/>
      <c r="BI151" s="16"/>
      <c r="BJ151" s="16"/>
      <c r="BK151" s="31"/>
      <c r="BL151" s="31"/>
      <c r="BM151" s="31"/>
      <c r="BN151" s="31"/>
      <c r="BO151" s="16"/>
      <c r="BP151" s="31"/>
      <c r="BQ151" s="31"/>
      <c r="BR151" s="31"/>
      <c r="BS151" s="31"/>
      <c r="BT151" s="16"/>
      <c r="BU151" s="16"/>
      <c r="BV151" s="16"/>
      <c r="BW151" s="16"/>
      <c r="BX151" s="16"/>
      <c r="BY151" s="16"/>
      <c r="BZ151" s="16"/>
      <c r="CA151" s="1"/>
      <c r="CB151" s="1"/>
      <c r="CC151" s="1"/>
    </row>
    <row r="152" spans="1:81" s="52" customFormat="1" ht="131.25" customHeight="1" x14ac:dyDescent="0.25">
      <c r="A152" s="1">
        <v>1</v>
      </c>
      <c r="B152" s="13" t="s">
        <v>1746</v>
      </c>
      <c r="C152" s="588"/>
      <c r="D152" s="589"/>
      <c r="E152" s="10" t="s">
        <v>293</v>
      </c>
      <c r="F152" s="13" t="s">
        <v>294</v>
      </c>
      <c r="G152" s="588"/>
      <c r="H152" s="589"/>
      <c r="I152" s="10" t="s">
        <v>576</v>
      </c>
      <c r="J152" s="13" t="s">
        <v>577</v>
      </c>
      <c r="K152" s="572"/>
      <c r="L152" s="573"/>
      <c r="M152" s="23"/>
      <c r="N152" s="23" t="s">
        <v>594</v>
      </c>
      <c r="O152" s="13" t="s">
        <v>594</v>
      </c>
      <c r="P152" s="10">
        <v>100</v>
      </c>
      <c r="Q152" s="10">
        <v>100</v>
      </c>
      <c r="R152" s="13"/>
      <c r="S152" s="13" t="s">
        <v>597</v>
      </c>
      <c r="T152" s="13" t="s">
        <v>597</v>
      </c>
      <c r="U152" s="1"/>
      <c r="V152" s="1">
        <v>1</v>
      </c>
      <c r="W152" s="10" t="s">
        <v>412</v>
      </c>
      <c r="X152" s="1"/>
      <c r="Y152" s="1"/>
      <c r="Z152" s="1"/>
      <c r="AA152" s="24"/>
      <c r="AB152" s="10" t="s">
        <v>1762</v>
      </c>
      <c r="AC152" s="162">
        <v>1</v>
      </c>
      <c r="AD152" s="156">
        <v>1</v>
      </c>
      <c r="AE152" s="156"/>
      <c r="AF152" s="156"/>
      <c r="AG152" s="377">
        <f t="shared" si="23"/>
        <v>2</v>
      </c>
      <c r="AH152" s="377" t="b">
        <f t="shared" si="20"/>
        <v>0</v>
      </c>
      <c r="AI152" s="1">
        <v>0</v>
      </c>
      <c r="AJ152" s="1">
        <v>1</v>
      </c>
      <c r="AK152" s="1">
        <v>1</v>
      </c>
      <c r="AL152" s="1">
        <v>1</v>
      </c>
      <c r="AM152" s="16">
        <f t="shared" si="21"/>
        <v>1</v>
      </c>
      <c r="AN152" s="162">
        <v>1</v>
      </c>
      <c r="AO152" s="1">
        <v>0</v>
      </c>
      <c r="AP152" s="1">
        <v>1</v>
      </c>
      <c r="AQ152" s="1"/>
      <c r="AR152" s="311">
        <f t="shared" si="18"/>
        <v>1</v>
      </c>
      <c r="AS152" s="21">
        <f t="shared" si="19"/>
        <v>1</v>
      </c>
      <c r="AT152" s="1">
        <f t="shared" si="22"/>
        <v>1</v>
      </c>
      <c r="AU152" s="31"/>
      <c r="AV152" s="31"/>
      <c r="AW152" s="31"/>
      <c r="AX152" s="16">
        <f t="shared" si="25"/>
        <v>1</v>
      </c>
      <c r="AY152" s="156">
        <v>1</v>
      </c>
      <c r="AZ152" s="371">
        <v>0</v>
      </c>
      <c r="BA152" s="456"/>
      <c r="BB152" s="31"/>
      <c r="BC152" s="31"/>
      <c r="BD152" s="16">
        <f t="shared" si="24"/>
        <v>0</v>
      </c>
      <c r="BE152" s="31"/>
      <c r="BF152" s="31"/>
      <c r="BG152" s="31"/>
      <c r="BH152" s="31"/>
      <c r="BI152" s="16"/>
      <c r="BJ152" s="16"/>
      <c r="BK152" s="31"/>
      <c r="BL152" s="31"/>
      <c r="BM152" s="31"/>
      <c r="BN152" s="31"/>
      <c r="BO152" s="16"/>
      <c r="BP152" s="31"/>
      <c r="BQ152" s="31"/>
      <c r="BR152" s="31"/>
      <c r="BS152" s="31"/>
      <c r="BT152" s="16"/>
      <c r="BU152" s="16"/>
      <c r="BV152" s="16"/>
      <c r="BW152" s="16"/>
      <c r="BX152" s="16"/>
      <c r="BY152" s="16"/>
      <c r="BZ152" s="16"/>
      <c r="CA152" s="1"/>
      <c r="CB152" s="1"/>
      <c r="CC152" s="1"/>
    </row>
    <row r="153" spans="1:81" s="52" customFormat="1" ht="63" x14ac:dyDescent="0.25">
      <c r="A153" s="1">
        <v>1</v>
      </c>
      <c r="B153" s="13" t="s">
        <v>1746</v>
      </c>
      <c r="C153" s="588"/>
      <c r="D153" s="589"/>
      <c r="E153" s="10" t="s">
        <v>293</v>
      </c>
      <c r="F153" s="13" t="s">
        <v>294</v>
      </c>
      <c r="G153" s="588"/>
      <c r="H153" s="589"/>
      <c r="I153" s="10" t="s">
        <v>576</v>
      </c>
      <c r="J153" s="13" t="s">
        <v>577</v>
      </c>
      <c r="K153" s="572"/>
      <c r="L153" s="573"/>
      <c r="M153" s="10"/>
      <c r="N153" s="23" t="s">
        <v>598</v>
      </c>
      <c r="O153" s="13" t="s">
        <v>598</v>
      </c>
      <c r="P153" s="10">
        <v>100</v>
      </c>
      <c r="Q153" s="10">
        <v>100</v>
      </c>
      <c r="R153" s="13"/>
      <c r="S153" s="13" t="s">
        <v>599</v>
      </c>
      <c r="T153" s="13" t="s">
        <v>599</v>
      </c>
      <c r="U153" s="1"/>
      <c r="V153" s="1">
        <v>45</v>
      </c>
      <c r="W153" s="10" t="s">
        <v>420</v>
      </c>
      <c r="X153" s="1"/>
      <c r="Y153" s="1" t="s">
        <v>302</v>
      </c>
      <c r="Z153" s="1" t="s">
        <v>303</v>
      </c>
      <c r="AA153" s="24"/>
      <c r="AB153" s="10" t="s">
        <v>1762</v>
      </c>
      <c r="AC153" s="162">
        <v>45</v>
      </c>
      <c r="AD153" s="156">
        <v>45</v>
      </c>
      <c r="AE153" s="156">
        <v>45</v>
      </c>
      <c r="AF153" s="156">
        <v>45</v>
      </c>
      <c r="AG153" s="377">
        <f t="shared" si="23"/>
        <v>180</v>
      </c>
      <c r="AH153" s="377" t="b">
        <f t="shared" si="20"/>
        <v>0</v>
      </c>
      <c r="AI153" s="1">
        <v>23</v>
      </c>
      <c r="AJ153" s="1">
        <v>0</v>
      </c>
      <c r="AK153" s="1">
        <v>45</v>
      </c>
      <c r="AL153" s="1">
        <v>45</v>
      </c>
      <c r="AM153" s="16">
        <f t="shared" si="21"/>
        <v>1</v>
      </c>
      <c r="AN153" s="162">
        <v>45</v>
      </c>
      <c r="AO153" s="1">
        <v>23</v>
      </c>
      <c r="AP153" s="1">
        <v>0</v>
      </c>
      <c r="AQ153" s="1"/>
      <c r="AR153" s="311">
        <f t="shared" si="18"/>
        <v>45</v>
      </c>
      <c r="AS153" s="21">
        <f t="shared" si="19"/>
        <v>1</v>
      </c>
      <c r="AT153" s="1">
        <f t="shared" si="22"/>
        <v>22.5</v>
      </c>
      <c r="AU153" s="31"/>
      <c r="AV153" s="31"/>
      <c r="AW153" s="31"/>
      <c r="AX153" s="16">
        <f t="shared" si="25"/>
        <v>0.5</v>
      </c>
      <c r="AY153" s="156">
        <v>45</v>
      </c>
      <c r="AZ153" s="371">
        <v>45</v>
      </c>
      <c r="BA153" s="456"/>
      <c r="BB153" s="31"/>
      <c r="BC153" s="31"/>
      <c r="BD153" s="16">
        <f t="shared" si="24"/>
        <v>1</v>
      </c>
      <c r="BE153" s="31"/>
      <c r="BF153" s="31"/>
      <c r="BG153" s="31"/>
      <c r="BH153" s="31"/>
      <c r="BI153" s="16"/>
      <c r="BJ153" s="16"/>
      <c r="BK153" s="31"/>
      <c r="BL153" s="31"/>
      <c r="BM153" s="31"/>
      <c r="BN153" s="31"/>
      <c r="BO153" s="16"/>
      <c r="BP153" s="31"/>
      <c r="BQ153" s="31"/>
      <c r="BR153" s="31"/>
      <c r="BS153" s="31"/>
      <c r="BT153" s="16"/>
      <c r="BU153" s="16"/>
      <c r="BV153" s="16"/>
      <c r="BW153" s="16"/>
      <c r="BX153" s="16"/>
      <c r="BY153" s="16"/>
      <c r="BZ153" s="16"/>
      <c r="CA153" s="1"/>
      <c r="CB153" s="1"/>
      <c r="CC153" s="1"/>
    </row>
    <row r="154" spans="1:81" s="52" customFormat="1" ht="63" x14ac:dyDescent="0.25">
      <c r="A154" s="1">
        <v>1</v>
      </c>
      <c r="B154" s="13" t="s">
        <v>1746</v>
      </c>
      <c r="C154" s="588"/>
      <c r="D154" s="589"/>
      <c r="E154" s="10" t="s">
        <v>293</v>
      </c>
      <c r="F154" s="13" t="s">
        <v>294</v>
      </c>
      <c r="G154" s="588"/>
      <c r="H154" s="589"/>
      <c r="I154" s="10" t="s">
        <v>576</v>
      </c>
      <c r="J154" s="13" t="s">
        <v>577</v>
      </c>
      <c r="K154" s="572"/>
      <c r="L154" s="573"/>
      <c r="M154" s="10"/>
      <c r="N154" s="23" t="s">
        <v>598</v>
      </c>
      <c r="O154" s="13" t="s">
        <v>598</v>
      </c>
      <c r="P154" s="10">
        <v>100</v>
      </c>
      <c r="Q154" s="10">
        <v>100</v>
      </c>
      <c r="R154" s="13"/>
      <c r="S154" s="13" t="s">
        <v>600</v>
      </c>
      <c r="T154" s="13" t="s">
        <v>600</v>
      </c>
      <c r="U154" s="1"/>
      <c r="V154" s="26">
        <v>1</v>
      </c>
      <c r="W154" s="10" t="s">
        <v>420</v>
      </c>
      <c r="X154" s="1"/>
      <c r="Y154" s="1" t="s">
        <v>302</v>
      </c>
      <c r="Z154" s="1" t="s">
        <v>303</v>
      </c>
      <c r="AA154" s="24"/>
      <c r="AB154" s="10" t="s">
        <v>1762</v>
      </c>
      <c r="AC154" s="162">
        <v>1</v>
      </c>
      <c r="AD154" s="108">
        <v>0.95</v>
      </c>
      <c r="AE154" s="156">
        <v>1</v>
      </c>
      <c r="AF154" s="156">
        <v>1</v>
      </c>
      <c r="AG154" s="377">
        <f t="shared" si="23"/>
        <v>3.95</v>
      </c>
      <c r="AH154" s="377" t="b">
        <f t="shared" si="20"/>
        <v>0</v>
      </c>
      <c r="AI154" s="335">
        <v>0</v>
      </c>
      <c r="AJ154" s="335">
        <v>0.5</v>
      </c>
      <c r="AK154" s="26">
        <v>0.7</v>
      </c>
      <c r="AL154" s="26">
        <v>0.7</v>
      </c>
      <c r="AM154" s="16">
        <f t="shared" si="21"/>
        <v>0.7</v>
      </c>
      <c r="AN154" s="162">
        <v>1</v>
      </c>
      <c r="AO154" s="26">
        <v>0.25</v>
      </c>
      <c r="AP154" s="26">
        <v>0</v>
      </c>
      <c r="AQ154" s="26"/>
      <c r="AR154" s="311">
        <f t="shared" si="18"/>
        <v>0.7</v>
      </c>
      <c r="AS154" s="21">
        <f t="shared" si="19"/>
        <v>0.7</v>
      </c>
      <c r="AT154" s="1">
        <f t="shared" si="22"/>
        <v>0.17499999999999999</v>
      </c>
      <c r="AU154" s="31"/>
      <c r="AV154" s="31"/>
      <c r="AW154" s="31"/>
      <c r="AX154" s="16">
        <f t="shared" si="25"/>
        <v>0.17499999999999999</v>
      </c>
      <c r="AY154" s="108">
        <v>0.95</v>
      </c>
      <c r="AZ154" s="371">
        <v>0</v>
      </c>
      <c r="BA154" s="456"/>
      <c r="BB154" s="31"/>
      <c r="BC154" s="31"/>
      <c r="BD154" s="16">
        <f t="shared" si="24"/>
        <v>0</v>
      </c>
      <c r="BE154" s="31"/>
      <c r="BF154" s="31"/>
      <c r="BG154" s="31"/>
      <c r="BH154" s="31"/>
      <c r="BI154" s="16"/>
      <c r="BJ154" s="16"/>
      <c r="BK154" s="31"/>
      <c r="BL154" s="31"/>
      <c r="BM154" s="31"/>
      <c r="BN154" s="31"/>
      <c r="BO154" s="16"/>
      <c r="BP154" s="31"/>
      <c r="BQ154" s="31"/>
      <c r="BR154" s="31"/>
      <c r="BS154" s="31"/>
      <c r="BT154" s="16"/>
      <c r="BU154" s="16"/>
      <c r="BV154" s="16"/>
      <c r="BW154" s="16"/>
      <c r="BX154" s="16"/>
      <c r="BY154" s="16"/>
      <c r="BZ154" s="16"/>
      <c r="CA154" s="26"/>
      <c r="CB154" s="26"/>
      <c r="CC154" s="1"/>
    </row>
    <row r="155" spans="1:81" s="52" customFormat="1" ht="63" x14ac:dyDescent="0.25">
      <c r="A155" s="1">
        <v>1</v>
      </c>
      <c r="B155" s="13" t="s">
        <v>1746</v>
      </c>
      <c r="C155" s="588"/>
      <c r="D155" s="589"/>
      <c r="E155" s="10" t="s">
        <v>293</v>
      </c>
      <c r="F155" s="13" t="s">
        <v>294</v>
      </c>
      <c r="G155" s="588"/>
      <c r="H155" s="589"/>
      <c r="I155" s="10" t="s">
        <v>576</v>
      </c>
      <c r="J155" s="13" t="s">
        <v>577</v>
      </c>
      <c r="K155" s="572"/>
      <c r="L155" s="573"/>
      <c r="M155" s="23"/>
      <c r="N155" s="23" t="s">
        <v>601</v>
      </c>
      <c r="O155" s="13" t="s">
        <v>598</v>
      </c>
      <c r="P155" s="10">
        <v>100</v>
      </c>
      <c r="Q155" s="10">
        <v>100</v>
      </c>
      <c r="R155" s="13"/>
      <c r="S155" s="13" t="s">
        <v>602</v>
      </c>
      <c r="T155" s="13" t="s">
        <v>602</v>
      </c>
      <c r="U155" s="1"/>
      <c r="V155" s="26">
        <v>0.95</v>
      </c>
      <c r="W155" s="10" t="s">
        <v>420</v>
      </c>
      <c r="X155" s="1"/>
      <c r="Y155" s="1"/>
      <c r="Z155" s="1"/>
      <c r="AA155" s="24"/>
      <c r="AB155" s="10" t="s">
        <v>1762</v>
      </c>
      <c r="AC155" s="162">
        <v>0.95</v>
      </c>
      <c r="AD155" s="156">
        <v>0.95</v>
      </c>
      <c r="AE155" s="156">
        <v>0.95</v>
      </c>
      <c r="AF155" s="156">
        <v>0.95</v>
      </c>
      <c r="AG155" s="377">
        <f t="shared" si="23"/>
        <v>3.8</v>
      </c>
      <c r="AH155" s="377" t="b">
        <f t="shared" si="20"/>
        <v>0</v>
      </c>
      <c r="AI155" s="26">
        <v>0.2</v>
      </c>
      <c r="AJ155" s="26">
        <v>0.95</v>
      </c>
      <c r="AK155" s="26">
        <v>0.95</v>
      </c>
      <c r="AL155" s="26">
        <v>0.95</v>
      </c>
      <c r="AM155" s="16">
        <f t="shared" si="21"/>
        <v>1</v>
      </c>
      <c r="AN155" s="162">
        <v>0.95</v>
      </c>
      <c r="AO155" s="26">
        <v>0.2</v>
      </c>
      <c r="AP155" s="26">
        <v>0.95</v>
      </c>
      <c r="AQ155" s="26"/>
      <c r="AR155" s="311">
        <f t="shared" si="18"/>
        <v>0.95</v>
      </c>
      <c r="AS155" s="21">
        <f t="shared" si="19"/>
        <v>1</v>
      </c>
      <c r="AT155" s="1">
        <f t="shared" si="22"/>
        <v>0.255</v>
      </c>
      <c r="AU155" s="31"/>
      <c r="AV155" s="31"/>
      <c r="AW155" s="31"/>
      <c r="AX155" s="16">
        <f t="shared" si="25"/>
        <v>0.26842105263157895</v>
      </c>
      <c r="AY155" s="156">
        <v>0.95</v>
      </c>
      <c r="AZ155" s="371">
        <v>7.0000000000000007E-2</v>
      </c>
      <c r="BA155" s="456"/>
      <c r="BB155" s="31"/>
      <c r="BC155" s="31"/>
      <c r="BD155" s="16">
        <f t="shared" si="24"/>
        <v>7.3684210526315796E-2</v>
      </c>
      <c r="BE155" s="31"/>
      <c r="BF155" s="31"/>
      <c r="BG155" s="31"/>
      <c r="BH155" s="31"/>
      <c r="BI155" s="16"/>
      <c r="BJ155" s="16"/>
      <c r="BK155" s="31"/>
      <c r="BL155" s="31"/>
      <c r="BM155" s="31"/>
      <c r="BN155" s="31"/>
      <c r="BO155" s="16"/>
      <c r="BP155" s="31"/>
      <c r="BQ155" s="31"/>
      <c r="BR155" s="31"/>
      <c r="BS155" s="31"/>
      <c r="BT155" s="16"/>
      <c r="BU155" s="16"/>
      <c r="BV155" s="16"/>
      <c r="BW155" s="16"/>
      <c r="BX155" s="16"/>
      <c r="BY155" s="16"/>
      <c r="BZ155" s="16"/>
      <c r="CA155" s="26"/>
      <c r="CB155" s="26"/>
      <c r="CC155" s="1"/>
    </row>
    <row r="156" spans="1:81" s="52" customFormat="1" ht="94.5" x14ac:dyDescent="0.25">
      <c r="A156" s="1">
        <v>1</v>
      </c>
      <c r="B156" s="13" t="s">
        <v>1746</v>
      </c>
      <c r="C156" s="588"/>
      <c r="D156" s="589"/>
      <c r="E156" s="10" t="s">
        <v>293</v>
      </c>
      <c r="F156" s="13" t="s">
        <v>294</v>
      </c>
      <c r="G156" s="588"/>
      <c r="H156" s="589"/>
      <c r="I156" s="10" t="s">
        <v>576</v>
      </c>
      <c r="J156" s="13" t="s">
        <v>577</v>
      </c>
      <c r="K156" s="572"/>
      <c r="L156" s="573"/>
      <c r="M156" s="10"/>
      <c r="N156" s="23" t="s">
        <v>598</v>
      </c>
      <c r="O156" s="13" t="s">
        <v>598</v>
      </c>
      <c r="P156" s="10">
        <v>60</v>
      </c>
      <c r="Q156" s="10">
        <v>70</v>
      </c>
      <c r="R156" s="13"/>
      <c r="S156" s="13" t="s">
        <v>603</v>
      </c>
      <c r="T156" s="13" t="s">
        <v>603</v>
      </c>
      <c r="U156" s="1"/>
      <c r="V156" s="26">
        <v>0.7</v>
      </c>
      <c r="W156" s="10" t="s">
        <v>420</v>
      </c>
      <c r="X156" s="1"/>
      <c r="Y156" s="1" t="s">
        <v>302</v>
      </c>
      <c r="Z156" s="1" t="s">
        <v>303</v>
      </c>
      <c r="AA156" s="24"/>
      <c r="AB156" s="10" t="s">
        <v>1762</v>
      </c>
      <c r="AC156" s="355">
        <v>0.7</v>
      </c>
      <c r="AD156" s="156">
        <v>0.7</v>
      </c>
      <c r="AE156" s="156">
        <v>0.7</v>
      </c>
      <c r="AF156" s="156">
        <v>0.7</v>
      </c>
      <c r="AG156" s="377">
        <f t="shared" si="23"/>
        <v>2.8</v>
      </c>
      <c r="AH156" s="377" t="b">
        <f t="shared" si="20"/>
        <v>0</v>
      </c>
      <c r="AI156" s="26">
        <v>0.2</v>
      </c>
      <c r="AJ156" s="26">
        <v>0.7</v>
      </c>
      <c r="AK156" s="26">
        <v>0.7</v>
      </c>
      <c r="AL156" s="26">
        <v>0.7</v>
      </c>
      <c r="AM156" s="16">
        <f t="shared" si="21"/>
        <v>1</v>
      </c>
      <c r="AN156" s="355">
        <v>0.7</v>
      </c>
      <c r="AO156" s="26">
        <v>0.2</v>
      </c>
      <c r="AP156" s="26">
        <v>0.7</v>
      </c>
      <c r="AQ156" s="26"/>
      <c r="AR156" s="311">
        <f t="shared" si="18"/>
        <v>0.7</v>
      </c>
      <c r="AS156" s="21">
        <f t="shared" si="19"/>
        <v>1</v>
      </c>
      <c r="AT156" s="1">
        <f t="shared" si="22"/>
        <v>0.19999999999999998</v>
      </c>
      <c r="AU156" s="31"/>
      <c r="AV156" s="31"/>
      <c r="AW156" s="31"/>
      <c r="AX156" s="16">
        <f t="shared" si="25"/>
        <v>0.2857142857142857</v>
      </c>
      <c r="AY156" s="156">
        <v>0.7</v>
      </c>
      <c r="AZ156" s="371">
        <v>0.1</v>
      </c>
      <c r="BA156" s="456"/>
      <c r="BB156" s="31"/>
      <c r="BC156" s="31"/>
      <c r="BD156" s="16">
        <f t="shared" si="24"/>
        <v>0.14285714285714288</v>
      </c>
      <c r="BE156" s="31"/>
      <c r="BF156" s="31"/>
      <c r="BG156" s="31"/>
      <c r="BH156" s="31"/>
      <c r="BI156" s="16"/>
      <c r="BJ156" s="16"/>
      <c r="BK156" s="31"/>
      <c r="BL156" s="31"/>
      <c r="BM156" s="31"/>
      <c r="BN156" s="31"/>
      <c r="BO156" s="16"/>
      <c r="BP156" s="31"/>
      <c r="BQ156" s="31"/>
      <c r="BR156" s="31"/>
      <c r="BS156" s="31"/>
      <c r="BT156" s="16"/>
      <c r="BU156" s="16"/>
      <c r="BV156" s="16"/>
      <c r="BW156" s="16"/>
      <c r="BX156" s="16"/>
      <c r="BY156" s="16"/>
      <c r="BZ156" s="16"/>
      <c r="CA156" s="26"/>
      <c r="CB156" s="26"/>
      <c r="CC156" s="1"/>
    </row>
    <row r="157" spans="1:81" s="52" customFormat="1" ht="162.75" customHeight="1" x14ac:dyDescent="0.25">
      <c r="A157" s="1">
        <v>1</v>
      </c>
      <c r="B157" s="13" t="s">
        <v>1746</v>
      </c>
      <c r="C157" s="588"/>
      <c r="D157" s="589"/>
      <c r="E157" s="10" t="s">
        <v>293</v>
      </c>
      <c r="F157" s="13" t="s">
        <v>294</v>
      </c>
      <c r="G157" s="588"/>
      <c r="H157" s="589"/>
      <c r="I157" s="10" t="s">
        <v>576</v>
      </c>
      <c r="J157" s="13" t="s">
        <v>577</v>
      </c>
      <c r="K157" s="572"/>
      <c r="L157" s="573"/>
      <c r="M157" s="10"/>
      <c r="N157" s="23" t="s">
        <v>598</v>
      </c>
      <c r="O157" s="13" t="s">
        <v>598</v>
      </c>
      <c r="P157" s="10">
        <v>60</v>
      </c>
      <c r="Q157" s="10">
        <v>70</v>
      </c>
      <c r="R157" s="13"/>
      <c r="S157" s="312" t="s">
        <v>604</v>
      </c>
      <c r="T157" s="13" t="s">
        <v>604</v>
      </c>
      <c r="U157" s="1"/>
      <c r="V157" s="27">
        <v>1</v>
      </c>
      <c r="W157" s="10" t="s">
        <v>420</v>
      </c>
      <c r="X157" s="1"/>
      <c r="Y157" s="1" t="s">
        <v>302</v>
      </c>
      <c r="Z157" s="1" t="s">
        <v>303</v>
      </c>
      <c r="AA157" s="24"/>
      <c r="AB157" s="10" t="s">
        <v>1762</v>
      </c>
      <c r="AC157" s="162">
        <v>1</v>
      </c>
      <c r="AD157" s="156">
        <v>1</v>
      </c>
      <c r="AE157" s="156">
        <v>1</v>
      </c>
      <c r="AF157" s="156">
        <v>1</v>
      </c>
      <c r="AG157" s="377">
        <f t="shared" si="23"/>
        <v>4</v>
      </c>
      <c r="AH157" s="377" t="b">
        <f t="shared" si="20"/>
        <v>0</v>
      </c>
      <c r="AI157" s="27">
        <v>1</v>
      </c>
      <c r="AJ157" s="27">
        <v>1</v>
      </c>
      <c r="AK157" s="27">
        <v>1</v>
      </c>
      <c r="AL157" s="27">
        <v>1</v>
      </c>
      <c r="AM157" s="16">
        <f t="shared" si="21"/>
        <v>1</v>
      </c>
      <c r="AN157" s="162">
        <v>1</v>
      </c>
      <c r="AO157" s="27">
        <v>1</v>
      </c>
      <c r="AP157" s="27">
        <v>1</v>
      </c>
      <c r="AQ157" s="27"/>
      <c r="AR157" s="311">
        <f t="shared" si="18"/>
        <v>1</v>
      </c>
      <c r="AS157" s="21">
        <f t="shared" si="19"/>
        <v>1</v>
      </c>
      <c r="AT157" s="1">
        <f t="shared" si="22"/>
        <v>0.5</v>
      </c>
      <c r="AU157" s="31"/>
      <c r="AV157" s="31"/>
      <c r="AW157" s="31"/>
      <c r="AX157" s="16">
        <f t="shared" si="25"/>
        <v>0.5</v>
      </c>
      <c r="AY157" s="156">
        <v>1</v>
      </c>
      <c r="AZ157" s="371">
        <v>1</v>
      </c>
      <c r="BA157" s="456"/>
      <c r="BB157" s="31"/>
      <c r="BC157" s="31"/>
      <c r="BD157" s="16">
        <f t="shared" si="24"/>
        <v>1</v>
      </c>
      <c r="BE157" s="31"/>
      <c r="BF157" s="31"/>
      <c r="BG157" s="31"/>
      <c r="BH157" s="31"/>
      <c r="BI157" s="16"/>
      <c r="BJ157" s="16"/>
      <c r="BK157" s="31"/>
      <c r="BL157" s="31"/>
      <c r="BM157" s="31"/>
      <c r="BN157" s="31"/>
      <c r="BO157" s="16"/>
      <c r="BP157" s="31"/>
      <c r="BQ157" s="31"/>
      <c r="BR157" s="31"/>
      <c r="BS157" s="31"/>
      <c r="BT157" s="16"/>
      <c r="BU157" s="16"/>
      <c r="BV157" s="16"/>
      <c r="BW157" s="16"/>
      <c r="BX157" s="16"/>
      <c r="BY157" s="16"/>
      <c r="BZ157" s="16"/>
      <c r="CA157" s="27"/>
      <c r="CB157" s="27"/>
      <c r="CC157" s="1"/>
    </row>
    <row r="158" spans="1:81" s="52" customFormat="1" ht="63" customHeight="1" x14ac:dyDescent="0.25">
      <c r="A158" s="1">
        <v>1</v>
      </c>
      <c r="B158" s="13" t="s">
        <v>1746</v>
      </c>
      <c r="C158" s="588"/>
      <c r="D158" s="589"/>
      <c r="E158" s="10" t="s">
        <v>293</v>
      </c>
      <c r="F158" s="13" t="s">
        <v>294</v>
      </c>
      <c r="G158" s="588"/>
      <c r="H158" s="589"/>
      <c r="I158" s="10" t="s">
        <v>576</v>
      </c>
      <c r="J158" s="13" t="s">
        <v>577</v>
      </c>
      <c r="K158" s="572"/>
      <c r="L158" s="573"/>
      <c r="M158" s="10"/>
      <c r="N158" s="23" t="s">
        <v>605</v>
      </c>
      <c r="O158" s="23" t="s">
        <v>606</v>
      </c>
      <c r="P158" s="10" t="s">
        <v>607</v>
      </c>
      <c r="Q158" s="10">
        <v>100</v>
      </c>
      <c r="R158" s="23"/>
      <c r="S158" s="13" t="s">
        <v>608</v>
      </c>
      <c r="T158" s="13" t="s">
        <v>608</v>
      </c>
      <c r="U158" s="1"/>
      <c r="V158" s="26">
        <v>1</v>
      </c>
      <c r="W158" s="10" t="s">
        <v>420</v>
      </c>
      <c r="X158" s="1"/>
      <c r="Y158" s="1" t="s">
        <v>302</v>
      </c>
      <c r="Z158" s="1" t="s">
        <v>303</v>
      </c>
      <c r="AA158" s="24"/>
      <c r="AB158" s="10" t="s">
        <v>1762</v>
      </c>
      <c r="AC158" s="162">
        <v>1</v>
      </c>
      <c r="AD158" s="156">
        <v>1</v>
      </c>
      <c r="AE158" s="156">
        <v>1</v>
      </c>
      <c r="AF158" s="156">
        <v>1</v>
      </c>
      <c r="AG158" s="377">
        <f t="shared" si="23"/>
        <v>4</v>
      </c>
      <c r="AH158" s="377" t="b">
        <f t="shared" si="20"/>
        <v>0</v>
      </c>
      <c r="AI158" s="26">
        <v>0.5</v>
      </c>
      <c r="AJ158" s="26">
        <v>0.63</v>
      </c>
      <c r="AK158" s="26">
        <v>1</v>
      </c>
      <c r="AL158" s="26">
        <v>1</v>
      </c>
      <c r="AM158" s="16">
        <f t="shared" si="21"/>
        <v>1</v>
      </c>
      <c r="AN158" s="162">
        <v>1</v>
      </c>
      <c r="AO158" s="26">
        <v>0.5</v>
      </c>
      <c r="AP158" s="26">
        <v>0.63</v>
      </c>
      <c r="AQ158" s="26"/>
      <c r="AR158" s="311">
        <f t="shared" si="18"/>
        <v>1</v>
      </c>
      <c r="AS158" s="21">
        <f t="shared" si="19"/>
        <v>1</v>
      </c>
      <c r="AT158" s="1">
        <f t="shared" si="22"/>
        <v>0.5</v>
      </c>
      <c r="AU158" s="31"/>
      <c r="AV158" s="31"/>
      <c r="AW158" s="31"/>
      <c r="AX158" s="16">
        <f t="shared" si="25"/>
        <v>0.5</v>
      </c>
      <c r="AY158" s="156">
        <v>1</v>
      </c>
      <c r="AZ158" s="371">
        <v>1</v>
      </c>
      <c r="BA158" s="456"/>
      <c r="BB158" s="31"/>
      <c r="BC158" s="31"/>
      <c r="BD158" s="16">
        <f t="shared" si="24"/>
        <v>1</v>
      </c>
      <c r="BE158" s="31"/>
      <c r="BF158" s="31"/>
      <c r="BG158" s="31"/>
      <c r="BH158" s="31"/>
      <c r="BI158" s="16"/>
      <c r="BJ158" s="16"/>
      <c r="BK158" s="31"/>
      <c r="BL158" s="31"/>
      <c r="BM158" s="31"/>
      <c r="BN158" s="31"/>
      <c r="BO158" s="16"/>
      <c r="BP158" s="31"/>
      <c r="BQ158" s="31"/>
      <c r="BR158" s="31"/>
      <c r="BS158" s="31"/>
      <c r="BT158" s="16"/>
      <c r="BU158" s="16"/>
      <c r="BV158" s="16"/>
      <c r="BW158" s="16"/>
      <c r="BX158" s="16"/>
      <c r="BY158" s="16"/>
      <c r="BZ158" s="16"/>
      <c r="CA158" s="26"/>
      <c r="CB158" s="26"/>
      <c r="CC158" s="1"/>
    </row>
    <row r="159" spans="1:81" s="52" customFormat="1" ht="63" x14ac:dyDescent="0.25">
      <c r="A159" s="1">
        <v>1</v>
      </c>
      <c r="B159" s="13" t="s">
        <v>1746</v>
      </c>
      <c r="C159" s="588"/>
      <c r="D159" s="589"/>
      <c r="E159" s="10" t="s">
        <v>293</v>
      </c>
      <c r="F159" s="13" t="s">
        <v>294</v>
      </c>
      <c r="G159" s="588"/>
      <c r="H159" s="589"/>
      <c r="I159" s="10" t="s">
        <v>576</v>
      </c>
      <c r="J159" s="13" t="s">
        <v>577</v>
      </c>
      <c r="K159" s="572"/>
      <c r="L159" s="573"/>
      <c r="M159" s="10"/>
      <c r="N159" s="23" t="s">
        <v>605</v>
      </c>
      <c r="O159" s="23" t="s">
        <v>606</v>
      </c>
      <c r="P159" s="10" t="s">
        <v>607</v>
      </c>
      <c r="Q159" s="10">
        <v>100</v>
      </c>
      <c r="R159" s="23"/>
      <c r="S159" s="13" t="s">
        <v>609</v>
      </c>
      <c r="T159" s="13" t="s">
        <v>609</v>
      </c>
      <c r="U159" s="1"/>
      <c r="V159" s="1">
        <v>45</v>
      </c>
      <c r="W159" s="10" t="s">
        <v>412</v>
      </c>
      <c r="X159" s="1"/>
      <c r="Y159" s="1" t="s">
        <v>302</v>
      </c>
      <c r="Z159" s="1" t="s">
        <v>303</v>
      </c>
      <c r="AA159" s="24"/>
      <c r="AB159" s="10" t="s">
        <v>1762</v>
      </c>
      <c r="AC159" s="162">
        <v>45</v>
      </c>
      <c r="AD159" s="156">
        <v>45</v>
      </c>
      <c r="AE159" s="156">
        <v>45</v>
      </c>
      <c r="AF159" s="156">
        <v>45</v>
      </c>
      <c r="AG159" s="377">
        <f t="shared" si="23"/>
        <v>180</v>
      </c>
      <c r="AH159" s="377" t="b">
        <f t="shared" si="20"/>
        <v>0</v>
      </c>
      <c r="AI159" s="1">
        <v>45</v>
      </c>
      <c r="AJ159" s="1">
        <v>45</v>
      </c>
      <c r="AK159" s="1">
        <v>45</v>
      </c>
      <c r="AL159" s="1">
        <v>45</v>
      </c>
      <c r="AM159" s="16">
        <f t="shared" si="21"/>
        <v>1</v>
      </c>
      <c r="AN159" s="162">
        <v>45</v>
      </c>
      <c r="AO159" s="1">
        <v>45</v>
      </c>
      <c r="AP159" s="1">
        <v>45</v>
      </c>
      <c r="AQ159" s="1"/>
      <c r="AR159" s="311">
        <f t="shared" si="18"/>
        <v>45</v>
      </c>
      <c r="AS159" s="21">
        <f t="shared" si="19"/>
        <v>1</v>
      </c>
      <c r="AT159" s="1">
        <f t="shared" si="22"/>
        <v>90</v>
      </c>
      <c r="AU159" s="31"/>
      <c r="AV159" s="31"/>
      <c r="AW159" s="31"/>
      <c r="AX159" s="456">
        <f t="shared" si="25"/>
        <v>1</v>
      </c>
      <c r="AY159" s="156">
        <v>45</v>
      </c>
      <c r="AZ159" s="371">
        <v>45</v>
      </c>
      <c r="BA159" s="456"/>
      <c r="BB159" s="31"/>
      <c r="BC159" s="31"/>
      <c r="BD159" s="16">
        <f t="shared" si="24"/>
        <v>1</v>
      </c>
      <c r="BE159" s="31"/>
      <c r="BF159" s="31"/>
      <c r="BG159" s="31"/>
      <c r="BH159" s="31"/>
      <c r="BI159" s="16"/>
      <c r="BJ159" s="16"/>
      <c r="BK159" s="31"/>
      <c r="BL159" s="31"/>
      <c r="BM159" s="31"/>
      <c r="BN159" s="31"/>
      <c r="BO159" s="16"/>
      <c r="BP159" s="31"/>
      <c r="BQ159" s="31"/>
      <c r="BR159" s="31"/>
      <c r="BS159" s="31"/>
      <c r="BT159" s="16"/>
      <c r="BU159" s="16"/>
      <c r="BV159" s="16"/>
      <c r="BW159" s="16"/>
      <c r="BX159" s="16"/>
      <c r="BY159" s="16"/>
      <c r="BZ159" s="16"/>
      <c r="CA159" s="1"/>
      <c r="CB159" s="1"/>
      <c r="CC159" s="1"/>
    </row>
    <row r="160" spans="1:81" s="52" customFormat="1" ht="47.25" x14ac:dyDescent="0.25">
      <c r="A160" s="1">
        <v>1</v>
      </c>
      <c r="B160" s="13" t="s">
        <v>1746</v>
      </c>
      <c r="C160" s="588"/>
      <c r="D160" s="589"/>
      <c r="E160" s="10" t="s">
        <v>293</v>
      </c>
      <c r="F160" s="13" t="s">
        <v>294</v>
      </c>
      <c r="G160" s="588"/>
      <c r="H160" s="589"/>
      <c r="I160" s="10" t="s">
        <v>576</v>
      </c>
      <c r="J160" s="13" t="s">
        <v>577</v>
      </c>
      <c r="K160" s="572"/>
      <c r="L160" s="573"/>
      <c r="M160" s="10"/>
      <c r="N160" s="23" t="s">
        <v>605</v>
      </c>
      <c r="O160" s="23" t="s">
        <v>606</v>
      </c>
      <c r="P160" s="10" t="s">
        <v>607</v>
      </c>
      <c r="Q160" s="10">
        <v>100</v>
      </c>
      <c r="R160" s="23"/>
      <c r="S160" s="13" t="s">
        <v>610</v>
      </c>
      <c r="T160" s="13" t="s">
        <v>610</v>
      </c>
      <c r="U160" s="1"/>
      <c r="V160" s="26">
        <v>0.97</v>
      </c>
      <c r="W160" s="10" t="s">
        <v>420</v>
      </c>
      <c r="X160" s="1"/>
      <c r="Y160" s="1" t="s">
        <v>302</v>
      </c>
      <c r="Z160" s="1" t="s">
        <v>303</v>
      </c>
      <c r="AA160" s="24"/>
      <c r="AB160" s="10" t="s">
        <v>1762</v>
      </c>
      <c r="AC160" s="162">
        <v>0.97</v>
      </c>
      <c r="AD160" s="156">
        <v>0.97</v>
      </c>
      <c r="AE160" s="156">
        <v>0.97</v>
      </c>
      <c r="AF160" s="156">
        <v>0.97</v>
      </c>
      <c r="AG160" s="377">
        <f t="shared" si="23"/>
        <v>3.88</v>
      </c>
      <c r="AH160" s="377" t="b">
        <f t="shared" si="20"/>
        <v>0</v>
      </c>
      <c r="AI160" s="26">
        <v>0.89</v>
      </c>
      <c r="AJ160" s="26">
        <v>0.9</v>
      </c>
      <c r="AK160" s="26">
        <v>0.97</v>
      </c>
      <c r="AL160" s="26">
        <v>0.97</v>
      </c>
      <c r="AM160" s="16">
        <f t="shared" si="21"/>
        <v>1</v>
      </c>
      <c r="AN160" s="162">
        <v>0.97</v>
      </c>
      <c r="AO160" s="26">
        <v>0.89</v>
      </c>
      <c r="AP160" s="26">
        <v>0.9</v>
      </c>
      <c r="AQ160" s="26"/>
      <c r="AR160" s="311">
        <f t="shared" si="18"/>
        <v>0.97</v>
      </c>
      <c r="AS160" s="21">
        <f t="shared" si="19"/>
        <v>1</v>
      </c>
      <c r="AT160" s="1">
        <f t="shared" si="22"/>
        <v>0.48499999999999999</v>
      </c>
      <c r="AU160" s="31"/>
      <c r="AV160" s="31"/>
      <c r="AW160" s="31"/>
      <c r="AX160" s="16">
        <f t="shared" si="25"/>
        <v>0.5</v>
      </c>
      <c r="AY160" s="156">
        <v>0.97</v>
      </c>
      <c r="AZ160" s="371">
        <v>0.97</v>
      </c>
      <c r="BA160" s="456"/>
      <c r="BB160" s="31"/>
      <c r="BC160" s="31"/>
      <c r="BD160" s="16">
        <f t="shared" si="24"/>
        <v>1</v>
      </c>
      <c r="BE160" s="31"/>
      <c r="BF160" s="31"/>
      <c r="BG160" s="31"/>
      <c r="BH160" s="31"/>
      <c r="BI160" s="16"/>
      <c r="BJ160" s="16"/>
      <c r="BK160" s="31"/>
      <c r="BL160" s="31"/>
      <c r="BM160" s="31"/>
      <c r="BN160" s="31"/>
      <c r="BO160" s="16"/>
      <c r="BP160" s="31"/>
      <c r="BQ160" s="31"/>
      <c r="BR160" s="31"/>
      <c r="BS160" s="31"/>
      <c r="BT160" s="16"/>
      <c r="BU160" s="16"/>
      <c r="BV160" s="16"/>
      <c r="BW160" s="16"/>
      <c r="BX160" s="16"/>
      <c r="BY160" s="16"/>
      <c r="BZ160" s="16"/>
      <c r="CA160" s="26"/>
      <c r="CB160" s="26"/>
      <c r="CC160" s="1"/>
    </row>
    <row r="161" spans="1:81" s="52" customFormat="1" ht="141.75" x14ac:dyDescent="0.25">
      <c r="A161" s="1">
        <v>1</v>
      </c>
      <c r="B161" s="13" t="s">
        <v>1746</v>
      </c>
      <c r="C161" s="588"/>
      <c r="D161" s="589"/>
      <c r="E161" s="10" t="s">
        <v>293</v>
      </c>
      <c r="F161" s="13" t="s">
        <v>294</v>
      </c>
      <c r="G161" s="588"/>
      <c r="H161" s="589"/>
      <c r="I161" s="10" t="s">
        <v>576</v>
      </c>
      <c r="J161" s="13" t="s">
        <v>577</v>
      </c>
      <c r="K161" s="572"/>
      <c r="L161" s="573"/>
      <c r="M161" s="10"/>
      <c r="N161" s="10" t="s">
        <v>611</v>
      </c>
      <c r="O161" s="13" t="s">
        <v>611</v>
      </c>
      <c r="P161" s="10">
        <v>35</v>
      </c>
      <c r="Q161" s="10">
        <v>45</v>
      </c>
      <c r="R161" s="13"/>
      <c r="S161" s="454" t="s">
        <v>612</v>
      </c>
      <c r="T161" s="13" t="s">
        <v>612</v>
      </c>
      <c r="U161" s="1"/>
      <c r="V161" s="27">
        <v>1</v>
      </c>
      <c r="W161" s="10" t="s">
        <v>420</v>
      </c>
      <c r="X161" s="1"/>
      <c r="Y161" s="1" t="s">
        <v>302</v>
      </c>
      <c r="Z161" s="1" t="s">
        <v>303</v>
      </c>
      <c r="AA161" s="24"/>
      <c r="AB161" s="10" t="s">
        <v>1762</v>
      </c>
      <c r="AC161" s="162">
        <v>1</v>
      </c>
      <c r="AD161" s="156"/>
      <c r="AE161" s="156"/>
      <c r="AF161" s="156"/>
      <c r="AG161" s="377">
        <f t="shared" si="23"/>
        <v>1</v>
      </c>
      <c r="AH161" s="377" t="b">
        <f t="shared" si="20"/>
        <v>1</v>
      </c>
      <c r="AI161" s="27">
        <v>1</v>
      </c>
      <c r="AJ161" s="27">
        <v>1</v>
      </c>
      <c r="AK161" s="27">
        <v>1</v>
      </c>
      <c r="AL161" s="27">
        <v>1</v>
      </c>
      <c r="AM161" s="16">
        <f t="shared" si="21"/>
        <v>1</v>
      </c>
      <c r="AN161" s="162">
        <v>1</v>
      </c>
      <c r="AO161" s="27">
        <v>1</v>
      </c>
      <c r="AP161" s="27">
        <v>1</v>
      </c>
      <c r="AQ161" s="27"/>
      <c r="AR161" s="311">
        <f t="shared" si="18"/>
        <v>1</v>
      </c>
      <c r="AS161" s="21">
        <f t="shared" si="19"/>
        <v>1</v>
      </c>
      <c r="AT161" s="1">
        <f t="shared" si="22"/>
        <v>0.25</v>
      </c>
      <c r="AU161" s="31"/>
      <c r="AV161" s="31"/>
      <c r="AW161" s="31"/>
      <c r="AX161" s="16">
        <f t="shared" si="25"/>
        <v>0.25</v>
      </c>
      <c r="AY161" s="156" t="s">
        <v>310</v>
      </c>
      <c r="AZ161" s="371">
        <v>0</v>
      </c>
      <c r="BA161" s="456"/>
      <c r="BB161" s="31"/>
      <c r="BC161" s="31"/>
      <c r="BD161" s="16" t="str">
        <f t="shared" si="24"/>
        <v>NP</v>
      </c>
      <c r="BE161" s="31"/>
      <c r="BF161" s="31"/>
      <c r="BG161" s="31"/>
      <c r="BH161" s="31"/>
      <c r="BI161" s="16"/>
      <c r="BJ161" s="16"/>
      <c r="BK161" s="31"/>
      <c r="BL161" s="31"/>
      <c r="BM161" s="31"/>
      <c r="BN161" s="31"/>
      <c r="BO161" s="16"/>
      <c r="BP161" s="31"/>
      <c r="BQ161" s="31"/>
      <c r="BR161" s="31"/>
      <c r="BS161" s="31"/>
      <c r="BT161" s="16"/>
      <c r="BU161" s="16"/>
      <c r="BV161" s="16"/>
      <c r="BW161" s="16"/>
      <c r="BX161" s="16"/>
      <c r="BY161" s="16"/>
      <c r="BZ161" s="16"/>
      <c r="CA161" s="27"/>
      <c r="CB161" s="27"/>
      <c r="CC161" s="1"/>
    </row>
    <row r="162" spans="1:81" s="52" customFormat="1" ht="114" customHeight="1" x14ac:dyDescent="0.25">
      <c r="A162" s="1">
        <v>1</v>
      </c>
      <c r="B162" s="13" t="s">
        <v>1746</v>
      </c>
      <c r="C162" s="588"/>
      <c r="D162" s="589"/>
      <c r="E162" s="10" t="s">
        <v>293</v>
      </c>
      <c r="F162" s="13" t="s">
        <v>294</v>
      </c>
      <c r="G162" s="588"/>
      <c r="H162" s="589"/>
      <c r="I162" s="10" t="s">
        <v>576</v>
      </c>
      <c r="J162" s="13" t="s">
        <v>577</v>
      </c>
      <c r="K162" s="572"/>
      <c r="L162" s="573"/>
      <c r="M162" s="10"/>
      <c r="N162" s="23" t="s">
        <v>614</v>
      </c>
      <c r="O162" s="13" t="s">
        <v>614</v>
      </c>
      <c r="P162" s="10">
        <v>1</v>
      </c>
      <c r="Q162" s="10">
        <v>8</v>
      </c>
      <c r="R162" s="13"/>
      <c r="S162" s="13" t="s">
        <v>615</v>
      </c>
      <c r="T162" s="13" t="s">
        <v>615</v>
      </c>
      <c r="U162" s="10"/>
      <c r="V162" s="27">
        <v>18</v>
      </c>
      <c r="W162" s="10" t="s">
        <v>412</v>
      </c>
      <c r="X162" s="1"/>
      <c r="Y162" s="1" t="s">
        <v>302</v>
      </c>
      <c r="Z162" s="1" t="s">
        <v>613</v>
      </c>
      <c r="AA162" s="24"/>
      <c r="AB162" s="10" t="s">
        <v>1762</v>
      </c>
      <c r="AC162" s="162">
        <v>2</v>
      </c>
      <c r="AD162" s="108">
        <v>6</v>
      </c>
      <c r="AE162" s="156">
        <v>5</v>
      </c>
      <c r="AF162" s="156">
        <v>6</v>
      </c>
      <c r="AG162" s="377">
        <f t="shared" si="23"/>
        <v>19</v>
      </c>
      <c r="AH162" s="377" t="b">
        <f t="shared" si="20"/>
        <v>0</v>
      </c>
      <c r="AI162" s="27">
        <v>0</v>
      </c>
      <c r="AJ162" s="27">
        <v>2</v>
      </c>
      <c r="AK162" s="27">
        <v>2</v>
      </c>
      <c r="AL162" s="27">
        <v>2</v>
      </c>
      <c r="AM162" s="16">
        <f t="shared" si="21"/>
        <v>0.1111111111111111</v>
      </c>
      <c r="AN162" s="162">
        <v>2</v>
      </c>
      <c r="AO162" s="27">
        <v>0</v>
      </c>
      <c r="AP162" s="27">
        <v>2</v>
      </c>
      <c r="AQ162" s="27"/>
      <c r="AR162" s="311">
        <f t="shared" si="18"/>
        <v>2</v>
      </c>
      <c r="AS162" s="21">
        <f t="shared" si="19"/>
        <v>1</v>
      </c>
      <c r="AT162" s="1">
        <f t="shared" si="22"/>
        <v>2</v>
      </c>
      <c r="AU162" s="31"/>
      <c r="AV162" s="31"/>
      <c r="AW162" s="31"/>
      <c r="AX162" s="16">
        <f t="shared" si="25"/>
        <v>0.1111111111111111</v>
      </c>
      <c r="AY162" s="108">
        <v>6</v>
      </c>
      <c r="AZ162" s="371">
        <v>0</v>
      </c>
      <c r="BA162" s="456"/>
      <c r="BB162" s="31"/>
      <c r="BC162" s="31"/>
      <c r="BD162" s="16">
        <f t="shared" si="24"/>
        <v>0</v>
      </c>
      <c r="BE162" s="31"/>
      <c r="BF162" s="31"/>
      <c r="BG162" s="31"/>
      <c r="BH162" s="31"/>
      <c r="BI162" s="16"/>
      <c r="BJ162" s="16"/>
      <c r="BK162" s="31"/>
      <c r="BL162" s="31"/>
      <c r="BM162" s="31"/>
      <c r="BN162" s="31"/>
      <c r="BO162" s="16"/>
      <c r="BP162" s="31"/>
      <c r="BQ162" s="31"/>
      <c r="BR162" s="31"/>
      <c r="BS162" s="31"/>
      <c r="BT162" s="16"/>
      <c r="BU162" s="16"/>
      <c r="BV162" s="16"/>
      <c r="BW162" s="16"/>
      <c r="BX162" s="16"/>
      <c r="BY162" s="16"/>
      <c r="BZ162" s="16"/>
      <c r="CA162" s="27"/>
      <c r="CB162" s="27"/>
      <c r="CC162" s="1"/>
    </row>
    <row r="163" spans="1:81" s="52" customFormat="1" ht="141.75" x14ac:dyDescent="0.25">
      <c r="A163" s="1">
        <v>1</v>
      </c>
      <c r="B163" s="13" t="s">
        <v>1746</v>
      </c>
      <c r="C163" s="588"/>
      <c r="D163" s="589"/>
      <c r="E163" s="10" t="s">
        <v>293</v>
      </c>
      <c r="F163" s="13" t="s">
        <v>294</v>
      </c>
      <c r="G163" s="588"/>
      <c r="H163" s="589"/>
      <c r="I163" s="10" t="s">
        <v>576</v>
      </c>
      <c r="J163" s="13" t="s">
        <v>577</v>
      </c>
      <c r="K163" s="572"/>
      <c r="L163" s="573"/>
      <c r="M163" s="10"/>
      <c r="N163" s="23" t="s">
        <v>614</v>
      </c>
      <c r="O163" s="13" t="s">
        <v>614</v>
      </c>
      <c r="P163" s="10">
        <v>1</v>
      </c>
      <c r="Q163" s="10">
        <v>8</v>
      </c>
      <c r="R163" s="13"/>
      <c r="S163" s="13" t="s">
        <v>616</v>
      </c>
      <c r="T163" s="13" t="s">
        <v>616</v>
      </c>
      <c r="U163" s="1"/>
      <c r="V163" s="1">
        <v>12</v>
      </c>
      <c r="W163" s="10" t="s">
        <v>412</v>
      </c>
      <c r="X163" s="1"/>
      <c r="Y163" s="1" t="s">
        <v>302</v>
      </c>
      <c r="Z163" s="1" t="s">
        <v>613</v>
      </c>
      <c r="AA163" s="24"/>
      <c r="AB163" s="10" t="s">
        <v>1762</v>
      </c>
      <c r="AC163" s="162"/>
      <c r="AD163" s="156">
        <v>2</v>
      </c>
      <c r="AE163" s="156">
        <v>2</v>
      </c>
      <c r="AF163" s="156">
        <v>2</v>
      </c>
      <c r="AG163" s="377">
        <f t="shared" si="23"/>
        <v>6</v>
      </c>
      <c r="AH163" s="377" t="b">
        <f t="shared" si="20"/>
        <v>0</v>
      </c>
      <c r="AI163" s="1"/>
      <c r="AJ163" s="1"/>
      <c r="AK163" s="1"/>
      <c r="AL163" s="1"/>
      <c r="AM163" s="16">
        <f t="shared" si="21"/>
        <v>0</v>
      </c>
      <c r="AN163" s="162"/>
      <c r="AO163" s="1"/>
      <c r="AP163" s="1"/>
      <c r="AQ163" s="1"/>
      <c r="AR163" s="311"/>
      <c r="AS163" s="21" t="s">
        <v>310</v>
      </c>
      <c r="AT163" s="1">
        <f t="shared" si="22"/>
        <v>0</v>
      </c>
      <c r="AU163" s="31"/>
      <c r="AV163" s="31"/>
      <c r="AW163" s="31"/>
      <c r="AX163" s="16">
        <f t="shared" si="25"/>
        <v>0</v>
      </c>
      <c r="AY163" s="156">
        <v>2</v>
      </c>
      <c r="AZ163" s="371">
        <v>0</v>
      </c>
      <c r="BA163" s="456"/>
      <c r="BB163" s="31"/>
      <c r="BC163" s="31"/>
      <c r="BD163" s="16">
        <f t="shared" si="24"/>
        <v>0</v>
      </c>
      <c r="BE163" s="31"/>
      <c r="BF163" s="31"/>
      <c r="BG163" s="31"/>
      <c r="BH163" s="31"/>
      <c r="BI163" s="16"/>
      <c r="BJ163" s="16"/>
      <c r="BK163" s="31"/>
      <c r="BL163" s="31"/>
      <c r="BM163" s="31"/>
      <c r="BN163" s="31"/>
      <c r="BO163" s="16"/>
      <c r="BP163" s="31"/>
      <c r="BQ163" s="31"/>
      <c r="BR163" s="31"/>
      <c r="BS163" s="31"/>
      <c r="BT163" s="16"/>
      <c r="BU163" s="16"/>
      <c r="BV163" s="16"/>
      <c r="BW163" s="16"/>
      <c r="BX163" s="16"/>
      <c r="BY163" s="16"/>
      <c r="BZ163" s="16"/>
      <c r="CA163" s="1"/>
      <c r="CB163" s="1"/>
      <c r="CC163" s="1"/>
    </row>
    <row r="164" spans="1:81" s="52" customFormat="1" ht="141.75" x14ac:dyDescent="0.25">
      <c r="A164" s="1">
        <v>1</v>
      </c>
      <c r="B164" s="13" t="s">
        <v>1746</v>
      </c>
      <c r="C164" s="588"/>
      <c r="D164" s="589"/>
      <c r="E164" s="10" t="s">
        <v>293</v>
      </c>
      <c r="F164" s="13" t="s">
        <v>294</v>
      </c>
      <c r="G164" s="588"/>
      <c r="H164" s="589"/>
      <c r="I164" s="10" t="s">
        <v>576</v>
      </c>
      <c r="J164" s="13" t="s">
        <v>577</v>
      </c>
      <c r="K164" s="572"/>
      <c r="L164" s="573"/>
      <c r="M164" s="10"/>
      <c r="N164" s="23" t="s">
        <v>614</v>
      </c>
      <c r="O164" s="13" t="s">
        <v>614</v>
      </c>
      <c r="P164" s="10">
        <v>1</v>
      </c>
      <c r="Q164" s="10">
        <v>8</v>
      </c>
      <c r="R164" s="13"/>
      <c r="S164" s="13" t="s">
        <v>617</v>
      </c>
      <c r="T164" s="13" t="s">
        <v>617</v>
      </c>
      <c r="U164" s="1"/>
      <c r="V164" s="334">
        <v>1</v>
      </c>
      <c r="W164" s="10" t="s">
        <v>420</v>
      </c>
      <c r="X164" s="1"/>
      <c r="Y164" s="1" t="s">
        <v>302</v>
      </c>
      <c r="Z164" s="1" t="s">
        <v>613</v>
      </c>
      <c r="AA164" s="24"/>
      <c r="AB164" s="10" t="s">
        <v>1762</v>
      </c>
      <c r="AC164" s="162">
        <v>1</v>
      </c>
      <c r="AD164" s="156">
        <v>1</v>
      </c>
      <c r="AE164" s="156">
        <v>1</v>
      </c>
      <c r="AF164" s="156">
        <v>1</v>
      </c>
      <c r="AG164" s="377">
        <f t="shared" si="23"/>
        <v>4</v>
      </c>
      <c r="AH164" s="377" t="b">
        <f t="shared" si="20"/>
        <v>0</v>
      </c>
      <c r="AI164" s="334">
        <v>1</v>
      </c>
      <c r="AJ164" s="334">
        <v>1</v>
      </c>
      <c r="AK164" s="108">
        <v>1</v>
      </c>
      <c r="AL164" s="334">
        <v>1</v>
      </c>
      <c r="AM164" s="16">
        <f t="shared" si="21"/>
        <v>1</v>
      </c>
      <c r="AN164" s="162">
        <v>1</v>
      </c>
      <c r="AO164" s="314">
        <v>0.5</v>
      </c>
      <c r="AP164" s="314">
        <v>0.5</v>
      </c>
      <c r="AQ164" s="314"/>
      <c r="AR164" s="311">
        <f t="shared" si="18"/>
        <v>1</v>
      </c>
      <c r="AS164" s="21">
        <f t="shared" si="19"/>
        <v>1</v>
      </c>
      <c r="AT164" s="1">
        <f t="shared" si="22"/>
        <v>0.25</v>
      </c>
      <c r="AU164" s="31"/>
      <c r="AV164" s="31"/>
      <c r="AW164" s="31"/>
      <c r="AX164" s="16">
        <f t="shared" si="25"/>
        <v>0.25</v>
      </c>
      <c r="AY164" s="156">
        <v>1</v>
      </c>
      <c r="AZ164" s="371">
        <v>0</v>
      </c>
      <c r="BA164" s="456"/>
      <c r="BB164" s="31"/>
      <c r="BC164" s="31"/>
      <c r="BD164" s="16">
        <f t="shared" si="24"/>
        <v>0</v>
      </c>
      <c r="BE164" s="31"/>
      <c r="BF164" s="31"/>
      <c r="BG164" s="31"/>
      <c r="BH164" s="31"/>
      <c r="BI164" s="16"/>
      <c r="BJ164" s="16"/>
      <c r="BK164" s="31"/>
      <c r="BL164" s="31"/>
      <c r="BM164" s="31"/>
      <c r="BN164" s="31"/>
      <c r="BO164" s="16"/>
      <c r="BP164" s="31"/>
      <c r="BQ164" s="31"/>
      <c r="BR164" s="31"/>
      <c r="BS164" s="31"/>
      <c r="BT164" s="16"/>
      <c r="BU164" s="16"/>
      <c r="BV164" s="16"/>
      <c r="BW164" s="16"/>
      <c r="BX164" s="16"/>
      <c r="BY164" s="16"/>
      <c r="BZ164" s="16"/>
      <c r="CA164" s="26"/>
      <c r="CB164" s="26"/>
      <c r="CC164" s="1"/>
    </row>
    <row r="165" spans="1:81" s="52" customFormat="1" ht="141.75" x14ac:dyDescent="0.25">
      <c r="A165" s="1">
        <v>1</v>
      </c>
      <c r="B165" s="13" t="s">
        <v>1746</v>
      </c>
      <c r="C165" s="588"/>
      <c r="D165" s="589"/>
      <c r="E165" s="10" t="s">
        <v>293</v>
      </c>
      <c r="F165" s="13" t="s">
        <v>294</v>
      </c>
      <c r="G165" s="588"/>
      <c r="H165" s="589"/>
      <c r="I165" s="10" t="s">
        <v>576</v>
      </c>
      <c r="J165" s="13" t="s">
        <v>577</v>
      </c>
      <c r="K165" s="572"/>
      <c r="L165" s="573"/>
      <c r="M165" s="10"/>
      <c r="N165" s="23" t="s">
        <v>614</v>
      </c>
      <c r="O165" s="13" t="s">
        <v>614</v>
      </c>
      <c r="P165" s="10">
        <v>1</v>
      </c>
      <c r="Q165" s="10">
        <v>8</v>
      </c>
      <c r="R165" s="13"/>
      <c r="S165" s="13" t="s">
        <v>618</v>
      </c>
      <c r="T165" s="13" t="s">
        <v>618</v>
      </c>
      <c r="U165" s="1"/>
      <c r="V165" s="27">
        <v>1</v>
      </c>
      <c r="W165" s="10" t="s">
        <v>412</v>
      </c>
      <c r="X165" s="1"/>
      <c r="Y165" s="1"/>
      <c r="Z165" s="1"/>
      <c r="AA165" s="24"/>
      <c r="AB165" s="10" t="s">
        <v>1762</v>
      </c>
      <c r="AC165" s="162"/>
      <c r="AD165" s="156">
        <v>1</v>
      </c>
      <c r="AE165" s="156"/>
      <c r="AF165" s="156"/>
      <c r="AG165" s="377">
        <f t="shared" si="23"/>
        <v>1</v>
      </c>
      <c r="AH165" s="377" t="b">
        <f t="shared" si="20"/>
        <v>1</v>
      </c>
      <c r="AI165" s="27"/>
      <c r="AJ165" s="27"/>
      <c r="AK165" s="27"/>
      <c r="AL165" s="27"/>
      <c r="AM165" s="16">
        <f t="shared" si="21"/>
        <v>0</v>
      </c>
      <c r="AN165" s="162"/>
      <c r="AO165" s="27"/>
      <c r="AP165" s="27"/>
      <c r="AQ165" s="27"/>
      <c r="AR165" s="311"/>
      <c r="AS165" s="21" t="s">
        <v>310</v>
      </c>
      <c r="AT165" s="1">
        <f t="shared" si="22"/>
        <v>0</v>
      </c>
      <c r="AU165" s="31"/>
      <c r="AV165" s="31"/>
      <c r="AW165" s="31"/>
      <c r="AX165" s="16">
        <f t="shared" si="25"/>
        <v>0</v>
      </c>
      <c r="AY165" s="156">
        <v>1</v>
      </c>
      <c r="AZ165" s="76">
        <v>0</v>
      </c>
      <c r="BA165" s="456"/>
      <c r="BB165" s="31"/>
      <c r="BC165" s="31"/>
      <c r="BD165" s="16">
        <f t="shared" si="24"/>
        <v>0</v>
      </c>
      <c r="BE165" s="31"/>
      <c r="BF165" s="31"/>
      <c r="BG165" s="31"/>
      <c r="BH165" s="31"/>
      <c r="BI165" s="16"/>
      <c r="BJ165" s="16"/>
      <c r="BK165" s="31"/>
      <c r="BL165" s="31"/>
      <c r="BM165" s="31"/>
      <c r="BN165" s="31"/>
      <c r="BO165" s="16"/>
      <c r="BP165" s="31"/>
      <c r="BQ165" s="31"/>
      <c r="BR165" s="31"/>
      <c r="BS165" s="31"/>
      <c r="BT165" s="16"/>
      <c r="BU165" s="16"/>
      <c r="BV165" s="16"/>
      <c r="BW165" s="16"/>
      <c r="BX165" s="16"/>
      <c r="BY165" s="16"/>
      <c r="BZ165" s="16"/>
      <c r="CA165" s="27"/>
      <c r="CB165" s="27"/>
      <c r="CC165" s="1"/>
    </row>
    <row r="166" spans="1:81" s="52" customFormat="1" ht="111.75" customHeight="1" x14ac:dyDescent="0.25">
      <c r="A166" s="1">
        <v>1</v>
      </c>
      <c r="B166" s="13" t="s">
        <v>1746</v>
      </c>
      <c r="C166" s="588"/>
      <c r="D166" s="589"/>
      <c r="E166" s="10" t="s">
        <v>293</v>
      </c>
      <c r="F166" s="13" t="s">
        <v>294</v>
      </c>
      <c r="G166" s="588"/>
      <c r="H166" s="589"/>
      <c r="I166" s="10" t="s">
        <v>576</v>
      </c>
      <c r="J166" s="13" t="s">
        <v>577</v>
      </c>
      <c r="K166" s="572"/>
      <c r="L166" s="573"/>
      <c r="M166" s="10"/>
      <c r="N166" s="23" t="s">
        <v>619</v>
      </c>
      <c r="O166" s="13" t="s">
        <v>619</v>
      </c>
      <c r="P166" s="10">
        <v>70</v>
      </c>
      <c r="Q166" s="10">
        <v>100</v>
      </c>
      <c r="R166" s="13"/>
      <c r="S166" s="350" t="s">
        <v>620</v>
      </c>
      <c r="T166" s="13" t="s">
        <v>620</v>
      </c>
      <c r="U166" s="1"/>
      <c r="V166" s="26">
        <v>0.9</v>
      </c>
      <c r="W166" s="10" t="s">
        <v>412</v>
      </c>
      <c r="X166" s="1"/>
      <c r="Y166" s="1" t="s">
        <v>302</v>
      </c>
      <c r="Z166" s="1" t="s">
        <v>613</v>
      </c>
      <c r="AA166" s="24"/>
      <c r="AB166" s="10" t="s">
        <v>1762</v>
      </c>
      <c r="AC166" s="162">
        <v>0.05</v>
      </c>
      <c r="AD166" s="319">
        <v>0.3</v>
      </c>
      <c r="AE166" s="156">
        <v>0.3</v>
      </c>
      <c r="AF166" s="156">
        <v>0.25</v>
      </c>
      <c r="AG166" s="377">
        <f t="shared" si="23"/>
        <v>0.89999999999999991</v>
      </c>
      <c r="AH166" s="377" t="b">
        <f t="shared" si="20"/>
        <v>1</v>
      </c>
      <c r="AI166" s="335">
        <v>0.03</v>
      </c>
      <c r="AJ166" s="26">
        <v>0.05</v>
      </c>
      <c r="AK166" s="26">
        <v>0.05</v>
      </c>
      <c r="AL166" s="26">
        <v>0.05</v>
      </c>
      <c r="AM166" s="16">
        <f t="shared" si="21"/>
        <v>5.5555555555555559E-2</v>
      </c>
      <c r="AN166" s="162">
        <v>0.05</v>
      </c>
      <c r="AO166" s="26">
        <v>0.06</v>
      </c>
      <c r="AP166" s="335">
        <v>0.05</v>
      </c>
      <c r="AQ166" s="335"/>
      <c r="AR166" s="311">
        <f t="shared" si="18"/>
        <v>0.05</v>
      </c>
      <c r="AS166" s="21">
        <f t="shared" si="19"/>
        <v>1</v>
      </c>
      <c r="AT166" s="1">
        <f t="shared" si="22"/>
        <v>7.0000000000000007E-2</v>
      </c>
      <c r="AU166" s="31"/>
      <c r="AV166" s="31"/>
      <c r="AW166" s="31"/>
      <c r="AX166" s="16">
        <f t="shared" si="25"/>
        <v>7.7777777777777779E-2</v>
      </c>
      <c r="AY166" s="319">
        <v>0.3</v>
      </c>
      <c r="AZ166" s="76">
        <v>0.02</v>
      </c>
      <c r="BA166" s="456"/>
      <c r="BB166" s="31"/>
      <c r="BC166" s="31"/>
      <c r="BD166" s="16">
        <f t="shared" si="24"/>
        <v>6.6666666666666666E-2</v>
      </c>
      <c r="BE166" s="31"/>
      <c r="BF166" s="31"/>
      <c r="BG166" s="31"/>
      <c r="BH166" s="31"/>
      <c r="BI166" s="16"/>
      <c r="BJ166" s="16"/>
      <c r="BK166" s="31"/>
      <c r="BL166" s="31"/>
      <c r="BM166" s="31"/>
      <c r="BN166" s="31"/>
      <c r="BO166" s="16"/>
      <c r="BP166" s="31"/>
      <c r="BQ166" s="31"/>
      <c r="BR166" s="31"/>
      <c r="BS166" s="31"/>
      <c r="BT166" s="16"/>
      <c r="BU166" s="16"/>
      <c r="BV166" s="16"/>
      <c r="BW166" s="16"/>
      <c r="BX166" s="16"/>
      <c r="BY166" s="16"/>
      <c r="BZ166" s="16"/>
      <c r="CA166" s="26"/>
      <c r="CB166" s="26"/>
      <c r="CC166" s="1"/>
    </row>
    <row r="167" spans="1:81" s="52" customFormat="1" ht="68.25" customHeight="1" x14ac:dyDescent="0.25">
      <c r="A167" s="1">
        <v>1</v>
      </c>
      <c r="B167" s="13" t="s">
        <v>1746</v>
      </c>
      <c r="C167" s="588"/>
      <c r="D167" s="589"/>
      <c r="E167" s="10" t="s">
        <v>293</v>
      </c>
      <c r="F167" s="13" t="s">
        <v>294</v>
      </c>
      <c r="G167" s="588"/>
      <c r="H167" s="589"/>
      <c r="I167" s="10" t="s">
        <v>576</v>
      </c>
      <c r="J167" s="13" t="s">
        <v>577</v>
      </c>
      <c r="K167" s="572"/>
      <c r="L167" s="573"/>
      <c r="M167" s="10"/>
      <c r="N167" s="23" t="s">
        <v>619</v>
      </c>
      <c r="O167" s="13" t="s">
        <v>619</v>
      </c>
      <c r="P167" s="10">
        <v>70</v>
      </c>
      <c r="Q167" s="10">
        <v>100</v>
      </c>
      <c r="R167" s="13"/>
      <c r="S167" s="13" t="s">
        <v>621</v>
      </c>
      <c r="T167" s="13" t="s">
        <v>621</v>
      </c>
      <c r="U167" s="1"/>
      <c r="V167" s="26">
        <v>1</v>
      </c>
      <c r="W167" s="10" t="s">
        <v>420</v>
      </c>
      <c r="X167" s="1"/>
      <c r="Y167" s="1" t="s">
        <v>302</v>
      </c>
      <c r="Z167" s="1" t="s">
        <v>613</v>
      </c>
      <c r="AA167" s="24"/>
      <c r="AB167" s="10" t="s">
        <v>1762</v>
      </c>
      <c r="AC167" s="162">
        <v>1</v>
      </c>
      <c r="AD167" s="319">
        <v>1</v>
      </c>
      <c r="AE167" s="156">
        <v>1</v>
      </c>
      <c r="AF167" s="156">
        <v>1</v>
      </c>
      <c r="AG167" s="377">
        <f t="shared" si="23"/>
        <v>4</v>
      </c>
      <c r="AH167" s="377" t="b">
        <f t="shared" si="20"/>
        <v>0</v>
      </c>
      <c r="AI167" s="18">
        <v>0.1</v>
      </c>
      <c r="AJ167" s="18">
        <v>0.57999999999999996</v>
      </c>
      <c r="AK167" s="18">
        <v>0.8</v>
      </c>
      <c r="AL167" s="18">
        <v>0.8</v>
      </c>
      <c r="AM167" s="16">
        <f t="shared" si="21"/>
        <v>0.8</v>
      </c>
      <c r="AN167" s="162">
        <v>1</v>
      </c>
      <c r="AO167" s="18">
        <v>0.1</v>
      </c>
      <c r="AP167" s="18">
        <v>0.1</v>
      </c>
      <c r="AQ167" s="18"/>
      <c r="AR167" s="311">
        <f t="shared" si="18"/>
        <v>0.8</v>
      </c>
      <c r="AS167" s="21">
        <f t="shared" si="19"/>
        <v>0.8</v>
      </c>
      <c r="AT167" s="1">
        <f t="shared" si="22"/>
        <v>0.20500000000000002</v>
      </c>
      <c r="AU167" s="31"/>
      <c r="AV167" s="31"/>
      <c r="AW167" s="31"/>
      <c r="AX167" s="16">
        <f t="shared" si="25"/>
        <v>0.20500000000000002</v>
      </c>
      <c r="AY167" s="319">
        <v>1</v>
      </c>
      <c r="AZ167" s="76">
        <v>0.02</v>
      </c>
      <c r="BA167" s="456"/>
      <c r="BB167" s="31"/>
      <c r="BC167" s="31"/>
      <c r="BD167" s="16">
        <f t="shared" si="24"/>
        <v>0.02</v>
      </c>
      <c r="BE167" s="31"/>
      <c r="BF167" s="31"/>
      <c r="BG167" s="31"/>
      <c r="BH167" s="31"/>
      <c r="BI167" s="16"/>
      <c r="BJ167" s="16"/>
      <c r="BK167" s="31"/>
      <c r="BL167" s="31"/>
      <c r="BM167" s="31"/>
      <c r="BN167" s="31"/>
      <c r="BO167" s="16"/>
      <c r="BP167" s="31"/>
      <c r="BQ167" s="31"/>
      <c r="BR167" s="31"/>
      <c r="BS167" s="31"/>
      <c r="BT167" s="16"/>
      <c r="BU167" s="16"/>
      <c r="BV167" s="16"/>
      <c r="BW167" s="16"/>
      <c r="BX167" s="16"/>
      <c r="BY167" s="16"/>
      <c r="BZ167" s="16"/>
      <c r="CA167" s="26"/>
      <c r="CB167" s="26"/>
      <c r="CC167" s="1"/>
    </row>
    <row r="168" spans="1:81" s="52" customFormat="1" ht="78.75" x14ac:dyDescent="0.25">
      <c r="A168" s="1">
        <v>1</v>
      </c>
      <c r="B168" s="13" t="s">
        <v>1746</v>
      </c>
      <c r="C168" s="588"/>
      <c r="D168" s="589"/>
      <c r="E168" s="10" t="s">
        <v>293</v>
      </c>
      <c r="F168" s="13" t="s">
        <v>294</v>
      </c>
      <c r="G168" s="588"/>
      <c r="H168" s="589"/>
      <c r="I168" s="10" t="s">
        <v>576</v>
      </c>
      <c r="J168" s="13" t="s">
        <v>577</v>
      </c>
      <c r="K168" s="572"/>
      <c r="L168" s="573"/>
      <c r="M168" s="10"/>
      <c r="N168" s="23" t="s">
        <v>619</v>
      </c>
      <c r="O168" s="13" t="s">
        <v>619</v>
      </c>
      <c r="P168" s="10">
        <v>70</v>
      </c>
      <c r="Q168" s="10">
        <v>100</v>
      </c>
      <c r="R168" s="13"/>
      <c r="S168" s="13" t="s">
        <v>622</v>
      </c>
      <c r="T168" s="13" t="s">
        <v>622</v>
      </c>
      <c r="U168" s="1"/>
      <c r="V168" s="181">
        <v>22</v>
      </c>
      <c r="W168" s="10" t="s">
        <v>412</v>
      </c>
      <c r="X168" s="1"/>
      <c r="Y168" s="1" t="s">
        <v>302</v>
      </c>
      <c r="Z168" s="1" t="s">
        <v>613</v>
      </c>
      <c r="AA168" s="24"/>
      <c r="AB168" s="10" t="s">
        <v>1762</v>
      </c>
      <c r="AC168" s="162">
        <v>5</v>
      </c>
      <c r="AD168" s="108">
        <v>5</v>
      </c>
      <c r="AE168" s="156">
        <v>7</v>
      </c>
      <c r="AF168" s="156">
        <v>7</v>
      </c>
      <c r="AG168" s="377">
        <f t="shared" si="23"/>
        <v>24</v>
      </c>
      <c r="AH168" s="377" t="b">
        <f t="shared" si="20"/>
        <v>0</v>
      </c>
      <c r="AI168" s="27">
        <v>0</v>
      </c>
      <c r="AJ168" s="27">
        <v>1</v>
      </c>
      <c r="AK168" s="27">
        <v>1</v>
      </c>
      <c r="AL168" s="27">
        <v>1</v>
      </c>
      <c r="AM168" s="16">
        <f t="shared" si="21"/>
        <v>4.5454545454545456E-2</v>
      </c>
      <c r="AN168" s="162">
        <v>5</v>
      </c>
      <c r="AO168" s="27">
        <v>0</v>
      </c>
      <c r="AP168" s="27">
        <v>1</v>
      </c>
      <c r="AQ168" s="27"/>
      <c r="AR168" s="311">
        <f t="shared" si="18"/>
        <v>1</v>
      </c>
      <c r="AS168" s="21">
        <f t="shared" si="19"/>
        <v>0.2</v>
      </c>
      <c r="AT168" s="1">
        <f t="shared" si="22"/>
        <v>1</v>
      </c>
      <c r="AU168" s="31"/>
      <c r="AV168" s="31"/>
      <c r="AW168" s="31"/>
      <c r="AX168" s="16">
        <f t="shared" si="25"/>
        <v>4.5454545454545456E-2</v>
      </c>
      <c r="AY168" s="108">
        <v>5</v>
      </c>
      <c r="AZ168" s="76">
        <v>0</v>
      </c>
      <c r="BA168" s="456"/>
      <c r="BB168" s="31"/>
      <c r="BC168" s="31"/>
      <c r="BD168" s="16">
        <f t="shared" si="24"/>
        <v>0</v>
      </c>
      <c r="BE168" s="31"/>
      <c r="BF168" s="31"/>
      <c r="BG168" s="31"/>
      <c r="BH168" s="31"/>
      <c r="BI168" s="16"/>
      <c r="BJ168" s="16"/>
      <c r="BK168" s="31"/>
      <c r="BL168" s="31"/>
      <c r="BM168" s="31"/>
      <c r="BN168" s="31"/>
      <c r="BO168" s="16"/>
      <c r="BP168" s="31"/>
      <c r="BQ168" s="31"/>
      <c r="BR168" s="31"/>
      <c r="BS168" s="31"/>
      <c r="BT168" s="16"/>
      <c r="BU168" s="16"/>
      <c r="BV168" s="16"/>
      <c r="BW168" s="16"/>
      <c r="BX168" s="16"/>
      <c r="BY168" s="16"/>
      <c r="BZ168" s="16"/>
      <c r="CA168" s="27"/>
      <c r="CB168" s="27"/>
      <c r="CC168" s="1"/>
    </row>
    <row r="169" spans="1:81" s="52" customFormat="1" ht="47.25" x14ac:dyDescent="0.25">
      <c r="A169" s="1">
        <v>1</v>
      </c>
      <c r="B169" s="13" t="s">
        <v>1746</v>
      </c>
      <c r="C169" s="588"/>
      <c r="D169" s="589"/>
      <c r="E169" s="10" t="s">
        <v>293</v>
      </c>
      <c r="F169" s="13" t="s">
        <v>294</v>
      </c>
      <c r="G169" s="588"/>
      <c r="H169" s="589"/>
      <c r="I169" s="10" t="s">
        <v>576</v>
      </c>
      <c r="J169" s="13" t="s">
        <v>577</v>
      </c>
      <c r="K169" s="572"/>
      <c r="L169" s="573"/>
      <c r="M169" s="10"/>
      <c r="N169" s="23" t="s">
        <v>619</v>
      </c>
      <c r="O169" s="13" t="s">
        <v>619</v>
      </c>
      <c r="P169" s="10">
        <v>70</v>
      </c>
      <c r="Q169" s="10">
        <v>100</v>
      </c>
      <c r="R169" s="13"/>
      <c r="S169" s="312" t="s">
        <v>623</v>
      </c>
      <c r="T169" s="13" t="s">
        <v>623</v>
      </c>
      <c r="U169" s="1"/>
      <c r="V169" s="181">
        <v>4</v>
      </c>
      <c r="W169" s="10" t="s">
        <v>412</v>
      </c>
      <c r="X169" s="1"/>
      <c r="Y169" s="1" t="s">
        <v>302</v>
      </c>
      <c r="Z169" s="1" t="s">
        <v>613</v>
      </c>
      <c r="AA169" s="24"/>
      <c r="AB169" s="10" t="s">
        <v>1762</v>
      </c>
      <c r="AC169" s="162">
        <v>1</v>
      </c>
      <c r="AD169" s="156">
        <v>1</v>
      </c>
      <c r="AE169" s="156">
        <v>1</v>
      </c>
      <c r="AF169" s="156">
        <v>1</v>
      </c>
      <c r="AG169" s="377">
        <f t="shared" si="23"/>
        <v>4</v>
      </c>
      <c r="AH169" s="377" t="b">
        <f t="shared" si="20"/>
        <v>1</v>
      </c>
      <c r="AI169" s="27">
        <v>0</v>
      </c>
      <c r="AJ169" s="27">
        <v>0</v>
      </c>
      <c r="AK169" s="27">
        <v>0</v>
      </c>
      <c r="AL169" s="27">
        <v>0</v>
      </c>
      <c r="AM169" s="16">
        <f t="shared" si="21"/>
        <v>0</v>
      </c>
      <c r="AN169" s="162">
        <v>1</v>
      </c>
      <c r="AO169" s="27">
        <v>0</v>
      </c>
      <c r="AP169" s="27">
        <v>0</v>
      </c>
      <c r="AQ169" s="27"/>
      <c r="AR169" s="311">
        <f t="shared" si="18"/>
        <v>0</v>
      </c>
      <c r="AS169" s="21">
        <f t="shared" si="19"/>
        <v>0</v>
      </c>
      <c r="AT169" s="1">
        <f t="shared" si="22"/>
        <v>0</v>
      </c>
      <c r="AU169" s="31"/>
      <c r="AV169" s="31"/>
      <c r="AW169" s="31"/>
      <c r="AX169" s="16">
        <f t="shared" si="25"/>
        <v>0</v>
      </c>
      <c r="AY169" s="156">
        <v>1</v>
      </c>
      <c r="AZ169" s="76">
        <v>0</v>
      </c>
      <c r="BA169" s="456"/>
      <c r="BB169" s="31"/>
      <c r="BC169" s="31"/>
      <c r="BD169" s="16">
        <f t="shared" si="24"/>
        <v>0</v>
      </c>
      <c r="BE169" s="31"/>
      <c r="BF169" s="31"/>
      <c r="BG169" s="31"/>
      <c r="BH169" s="31"/>
      <c r="BI169" s="16"/>
      <c r="BJ169" s="16"/>
      <c r="BK169" s="31"/>
      <c r="BL169" s="31"/>
      <c r="BM169" s="31"/>
      <c r="BN169" s="31"/>
      <c r="BO169" s="16"/>
      <c r="BP169" s="31"/>
      <c r="BQ169" s="31"/>
      <c r="BR169" s="31"/>
      <c r="BS169" s="31"/>
      <c r="BT169" s="16"/>
      <c r="BU169" s="16"/>
      <c r="BV169" s="16"/>
      <c r="BW169" s="16"/>
      <c r="BX169" s="16"/>
      <c r="BY169" s="16"/>
      <c r="BZ169" s="16"/>
      <c r="CA169" s="27"/>
      <c r="CB169" s="27"/>
      <c r="CC169" s="1"/>
    </row>
    <row r="170" spans="1:81" s="52" customFormat="1" ht="73.5" customHeight="1" x14ac:dyDescent="0.25">
      <c r="A170" s="1">
        <v>1</v>
      </c>
      <c r="B170" s="13" t="s">
        <v>1746</v>
      </c>
      <c r="C170" s="588"/>
      <c r="D170" s="589"/>
      <c r="E170" s="10" t="s">
        <v>293</v>
      </c>
      <c r="F170" s="13" t="s">
        <v>294</v>
      </c>
      <c r="G170" s="588"/>
      <c r="H170" s="589"/>
      <c r="I170" s="10" t="s">
        <v>576</v>
      </c>
      <c r="J170" s="13" t="s">
        <v>577</v>
      </c>
      <c r="K170" s="568"/>
      <c r="L170" s="570"/>
      <c r="M170" s="10"/>
      <c r="N170" s="23" t="s">
        <v>619</v>
      </c>
      <c r="O170" s="13" t="s">
        <v>619</v>
      </c>
      <c r="P170" s="10">
        <v>70</v>
      </c>
      <c r="Q170" s="10">
        <v>100</v>
      </c>
      <c r="R170" s="13"/>
      <c r="S170" s="13" t="s">
        <v>624</v>
      </c>
      <c r="T170" s="13" t="s">
        <v>624</v>
      </c>
      <c r="U170" s="1"/>
      <c r="V170" s="378">
        <v>0.8</v>
      </c>
      <c r="W170" s="10" t="s">
        <v>412</v>
      </c>
      <c r="X170" s="1"/>
      <c r="Y170" s="1" t="s">
        <v>302</v>
      </c>
      <c r="Z170" s="1" t="s">
        <v>625</v>
      </c>
      <c r="AA170" s="24"/>
      <c r="AB170" s="10" t="s">
        <v>1762</v>
      </c>
      <c r="AC170" s="162">
        <v>0.3</v>
      </c>
      <c r="AD170" s="170">
        <v>0.2</v>
      </c>
      <c r="AE170" s="156">
        <v>0.3</v>
      </c>
      <c r="AF170" s="156">
        <v>0.3</v>
      </c>
      <c r="AG170" s="377">
        <f t="shared" si="23"/>
        <v>1.1000000000000001</v>
      </c>
      <c r="AH170" s="377" t="b">
        <f t="shared" si="20"/>
        <v>0</v>
      </c>
      <c r="AI170" s="26">
        <v>0</v>
      </c>
      <c r="AJ170" s="26">
        <v>0</v>
      </c>
      <c r="AK170" s="26">
        <v>0</v>
      </c>
      <c r="AL170" s="26">
        <v>0</v>
      </c>
      <c r="AM170" s="16">
        <f t="shared" si="21"/>
        <v>0</v>
      </c>
      <c r="AN170" s="162">
        <v>0.3</v>
      </c>
      <c r="AO170" s="26">
        <v>0</v>
      </c>
      <c r="AP170" s="26">
        <v>0</v>
      </c>
      <c r="AQ170" s="26"/>
      <c r="AR170" s="311">
        <f t="shared" si="18"/>
        <v>0</v>
      </c>
      <c r="AS170" s="21">
        <f t="shared" si="19"/>
        <v>0</v>
      </c>
      <c r="AT170" s="1">
        <f t="shared" si="22"/>
        <v>0</v>
      </c>
      <c r="AU170" s="31"/>
      <c r="AV170" s="31"/>
      <c r="AW170" s="31"/>
      <c r="AX170" s="16">
        <f t="shared" si="25"/>
        <v>0</v>
      </c>
      <c r="AY170" s="170">
        <v>0.2</v>
      </c>
      <c r="AZ170" s="76">
        <v>0</v>
      </c>
      <c r="BA170" s="456"/>
      <c r="BB170" s="31"/>
      <c r="BC170" s="31"/>
      <c r="BD170" s="16">
        <f t="shared" si="24"/>
        <v>0</v>
      </c>
      <c r="BE170" s="31"/>
      <c r="BF170" s="31"/>
      <c r="BG170" s="31"/>
      <c r="BH170" s="31"/>
      <c r="BI170" s="16"/>
      <c r="BJ170" s="16"/>
      <c r="BK170" s="31"/>
      <c r="BL170" s="31"/>
      <c r="BM170" s="31"/>
      <c r="BN170" s="31"/>
      <c r="BO170" s="16"/>
      <c r="BP170" s="31"/>
      <c r="BQ170" s="31"/>
      <c r="BR170" s="31"/>
      <c r="BS170" s="31"/>
      <c r="BT170" s="16"/>
      <c r="BU170" s="16"/>
      <c r="BV170" s="16"/>
      <c r="BW170" s="16"/>
      <c r="BX170" s="16"/>
      <c r="BY170" s="16"/>
      <c r="BZ170" s="16"/>
      <c r="CA170" s="26"/>
      <c r="CB170" s="26"/>
      <c r="CC170" s="1"/>
    </row>
    <row r="171" spans="1:81" s="52" customFormat="1" ht="129" customHeight="1" x14ac:dyDescent="0.25">
      <c r="A171" s="1">
        <v>1</v>
      </c>
      <c r="B171" s="13" t="s">
        <v>1746</v>
      </c>
      <c r="C171" s="588"/>
      <c r="D171" s="589"/>
      <c r="E171" s="10" t="s">
        <v>626</v>
      </c>
      <c r="F171" s="13" t="s">
        <v>627</v>
      </c>
      <c r="G171" s="588">
        <f>+AVERAGEIF(F14:F567,F171,AX14:AX567)</f>
        <v>0.21607222222222222</v>
      </c>
      <c r="H171" s="589">
        <f>+AVERAGEIF(F14:F567,F171,BD14:BD567)</f>
        <v>0.42919191919191918</v>
      </c>
      <c r="I171" s="10" t="s">
        <v>628</v>
      </c>
      <c r="J171" s="13" t="s">
        <v>629</v>
      </c>
      <c r="K171" s="567">
        <f>AVERAGE(AX171:AX172)</f>
        <v>0.15540000000000001</v>
      </c>
      <c r="L171" s="569">
        <f>IFERROR(AVERAGE(BD171:BD172),"NP")</f>
        <v>0.94181818181818178</v>
      </c>
      <c r="M171" s="11"/>
      <c r="N171" s="11" t="s">
        <v>630</v>
      </c>
      <c r="O171" s="11" t="s">
        <v>630</v>
      </c>
      <c r="P171" s="10">
        <v>0.65449999999999997</v>
      </c>
      <c r="Q171" s="10" t="s">
        <v>631</v>
      </c>
      <c r="R171" s="13"/>
      <c r="S171" s="13" t="s">
        <v>632</v>
      </c>
      <c r="T171" s="13" t="s">
        <v>632</v>
      </c>
      <c r="U171" s="10">
        <v>97004</v>
      </c>
      <c r="V171" s="10">
        <v>5000</v>
      </c>
      <c r="W171" s="10" t="s">
        <v>633</v>
      </c>
      <c r="X171" s="1"/>
      <c r="Y171" s="1" t="s">
        <v>81</v>
      </c>
      <c r="Z171" s="1">
        <v>40</v>
      </c>
      <c r="AA171" s="13" t="s">
        <v>82</v>
      </c>
      <c r="AB171" s="42" t="s">
        <v>1769</v>
      </c>
      <c r="AC171" s="162"/>
      <c r="AD171" s="108">
        <v>1650</v>
      </c>
      <c r="AE171" s="156"/>
      <c r="AF171" s="156"/>
      <c r="AG171" s="377">
        <f t="shared" si="23"/>
        <v>1650</v>
      </c>
      <c r="AH171" s="377" t="b">
        <f t="shared" si="20"/>
        <v>0</v>
      </c>
      <c r="AI171" s="1"/>
      <c r="AJ171" s="1"/>
      <c r="AK171" s="1"/>
      <c r="AL171" s="1"/>
      <c r="AM171" s="16">
        <f t="shared" si="21"/>
        <v>0</v>
      </c>
      <c r="AN171" s="162"/>
      <c r="AO171" s="1"/>
      <c r="AP171" s="1"/>
      <c r="AQ171" s="1"/>
      <c r="AR171" s="1"/>
      <c r="AS171" s="21" t="s">
        <v>310</v>
      </c>
      <c r="AT171" s="1">
        <f t="shared" si="22"/>
        <v>1554</v>
      </c>
      <c r="AU171" s="31"/>
      <c r="AV171" s="31"/>
      <c r="AW171" s="31"/>
      <c r="AX171" s="16">
        <f t="shared" si="25"/>
        <v>0.31080000000000002</v>
      </c>
      <c r="AY171" s="108">
        <v>1650</v>
      </c>
      <c r="AZ171" s="76">
        <v>1554</v>
      </c>
      <c r="BA171" s="31"/>
      <c r="BB171" s="31"/>
      <c r="BC171" s="31"/>
      <c r="BD171" s="16">
        <f t="shared" si="24"/>
        <v>0.94181818181818178</v>
      </c>
      <c r="BE171" s="31"/>
      <c r="BF171" s="31"/>
      <c r="BG171" s="31"/>
      <c r="BH171" s="31"/>
      <c r="BI171" s="16"/>
      <c r="BJ171" s="16"/>
      <c r="BK171" s="31"/>
      <c r="BL171" s="31"/>
      <c r="BM171" s="31"/>
      <c r="BN171" s="31"/>
      <c r="BO171" s="16"/>
      <c r="BP171" s="31"/>
      <c r="BQ171" s="31"/>
      <c r="BR171" s="31"/>
      <c r="BS171" s="31"/>
      <c r="BT171" s="16"/>
      <c r="BU171" s="16"/>
      <c r="BV171" s="16"/>
      <c r="BW171" s="16"/>
      <c r="BX171" s="16"/>
      <c r="BY171" s="16"/>
      <c r="BZ171" s="16"/>
      <c r="CA171" s="1"/>
      <c r="CB171" s="1"/>
      <c r="CC171" s="1"/>
    </row>
    <row r="172" spans="1:81" s="52" customFormat="1" ht="106.5" customHeight="1" x14ac:dyDescent="0.25">
      <c r="A172" s="1">
        <v>1</v>
      </c>
      <c r="B172" s="13" t="s">
        <v>1746</v>
      </c>
      <c r="C172" s="588"/>
      <c r="D172" s="589"/>
      <c r="E172" s="10" t="s">
        <v>626</v>
      </c>
      <c r="F172" s="13" t="s">
        <v>627</v>
      </c>
      <c r="G172" s="588"/>
      <c r="H172" s="589"/>
      <c r="I172" s="10" t="s">
        <v>628</v>
      </c>
      <c r="J172" s="13" t="s">
        <v>629</v>
      </c>
      <c r="K172" s="568"/>
      <c r="L172" s="570"/>
      <c r="M172" s="11"/>
      <c r="N172" s="11" t="s">
        <v>630</v>
      </c>
      <c r="O172" s="11" t="s">
        <v>630</v>
      </c>
      <c r="P172" s="10">
        <v>0.65449999999999997</v>
      </c>
      <c r="Q172" s="10" t="s">
        <v>631</v>
      </c>
      <c r="R172" s="13"/>
      <c r="S172" s="13" t="s">
        <v>634</v>
      </c>
      <c r="T172" s="13" t="s">
        <v>634</v>
      </c>
      <c r="U172" s="10">
        <v>1052</v>
      </c>
      <c r="V172" s="10">
        <v>1000</v>
      </c>
      <c r="W172" s="10" t="s">
        <v>49</v>
      </c>
      <c r="X172" s="1"/>
      <c r="Y172" s="1" t="s">
        <v>81</v>
      </c>
      <c r="Z172" s="1">
        <v>40</v>
      </c>
      <c r="AA172" s="13" t="s">
        <v>82</v>
      </c>
      <c r="AB172" s="42" t="s">
        <v>1769</v>
      </c>
      <c r="AC172" s="162"/>
      <c r="AD172" s="108"/>
      <c r="AE172" s="156"/>
      <c r="AF172" s="156"/>
      <c r="AG172" s="377">
        <f t="shared" si="23"/>
        <v>0</v>
      </c>
      <c r="AH172" s="377" t="b">
        <f t="shared" si="20"/>
        <v>0</v>
      </c>
      <c r="AI172" s="1"/>
      <c r="AJ172" s="1"/>
      <c r="AK172" s="1"/>
      <c r="AL172" s="1"/>
      <c r="AM172" s="16">
        <f t="shared" si="21"/>
        <v>0</v>
      </c>
      <c r="AN172" s="162"/>
      <c r="AO172" s="1"/>
      <c r="AP172" s="1"/>
      <c r="AQ172" s="1"/>
      <c r="AR172" s="1"/>
      <c r="AS172" s="21" t="s">
        <v>310</v>
      </c>
      <c r="AT172" s="1">
        <f t="shared" si="22"/>
        <v>0</v>
      </c>
      <c r="AU172" s="31"/>
      <c r="AV172" s="31"/>
      <c r="AW172" s="31"/>
      <c r="AX172" s="16">
        <f t="shared" si="25"/>
        <v>0</v>
      </c>
      <c r="AY172" s="108" t="s">
        <v>310</v>
      </c>
      <c r="AZ172" s="76">
        <v>0</v>
      </c>
      <c r="BA172" s="31"/>
      <c r="BB172" s="31"/>
      <c r="BC172" s="31"/>
      <c r="BD172" s="16" t="str">
        <f t="shared" si="24"/>
        <v>NP</v>
      </c>
      <c r="BE172" s="31"/>
      <c r="BF172" s="31"/>
      <c r="BG172" s="31"/>
      <c r="BH172" s="31"/>
      <c r="BI172" s="16"/>
      <c r="BJ172" s="16"/>
      <c r="BK172" s="31"/>
      <c r="BL172" s="31"/>
      <c r="BM172" s="31"/>
      <c r="BN172" s="31"/>
      <c r="BO172" s="16"/>
      <c r="BP172" s="31"/>
      <c r="BQ172" s="31"/>
      <c r="BR172" s="31"/>
      <c r="BS172" s="31"/>
      <c r="BT172" s="16"/>
      <c r="BU172" s="16"/>
      <c r="BV172" s="16"/>
      <c r="BW172" s="16"/>
      <c r="BX172" s="16"/>
      <c r="BY172" s="16"/>
      <c r="BZ172" s="16"/>
      <c r="CA172" s="1"/>
      <c r="CB172" s="1"/>
      <c r="CC172" s="1"/>
    </row>
    <row r="173" spans="1:81" s="52" customFormat="1" ht="63" x14ac:dyDescent="0.25">
      <c r="A173" s="1">
        <v>1</v>
      </c>
      <c r="B173" s="13" t="s">
        <v>1746</v>
      </c>
      <c r="C173" s="588"/>
      <c r="D173" s="589"/>
      <c r="E173" s="10" t="s">
        <v>626</v>
      </c>
      <c r="F173" s="13" t="s">
        <v>627</v>
      </c>
      <c r="G173" s="588"/>
      <c r="H173" s="589"/>
      <c r="I173" s="10" t="s">
        <v>635</v>
      </c>
      <c r="J173" s="13" t="s">
        <v>636</v>
      </c>
      <c r="K173" s="567">
        <f>AVERAGE(AX173:AX178)</f>
        <v>0.23629629629629631</v>
      </c>
      <c r="L173" s="569">
        <f>AVERAGE(BD173:BD178)</f>
        <v>0.32666666666666666</v>
      </c>
      <c r="M173" s="13"/>
      <c r="N173" s="23" t="s">
        <v>637</v>
      </c>
      <c r="O173" s="13" t="s">
        <v>637</v>
      </c>
      <c r="P173" s="10">
        <v>77</v>
      </c>
      <c r="Q173" s="10">
        <v>90</v>
      </c>
      <c r="R173" s="13"/>
      <c r="S173" s="13" t="s">
        <v>638</v>
      </c>
      <c r="T173" s="13" t="s">
        <v>638</v>
      </c>
      <c r="U173" s="1">
        <v>24</v>
      </c>
      <c r="V173" s="1">
        <v>9</v>
      </c>
      <c r="W173" s="10" t="s">
        <v>412</v>
      </c>
      <c r="X173" s="1"/>
      <c r="Y173" s="10" t="s">
        <v>639</v>
      </c>
      <c r="Z173" s="10" t="s">
        <v>640</v>
      </c>
      <c r="AA173" s="24"/>
      <c r="AB173" s="10" t="s">
        <v>1765</v>
      </c>
      <c r="AC173" s="162">
        <v>3</v>
      </c>
      <c r="AD173" s="156">
        <v>2</v>
      </c>
      <c r="AE173" s="156">
        <v>2</v>
      </c>
      <c r="AF173" s="156">
        <v>2</v>
      </c>
      <c r="AG173" s="377">
        <f t="shared" si="23"/>
        <v>9</v>
      </c>
      <c r="AH173" s="377" t="b">
        <f t="shared" si="20"/>
        <v>1</v>
      </c>
      <c r="AI173" s="1">
        <v>0</v>
      </c>
      <c r="AJ173" s="1">
        <f>1+AI173</f>
        <v>1</v>
      </c>
      <c r="AK173" s="1">
        <v>2</v>
      </c>
      <c r="AL173" s="1">
        <v>2</v>
      </c>
      <c r="AM173" s="16">
        <f t="shared" si="21"/>
        <v>0.22222222222222221</v>
      </c>
      <c r="AN173" s="162">
        <v>3</v>
      </c>
      <c r="AO173" s="1">
        <v>0</v>
      </c>
      <c r="AP173" s="1">
        <f>1+AO173</f>
        <v>1</v>
      </c>
      <c r="AQ173" s="1"/>
      <c r="AR173" s="1">
        <f>AL173</f>
        <v>2</v>
      </c>
      <c r="AS173" s="21">
        <f>IFERROR(+AR173/AN173,0)</f>
        <v>0.66666666666666663</v>
      </c>
      <c r="AT173" s="1">
        <f t="shared" si="22"/>
        <v>3</v>
      </c>
      <c r="AU173" s="31"/>
      <c r="AV173" s="31"/>
      <c r="AW173" s="31"/>
      <c r="AX173" s="16">
        <f t="shared" si="25"/>
        <v>0.33333333333333331</v>
      </c>
      <c r="AY173" s="156">
        <v>2</v>
      </c>
      <c r="AZ173" s="76">
        <v>1</v>
      </c>
      <c r="BA173" s="31"/>
      <c r="BB173" s="31"/>
      <c r="BC173" s="31"/>
      <c r="BD173" s="16">
        <f t="shared" si="24"/>
        <v>0.5</v>
      </c>
      <c r="BE173" s="31"/>
      <c r="BF173" s="31"/>
      <c r="BG173" s="31"/>
      <c r="BH173" s="31"/>
      <c r="BI173" s="16"/>
      <c r="BJ173" s="16"/>
      <c r="BK173" s="31"/>
      <c r="BL173" s="31"/>
      <c r="BM173" s="31"/>
      <c r="BN173" s="31"/>
      <c r="BO173" s="16"/>
      <c r="BP173" s="31"/>
      <c r="BQ173" s="31"/>
      <c r="BR173" s="31"/>
      <c r="BS173" s="31"/>
      <c r="BT173" s="16"/>
      <c r="BU173" s="16"/>
      <c r="BV173" s="16"/>
      <c r="BW173" s="16"/>
      <c r="BX173" s="16"/>
      <c r="BY173" s="16"/>
      <c r="BZ173" s="16"/>
      <c r="CA173" s="1"/>
      <c r="CB173" s="1"/>
      <c r="CC173" s="1"/>
    </row>
    <row r="174" spans="1:81" s="52" customFormat="1" ht="63" x14ac:dyDescent="0.25">
      <c r="A174" s="1">
        <v>1</v>
      </c>
      <c r="B174" s="13" t="s">
        <v>1746</v>
      </c>
      <c r="C174" s="588"/>
      <c r="D174" s="589"/>
      <c r="E174" s="10" t="s">
        <v>626</v>
      </c>
      <c r="F174" s="13" t="s">
        <v>627</v>
      </c>
      <c r="G174" s="588"/>
      <c r="H174" s="589"/>
      <c r="I174" s="10" t="s">
        <v>635</v>
      </c>
      <c r="J174" s="13" t="s">
        <v>636</v>
      </c>
      <c r="K174" s="572"/>
      <c r="L174" s="573"/>
      <c r="M174" s="13"/>
      <c r="N174" s="329" t="s">
        <v>641</v>
      </c>
      <c r="O174" s="330" t="s">
        <v>641</v>
      </c>
      <c r="P174" s="370">
        <v>41</v>
      </c>
      <c r="Q174" s="370">
        <v>50</v>
      </c>
      <c r="R174" s="330"/>
      <c r="S174" s="330" t="s">
        <v>642</v>
      </c>
      <c r="T174" s="330" t="s">
        <v>642</v>
      </c>
      <c r="U174" s="1">
        <v>13</v>
      </c>
      <c r="V174" s="1">
        <v>25</v>
      </c>
      <c r="W174" s="10" t="s">
        <v>412</v>
      </c>
      <c r="X174" s="1"/>
      <c r="Y174" s="10" t="s">
        <v>639</v>
      </c>
      <c r="Z174" s="10" t="s">
        <v>640</v>
      </c>
      <c r="AA174" s="24"/>
      <c r="AB174" s="10" t="s">
        <v>1765</v>
      </c>
      <c r="AC174" s="162">
        <v>5</v>
      </c>
      <c r="AD174" s="156">
        <v>5</v>
      </c>
      <c r="AE174" s="156">
        <v>7</v>
      </c>
      <c r="AF174" s="156">
        <v>8</v>
      </c>
      <c r="AG174" s="377">
        <f t="shared" si="23"/>
        <v>25</v>
      </c>
      <c r="AH174" s="377" t="b">
        <f t="shared" si="20"/>
        <v>1</v>
      </c>
      <c r="AI174" s="1">
        <v>2</v>
      </c>
      <c r="AJ174" s="1">
        <f>1+AI174</f>
        <v>3</v>
      </c>
      <c r="AK174" s="1">
        <v>5</v>
      </c>
      <c r="AL174" s="1">
        <v>5</v>
      </c>
      <c r="AM174" s="16">
        <f t="shared" si="21"/>
        <v>0.2</v>
      </c>
      <c r="AN174" s="162">
        <v>5</v>
      </c>
      <c r="AO174" s="1">
        <v>2</v>
      </c>
      <c r="AP174" s="1">
        <f>1+AO174</f>
        <v>3</v>
      </c>
      <c r="AQ174" s="1"/>
      <c r="AR174" s="1">
        <f>AL174</f>
        <v>5</v>
      </c>
      <c r="AS174" s="21">
        <f>IFERROR(+AR174/AN174,0)</f>
        <v>1</v>
      </c>
      <c r="AT174" s="1">
        <f t="shared" si="22"/>
        <v>6</v>
      </c>
      <c r="AU174" s="31"/>
      <c r="AV174" s="31"/>
      <c r="AW174" s="31"/>
      <c r="AX174" s="16">
        <f t="shared" si="25"/>
        <v>0.24</v>
      </c>
      <c r="AY174" s="156">
        <v>5</v>
      </c>
      <c r="AZ174" s="76">
        <v>1</v>
      </c>
      <c r="BA174" s="31"/>
      <c r="BB174" s="31"/>
      <c r="BC174" s="31"/>
      <c r="BD174" s="16">
        <f t="shared" si="24"/>
        <v>0.2</v>
      </c>
      <c r="BE174" s="31"/>
      <c r="BF174" s="31"/>
      <c r="BG174" s="31"/>
      <c r="BH174" s="31"/>
      <c r="BI174" s="16"/>
      <c r="BJ174" s="16"/>
      <c r="BK174" s="31"/>
      <c r="BL174" s="31"/>
      <c r="BM174" s="31"/>
      <c r="BN174" s="31"/>
      <c r="BO174" s="16"/>
      <c r="BP174" s="31"/>
      <c r="BQ174" s="31"/>
      <c r="BR174" s="31"/>
      <c r="BS174" s="31"/>
      <c r="BT174" s="16"/>
      <c r="BU174" s="16"/>
      <c r="BV174" s="16"/>
      <c r="BW174" s="16"/>
      <c r="BX174" s="16"/>
      <c r="BY174" s="16"/>
      <c r="BZ174" s="16"/>
      <c r="CA174" s="1"/>
      <c r="CB174" s="1"/>
      <c r="CC174" s="1"/>
    </row>
    <row r="175" spans="1:81" s="52" customFormat="1" ht="63" x14ac:dyDescent="0.25">
      <c r="A175" s="1">
        <v>1</v>
      </c>
      <c r="B175" s="13" t="s">
        <v>1746</v>
      </c>
      <c r="C175" s="588"/>
      <c r="D175" s="589"/>
      <c r="E175" s="10" t="s">
        <v>626</v>
      </c>
      <c r="F175" s="13" t="s">
        <v>627</v>
      </c>
      <c r="G175" s="588"/>
      <c r="H175" s="589"/>
      <c r="I175" s="10" t="s">
        <v>635</v>
      </c>
      <c r="J175" s="13" t="s">
        <v>636</v>
      </c>
      <c r="K175" s="572"/>
      <c r="L175" s="573"/>
      <c r="M175" s="13"/>
      <c r="N175" s="23" t="s">
        <v>643</v>
      </c>
      <c r="O175" s="13" t="s">
        <v>643</v>
      </c>
      <c r="P175" s="10">
        <v>24</v>
      </c>
      <c r="Q175" s="10">
        <v>40</v>
      </c>
      <c r="R175" s="13"/>
      <c r="S175" s="13" t="s">
        <v>644</v>
      </c>
      <c r="T175" s="13" t="s">
        <v>644</v>
      </c>
      <c r="U175" s="1">
        <v>2</v>
      </c>
      <c r="V175" s="1">
        <v>5</v>
      </c>
      <c r="W175" s="10" t="s">
        <v>412</v>
      </c>
      <c r="X175" s="1"/>
      <c r="Y175" s="10" t="s">
        <v>639</v>
      </c>
      <c r="Z175" s="10" t="s">
        <v>640</v>
      </c>
      <c r="AA175" s="24"/>
      <c r="AB175" s="10" t="s">
        <v>1765</v>
      </c>
      <c r="AC175" s="162">
        <v>1</v>
      </c>
      <c r="AD175" s="156">
        <v>1</v>
      </c>
      <c r="AE175" s="156">
        <v>1</v>
      </c>
      <c r="AF175" s="156">
        <v>2</v>
      </c>
      <c r="AG175" s="377">
        <f t="shared" si="23"/>
        <v>5</v>
      </c>
      <c r="AH175" s="377" t="b">
        <f t="shared" si="20"/>
        <v>1</v>
      </c>
      <c r="AI175" s="108">
        <v>1</v>
      </c>
      <c r="AJ175" s="108">
        <f>2+AI175</f>
        <v>3</v>
      </c>
      <c r="AK175" s="108">
        <v>0</v>
      </c>
      <c r="AL175" s="108">
        <v>0</v>
      </c>
      <c r="AM175" s="16">
        <f t="shared" si="21"/>
        <v>0</v>
      </c>
      <c r="AN175" s="162">
        <v>1</v>
      </c>
      <c r="AO175" s="1">
        <v>1</v>
      </c>
      <c r="AP175" s="108">
        <v>1</v>
      </c>
      <c r="AQ175" s="108"/>
      <c r="AR175" s="1">
        <f>AL175</f>
        <v>0</v>
      </c>
      <c r="AS175" s="21">
        <f>IFERROR(+AR175/AN175,0)</f>
        <v>0</v>
      </c>
      <c r="AT175" s="1">
        <f t="shared" si="22"/>
        <v>0</v>
      </c>
      <c r="AU175" s="31"/>
      <c r="AV175" s="31"/>
      <c r="AW175" s="31"/>
      <c r="AX175" s="16">
        <f t="shared" si="25"/>
        <v>0</v>
      </c>
      <c r="AY175" s="156">
        <v>1</v>
      </c>
      <c r="AZ175" s="76"/>
      <c r="BA175" s="31"/>
      <c r="BB175" s="31"/>
      <c r="BC175" s="31"/>
      <c r="BD175" s="16">
        <f t="shared" si="24"/>
        <v>0</v>
      </c>
      <c r="BE175" s="31"/>
      <c r="BF175" s="31"/>
      <c r="BG175" s="31"/>
      <c r="BH175" s="31"/>
      <c r="BI175" s="16"/>
      <c r="BJ175" s="16"/>
      <c r="BK175" s="31"/>
      <c r="BL175" s="31"/>
      <c r="BM175" s="31"/>
      <c r="BN175" s="31"/>
      <c r="BO175" s="16"/>
      <c r="BP175" s="31"/>
      <c r="BQ175" s="31"/>
      <c r="BR175" s="31"/>
      <c r="BS175" s="31"/>
      <c r="BT175" s="16"/>
      <c r="BU175" s="16"/>
      <c r="BV175" s="16"/>
      <c r="BW175" s="16"/>
      <c r="BX175" s="16"/>
      <c r="BY175" s="16"/>
      <c r="BZ175" s="16"/>
      <c r="CA175" s="1"/>
      <c r="CB175" s="1"/>
      <c r="CC175" s="1"/>
    </row>
    <row r="176" spans="1:81" s="52" customFormat="1" ht="63" x14ac:dyDescent="0.25">
      <c r="A176" s="1">
        <v>1</v>
      </c>
      <c r="B176" s="13" t="s">
        <v>1746</v>
      </c>
      <c r="C176" s="588"/>
      <c r="D176" s="589"/>
      <c r="E176" s="10" t="s">
        <v>626</v>
      </c>
      <c r="F176" s="13" t="s">
        <v>627</v>
      </c>
      <c r="G176" s="588"/>
      <c r="H176" s="589"/>
      <c r="I176" s="10" t="s">
        <v>635</v>
      </c>
      <c r="J176" s="13" t="s">
        <v>636</v>
      </c>
      <c r="K176" s="572"/>
      <c r="L176" s="573"/>
      <c r="M176" s="13"/>
      <c r="N176" s="23" t="s">
        <v>645</v>
      </c>
      <c r="O176" s="13" t="s">
        <v>645</v>
      </c>
      <c r="P176" s="10">
        <v>75</v>
      </c>
      <c r="Q176" s="10">
        <v>85</v>
      </c>
      <c r="R176" s="13"/>
      <c r="S176" s="13" t="s">
        <v>646</v>
      </c>
      <c r="T176" s="13" t="s">
        <v>646</v>
      </c>
      <c r="U176" s="1">
        <v>2</v>
      </c>
      <c r="V176" s="1">
        <v>1</v>
      </c>
      <c r="W176" s="10" t="s">
        <v>412</v>
      </c>
      <c r="X176" s="1"/>
      <c r="Y176" s="10" t="s">
        <v>639</v>
      </c>
      <c r="Z176" s="10" t="s">
        <v>640</v>
      </c>
      <c r="AA176" s="24"/>
      <c r="AB176" s="10" t="s">
        <v>1765</v>
      </c>
      <c r="AC176" s="162"/>
      <c r="AD176" s="156"/>
      <c r="AE176" s="156">
        <v>1</v>
      </c>
      <c r="AF176" s="156"/>
      <c r="AG176" s="377">
        <f t="shared" si="23"/>
        <v>1</v>
      </c>
      <c r="AH176" s="377" t="b">
        <f t="shared" si="20"/>
        <v>1</v>
      </c>
      <c r="AI176" s="1"/>
      <c r="AJ176" s="1"/>
      <c r="AK176" s="1"/>
      <c r="AL176" s="1"/>
      <c r="AM176" s="16">
        <f t="shared" si="21"/>
        <v>0</v>
      </c>
      <c r="AN176" s="162"/>
      <c r="AO176" s="1"/>
      <c r="AP176" s="1"/>
      <c r="AQ176" s="1"/>
      <c r="AR176" s="1"/>
      <c r="AS176" s="21" t="s">
        <v>310</v>
      </c>
      <c r="AT176" s="1">
        <f t="shared" si="22"/>
        <v>0</v>
      </c>
      <c r="AU176" s="31"/>
      <c r="AV176" s="31"/>
      <c r="AW176" s="31"/>
      <c r="AX176" s="16">
        <f t="shared" si="25"/>
        <v>0</v>
      </c>
      <c r="AY176" s="156" t="s">
        <v>310</v>
      </c>
      <c r="AZ176" s="76"/>
      <c r="BA176" s="31"/>
      <c r="BB176" s="31"/>
      <c r="BC176" s="31"/>
      <c r="BD176" s="16" t="str">
        <f t="shared" si="24"/>
        <v>NP</v>
      </c>
      <c r="BE176" s="31"/>
      <c r="BF176" s="31"/>
      <c r="BG176" s="31"/>
      <c r="BH176" s="31"/>
      <c r="BI176" s="16"/>
      <c r="BJ176" s="16"/>
      <c r="BK176" s="31"/>
      <c r="BL176" s="31"/>
      <c r="BM176" s="31"/>
      <c r="BN176" s="31"/>
      <c r="BO176" s="16"/>
      <c r="BP176" s="31"/>
      <c r="BQ176" s="31"/>
      <c r="BR176" s="31"/>
      <c r="BS176" s="31"/>
      <c r="BT176" s="16"/>
      <c r="BU176" s="16"/>
      <c r="BV176" s="16"/>
      <c r="BW176" s="16"/>
      <c r="BX176" s="16"/>
      <c r="BY176" s="16"/>
      <c r="BZ176" s="16"/>
      <c r="CA176" s="1"/>
      <c r="CB176" s="1"/>
      <c r="CC176" s="1"/>
    </row>
    <row r="177" spans="1:81" s="52" customFormat="1" ht="78.75" x14ac:dyDescent="0.25">
      <c r="A177" s="1">
        <v>1</v>
      </c>
      <c r="B177" s="13" t="s">
        <v>1746</v>
      </c>
      <c r="C177" s="588"/>
      <c r="D177" s="589"/>
      <c r="E177" s="10" t="s">
        <v>626</v>
      </c>
      <c r="F177" s="13" t="s">
        <v>627</v>
      </c>
      <c r="G177" s="588"/>
      <c r="H177" s="589"/>
      <c r="I177" s="10" t="s">
        <v>635</v>
      </c>
      <c r="J177" s="13" t="s">
        <v>636</v>
      </c>
      <c r="K177" s="572"/>
      <c r="L177" s="573"/>
      <c r="M177" s="13"/>
      <c r="N177" s="23" t="s">
        <v>647</v>
      </c>
      <c r="O177" s="13" t="s">
        <v>647</v>
      </c>
      <c r="P177" s="10">
        <v>41</v>
      </c>
      <c r="Q177" s="10">
        <v>45</v>
      </c>
      <c r="R177" s="13"/>
      <c r="S177" s="13" t="s">
        <v>648</v>
      </c>
      <c r="T177" s="13" t="s">
        <v>648</v>
      </c>
      <c r="U177" s="1">
        <v>41</v>
      </c>
      <c r="V177" s="1">
        <v>45</v>
      </c>
      <c r="W177" s="10" t="s">
        <v>412</v>
      </c>
      <c r="X177" s="1"/>
      <c r="Y177" s="10" t="s">
        <v>639</v>
      </c>
      <c r="Z177" s="10" t="s">
        <v>640</v>
      </c>
      <c r="AA177" s="24"/>
      <c r="AB177" s="10" t="s">
        <v>1765</v>
      </c>
      <c r="AC177" s="162">
        <v>6</v>
      </c>
      <c r="AD177" s="156">
        <v>15</v>
      </c>
      <c r="AE177" s="156">
        <v>12</v>
      </c>
      <c r="AF177" s="156">
        <v>12</v>
      </c>
      <c r="AG177" s="377">
        <f t="shared" si="23"/>
        <v>45</v>
      </c>
      <c r="AH177" s="377" t="b">
        <f t="shared" si="20"/>
        <v>1</v>
      </c>
      <c r="AI177" s="1">
        <v>5</v>
      </c>
      <c r="AJ177" s="1">
        <v>8</v>
      </c>
      <c r="AK177" s="1">
        <v>12</v>
      </c>
      <c r="AL177" s="1">
        <v>12</v>
      </c>
      <c r="AM177" s="16">
        <f t="shared" si="21"/>
        <v>0.26666666666666666</v>
      </c>
      <c r="AN177" s="162">
        <v>6</v>
      </c>
      <c r="AO177" s="1">
        <v>5</v>
      </c>
      <c r="AP177" s="108">
        <v>6</v>
      </c>
      <c r="AQ177" s="108"/>
      <c r="AR177" s="1">
        <f>AL177</f>
        <v>12</v>
      </c>
      <c r="AS177" s="21">
        <v>1</v>
      </c>
      <c r="AT177" s="1">
        <f t="shared" si="22"/>
        <v>19</v>
      </c>
      <c r="AU177" s="31"/>
      <c r="AV177" s="31"/>
      <c r="AW177" s="31"/>
      <c r="AX177" s="16">
        <f t="shared" si="25"/>
        <v>0.42222222222222222</v>
      </c>
      <c r="AY177" s="156">
        <v>15</v>
      </c>
      <c r="AZ177" s="76">
        <v>7</v>
      </c>
      <c r="BA177" s="31"/>
      <c r="BB177" s="31"/>
      <c r="BC177" s="31"/>
      <c r="BD177" s="16">
        <f t="shared" si="24"/>
        <v>0.46666666666666667</v>
      </c>
      <c r="BE177" s="31"/>
      <c r="BF177" s="31"/>
      <c r="BG177" s="31"/>
      <c r="BH177" s="31"/>
      <c r="BI177" s="16"/>
      <c r="BJ177" s="16"/>
      <c r="BK177" s="31"/>
      <c r="BL177" s="31"/>
      <c r="BM177" s="31"/>
      <c r="BN177" s="31"/>
      <c r="BO177" s="16"/>
      <c r="BP177" s="31"/>
      <c r="BQ177" s="31"/>
      <c r="BR177" s="31"/>
      <c r="BS177" s="31"/>
      <c r="BT177" s="16"/>
      <c r="BU177" s="16"/>
      <c r="BV177" s="16"/>
      <c r="BW177" s="16"/>
      <c r="BX177" s="16"/>
      <c r="BY177" s="16"/>
      <c r="BZ177" s="16"/>
      <c r="CA177" s="1"/>
      <c r="CB177" s="1"/>
      <c r="CC177" s="1"/>
    </row>
    <row r="178" spans="1:81" s="52" customFormat="1" ht="78.75" x14ac:dyDescent="0.25">
      <c r="A178" s="1">
        <v>1</v>
      </c>
      <c r="B178" s="13" t="s">
        <v>1746</v>
      </c>
      <c r="C178" s="588"/>
      <c r="D178" s="589"/>
      <c r="E178" s="10" t="s">
        <v>626</v>
      </c>
      <c r="F178" s="13" t="s">
        <v>627</v>
      </c>
      <c r="G178" s="588"/>
      <c r="H178" s="589"/>
      <c r="I178" s="10" t="s">
        <v>635</v>
      </c>
      <c r="J178" s="13" t="s">
        <v>636</v>
      </c>
      <c r="K178" s="568"/>
      <c r="L178" s="570"/>
      <c r="M178" s="13"/>
      <c r="N178" s="10" t="s">
        <v>649</v>
      </c>
      <c r="O178" s="13" t="s">
        <v>649</v>
      </c>
      <c r="P178" s="10">
        <v>15</v>
      </c>
      <c r="Q178" s="10">
        <v>18</v>
      </c>
      <c r="R178" s="13"/>
      <c r="S178" s="13" t="s">
        <v>650</v>
      </c>
      <c r="T178" s="13" t="s">
        <v>650</v>
      </c>
      <c r="U178" s="1">
        <v>19</v>
      </c>
      <c r="V178" s="1">
        <v>45</v>
      </c>
      <c r="W178" s="10" t="s">
        <v>412</v>
      </c>
      <c r="X178" s="1"/>
      <c r="Y178" s="10" t="s">
        <v>639</v>
      </c>
      <c r="Z178" s="10" t="s">
        <v>640</v>
      </c>
      <c r="AA178" s="24"/>
      <c r="AB178" s="10" t="s">
        <v>1765</v>
      </c>
      <c r="AC178" s="162">
        <v>6</v>
      </c>
      <c r="AD178" s="156">
        <v>15</v>
      </c>
      <c r="AE178" s="156">
        <v>12</v>
      </c>
      <c r="AF178" s="156">
        <v>12</v>
      </c>
      <c r="AG178" s="377">
        <f t="shared" si="23"/>
        <v>45</v>
      </c>
      <c r="AH178" s="377" t="b">
        <f t="shared" si="20"/>
        <v>1</v>
      </c>
      <c r="AI178" s="76">
        <v>5</v>
      </c>
      <c r="AJ178" s="76">
        <v>8</v>
      </c>
      <c r="AK178" s="1">
        <v>12</v>
      </c>
      <c r="AL178" s="76">
        <v>12</v>
      </c>
      <c r="AM178" s="16">
        <f t="shared" si="21"/>
        <v>0.26666666666666666</v>
      </c>
      <c r="AN178" s="162">
        <v>6</v>
      </c>
      <c r="AO178" s="1">
        <v>5</v>
      </c>
      <c r="AP178" s="108">
        <v>6</v>
      </c>
      <c r="AQ178" s="108"/>
      <c r="AR178" s="1">
        <f>AL178</f>
        <v>12</v>
      </c>
      <c r="AS178" s="21">
        <v>1</v>
      </c>
      <c r="AT178" s="1">
        <f t="shared" si="22"/>
        <v>19</v>
      </c>
      <c r="AU178" s="31"/>
      <c r="AV178" s="31"/>
      <c r="AW178" s="31"/>
      <c r="AX178" s="16">
        <f t="shared" si="25"/>
        <v>0.42222222222222222</v>
      </c>
      <c r="AY178" s="156">
        <v>15</v>
      </c>
      <c r="AZ178" s="76">
        <v>7</v>
      </c>
      <c r="BA178" s="31"/>
      <c r="BB178" s="31"/>
      <c r="BC178" s="31"/>
      <c r="BD178" s="16">
        <f t="shared" si="24"/>
        <v>0.46666666666666667</v>
      </c>
      <c r="BE178" s="31"/>
      <c r="BF178" s="31"/>
      <c r="BG178" s="31"/>
      <c r="BH178" s="31"/>
      <c r="BI178" s="16"/>
      <c r="BJ178" s="16"/>
      <c r="BK178" s="31"/>
      <c r="BL178" s="31"/>
      <c r="BM178" s="31"/>
      <c r="BN178" s="31"/>
      <c r="BO178" s="16"/>
      <c r="BP178" s="31"/>
      <c r="BQ178" s="31"/>
      <c r="BR178" s="31"/>
      <c r="BS178" s="31"/>
      <c r="BT178" s="16"/>
      <c r="BU178" s="16"/>
      <c r="BV178" s="16"/>
      <c r="BW178" s="16"/>
      <c r="BX178" s="16"/>
      <c r="BY178" s="16"/>
      <c r="BZ178" s="16"/>
      <c r="CA178" s="1"/>
      <c r="CB178" s="1"/>
      <c r="CC178" s="1"/>
    </row>
    <row r="179" spans="1:81" s="52" customFormat="1" ht="47.25" x14ac:dyDescent="0.25">
      <c r="A179" s="1">
        <v>1</v>
      </c>
      <c r="B179" s="13" t="s">
        <v>1746</v>
      </c>
      <c r="C179" s="588"/>
      <c r="D179" s="589"/>
      <c r="E179" s="10" t="s">
        <v>651</v>
      </c>
      <c r="F179" s="13" t="s">
        <v>652</v>
      </c>
      <c r="G179" s="588">
        <f>+AVERAGEIF(F14:F567,F179,AX14:AX567)</f>
        <v>0.40661849600238181</v>
      </c>
      <c r="H179" s="589">
        <f>+AVERAGEIF(F14:F567,F179,BD14:BD567)</f>
        <v>0.17906398898153661</v>
      </c>
      <c r="I179" s="10" t="s">
        <v>653</v>
      </c>
      <c r="J179" s="13" t="s">
        <v>654</v>
      </c>
      <c r="K179" s="567">
        <f>AVERAGE(AX179:AX182)</f>
        <v>1.2500000000000001E-2</v>
      </c>
      <c r="L179" s="569">
        <f>AVERAGE(BD179:BD182)</f>
        <v>0</v>
      </c>
      <c r="M179" s="23"/>
      <c r="N179" s="23" t="s">
        <v>655</v>
      </c>
      <c r="O179" s="13" t="s">
        <v>656</v>
      </c>
      <c r="P179" s="26">
        <v>0.45</v>
      </c>
      <c r="Q179" s="26">
        <v>0.55000000000000004</v>
      </c>
      <c r="R179" s="14"/>
      <c r="S179" s="13" t="s">
        <v>657</v>
      </c>
      <c r="T179" s="13" t="s">
        <v>658</v>
      </c>
      <c r="U179" s="1">
        <v>11</v>
      </c>
      <c r="V179" s="1">
        <v>5</v>
      </c>
      <c r="W179" s="1" t="s">
        <v>412</v>
      </c>
      <c r="X179" s="10"/>
      <c r="Y179" s="10" t="s">
        <v>659</v>
      </c>
      <c r="Z179" s="1" t="s">
        <v>613</v>
      </c>
      <c r="AA179" s="13" t="s">
        <v>660</v>
      </c>
      <c r="AB179" s="10" t="s">
        <v>1917</v>
      </c>
      <c r="AC179" s="162"/>
      <c r="AD179" s="156"/>
      <c r="AE179" s="156"/>
      <c r="AF179" s="156"/>
      <c r="AG179" s="377">
        <f t="shared" si="23"/>
        <v>0</v>
      </c>
      <c r="AH179" s="377" t="b">
        <f t="shared" si="20"/>
        <v>0</v>
      </c>
      <c r="AI179" s="68"/>
      <c r="AJ179" s="68"/>
      <c r="AK179" s="43"/>
      <c r="AL179" s="68"/>
      <c r="AM179" s="16">
        <f t="shared" si="21"/>
        <v>0</v>
      </c>
      <c r="AN179" s="162"/>
      <c r="AO179" s="74"/>
      <c r="AP179" s="68"/>
      <c r="AQ179" s="68"/>
      <c r="AR179" s="68"/>
      <c r="AS179" s="21" t="s">
        <v>310</v>
      </c>
      <c r="AT179" s="1">
        <f t="shared" si="22"/>
        <v>0</v>
      </c>
      <c r="AU179" s="31"/>
      <c r="AV179" s="31"/>
      <c r="AW179" s="31"/>
      <c r="AX179" s="16">
        <f t="shared" si="25"/>
        <v>0</v>
      </c>
      <c r="AY179" s="156" t="s">
        <v>310</v>
      </c>
      <c r="AZ179" s="76">
        <v>0</v>
      </c>
      <c r="BA179" s="31"/>
      <c r="BB179" s="31"/>
      <c r="BC179" s="31"/>
      <c r="BD179" s="16" t="str">
        <f t="shared" si="24"/>
        <v>NP</v>
      </c>
      <c r="BE179" s="31"/>
      <c r="BF179" s="31"/>
      <c r="BG179" s="31"/>
      <c r="BH179" s="31"/>
      <c r="BI179" s="16"/>
      <c r="BJ179" s="16"/>
      <c r="BK179" s="31"/>
      <c r="BL179" s="31"/>
      <c r="BM179" s="31"/>
      <c r="BN179" s="31"/>
      <c r="BO179" s="16"/>
      <c r="BP179" s="31"/>
      <c r="BQ179" s="31"/>
      <c r="BR179" s="31"/>
      <c r="BS179" s="31"/>
      <c r="BT179" s="16"/>
      <c r="BU179" s="16"/>
      <c r="BV179" s="16"/>
      <c r="BW179" s="16"/>
      <c r="BX179" s="16"/>
      <c r="BY179" s="16"/>
      <c r="BZ179" s="16"/>
      <c r="CA179" s="1"/>
      <c r="CB179" s="1"/>
      <c r="CC179" s="1"/>
    </row>
    <row r="180" spans="1:81" s="52" customFormat="1" ht="63" x14ac:dyDescent="0.25">
      <c r="A180" s="1">
        <v>1</v>
      </c>
      <c r="B180" s="13" t="s">
        <v>1746</v>
      </c>
      <c r="C180" s="588"/>
      <c r="D180" s="589"/>
      <c r="E180" s="10" t="s">
        <v>651</v>
      </c>
      <c r="F180" s="13" t="s">
        <v>652</v>
      </c>
      <c r="G180" s="588"/>
      <c r="H180" s="589"/>
      <c r="I180" s="10" t="s">
        <v>653</v>
      </c>
      <c r="J180" s="13" t="s">
        <v>654</v>
      </c>
      <c r="K180" s="572"/>
      <c r="L180" s="573"/>
      <c r="M180" s="23"/>
      <c r="N180" s="23" t="s">
        <v>655</v>
      </c>
      <c r="O180" s="13" t="s">
        <v>656</v>
      </c>
      <c r="P180" s="26">
        <v>0.45</v>
      </c>
      <c r="Q180" s="26">
        <v>0.55000000000000004</v>
      </c>
      <c r="R180" s="14"/>
      <c r="S180" s="13" t="s">
        <v>661</v>
      </c>
      <c r="T180" s="13" t="s">
        <v>662</v>
      </c>
      <c r="U180" s="1">
        <v>12</v>
      </c>
      <c r="V180" s="1">
        <v>20</v>
      </c>
      <c r="W180" s="1" t="s">
        <v>412</v>
      </c>
      <c r="X180" s="10" t="s">
        <v>663</v>
      </c>
      <c r="Y180" s="10" t="s">
        <v>659</v>
      </c>
      <c r="Z180" s="1" t="s">
        <v>613</v>
      </c>
      <c r="AA180" s="13" t="s">
        <v>660</v>
      </c>
      <c r="AB180" s="10" t="s">
        <v>1917</v>
      </c>
      <c r="AC180" s="162">
        <v>1</v>
      </c>
      <c r="AD180" s="156"/>
      <c r="AE180" s="156"/>
      <c r="AF180" s="156"/>
      <c r="AG180" s="377">
        <f t="shared" si="23"/>
        <v>1</v>
      </c>
      <c r="AH180" s="377" t="b">
        <f t="shared" si="20"/>
        <v>0</v>
      </c>
      <c r="AI180" s="68">
        <v>1</v>
      </c>
      <c r="AJ180" s="68">
        <v>1</v>
      </c>
      <c r="AK180" s="43">
        <v>1</v>
      </c>
      <c r="AL180" s="68">
        <v>1</v>
      </c>
      <c r="AM180" s="16">
        <f t="shared" si="21"/>
        <v>0.05</v>
      </c>
      <c r="AN180" s="162">
        <v>1</v>
      </c>
      <c r="AO180" s="74">
        <v>1</v>
      </c>
      <c r="AP180" s="68">
        <v>1</v>
      </c>
      <c r="AQ180" s="68"/>
      <c r="AR180" s="68">
        <v>1</v>
      </c>
      <c r="AS180" s="21">
        <f>IFERROR(+AP180/AN180,0)</f>
        <v>1</v>
      </c>
      <c r="AT180" s="1">
        <f t="shared" si="22"/>
        <v>1</v>
      </c>
      <c r="AU180" s="31"/>
      <c r="AV180" s="31"/>
      <c r="AW180" s="31"/>
      <c r="AX180" s="16">
        <f t="shared" si="25"/>
        <v>0.05</v>
      </c>
      <c r="AY180" s="156" t="s">
        <v>310</v>
      </c>
      <c r="AZ180" s="76">
        <v>0</v>
      </c>
      <c r="BA180" s="31"/>
      <c r="BB180" s="31"/>
      <c r="BC180" s="31"/>
      <c r="BD180" s="16" t="str">
        <f t="shared" si="24"/>
        <v>NP</v>
      </c>
      <c r="BE180" s="31"/>
      <c r="BF180" s="31"/>
      <c r="BG180" s="31"/>
      <c r="BH180" s="31"/>
      <c r="BI180" s="16"/>
      <c r="BJ180" s="16"/>
      <c r="BK180" s="31"/>
      <c r="BL180" s="31"/>
      <c r="BM180" s="31"/>
      <c r="BN180" s="31"/>
      <c r="BO180" s="16"/>
      <c r="BP180" s="31"/>
      <c r="BQ180" s="31"/>
      <c r="BR180" s="31"/>
      <c r="BS180" s="31"/>
      <c r="BT180" s="16"/>
      <c r="BU180" s="16"/>
      <c r="BV180" s="16"/>
      <c r="BW180" s="16"/>
      <c r="BX180" s="16"/>
      <c r="BY180" s="16"/>
      <c r="BZ180" s="16"/>
      <c r="CA180" s="1"/>
      <c r="CB180" s="1"/>
      <c r="CC180" s="1"/>
    </row>
    <row r="181" spans="1:81" s="52" customFormat="1" ht="47.25" x14ac:dyDescent="0.25">
      <c r="A181" s="1">
        <v>1</v>
      </c>
      <c r="B181" s="13" t="s">
        <v>1746</v>
      </c>
      <c r="C181" s="588"/>
      <c r="D181" s="589"/>
      <c r="E181" s="10" t="s">
        <v>651</v>
      </c>
      <c r="F181" s="13" t="s">
        <v>652</v>
      </c>
      <c r="G181" s="588"/>
      <c r="H181" s="589"/>
      <c r="I181" s="10" t="s">
        <v>653</v>
      </c>
      <c r="J181" s="13" t="s">
        <v>654</v>
      </c>
      <c r="K181" s="572"/>
      <c r="L181" s="573"/>
      <c r="M181" s="23"/>
      <c r="N181" s="23" t="s">
        <v>655</v>
      </c>
      <c r="O181" s="13" t="s">
        <v>656</v>
      </c>
      <c r="P181" s="26">
        <v>0.45</v>
      </c>
      <c r="Q181" s="26">
        <v>0.55000000000000004</v>
      </c>
      <c r="R181" s="14"/>
      <c r="S181" s="13" t="s">
        <v>664</v>
      </c>
      <c r="T181" s="13" t="s">
        <v>665</v>
      </c>
      <c r="U181" s="1">
        <v>0</v>
      </c>
      <c r="V181" s="1">
        <v>5</v>
      </c>
      <c r="W181" s="1" t="s">
        <v>412</v>
      </c>
      <c r="X181" s="10"/>
      <c r="Y181" s="10" t="s">
        <v>659</v>
      </c>
      <c r="Z181" s="1" t="s">
        <v>613</v>
      </c>
      <c r="AA181" s="13" t="s">
        <v>660</v>
      </c>
      <c r="AB181" s="10" t="s">
        <v>1917</v>
      </c>
      <c r="AC181" s="162"/>
      <c r="AD181" s="156">
        <v>1</v>
      </c>
      <c r="AE181" s="156"/>
      <c r="AF181" s="156"/>
      <c r="AG181" s="377">
        <f t="shared" si="23"/>
        <v>1</v>
      </c>
      <c r="AH181" s="377" t="b">
        <f t="shared" si="20"/>
        <v>0</v>
      </c>
      <c r="AI181" s="68"/>
      <c r="AJ181" s="68"/>
      <c r="AK181" s="43"/>
      <c r="AL181" s="68"/>
      <c r="AM181" s="16">
        <f t="shared" si="21"/>
        <v>0</v>
      </c>
      <c r="AN181" s="162"/>
      <c r="AO181" s="74"/>
      <c r="AP181" s="68"/>
      <c r="AQ181" s="68"/>
      <c r="AR181" s="68"/>
      <c r="AS181" s="21" t="s">
        <v>310</v>
      </c>
      <c r="AT181" s="1">
        <f t="shared" si="22"/>
        <v>0</v>
      </c>
      <c r="AU181" s="31"/>
      <c r="AV181" s="31"/>
      <c r="AW181" s="31"/>
      <c r="AX181" s="16">
        <f t="shared" si="25"/>
        <v>0</v>
      </c>
      <c r="AY181" s="156">
        <v>1</v>
      </c>
      <c r="AZ181" s="76">
        <v>0</v>
      </c>
      <c r="BA181" s="31"/>
      <c r="BB181" s="31"/>
      <c r="BC181" s="31"/>
      <c r="BD181" s="16">
        <f t="shared" si="24"/>
        <v>0</v>
      </c>
      <c r="BE181" s="31"/>
      <c r="BF181" s="31"/>
      <c r="BG181" s="31"/>
      <c r="BH181" s="31"/>
      <c r="BI181" s="16"/>
      <c r="BJ181" s="16"/>
      <c r="BK181" s="31"/>
      <c r="BL181" s="31"/>
      <c r="BM181" s="31"/>
      <c r="BN181" s="31"/>
      <c r="BO181" s="16"/>
      <c r="BP181" s="31"/>
      <c r="BQ181" s="31"/>
      <c r="BR181" s="31"/>
      <c r="BS181" s="31"/>
      <c r="BT181" s="16"/>
      <c r="BU181" s="16"/>
      <c r="BV181" s="16"/>
      <c r="BW181" s="16"/>
      <c r="BX181" s="16"/>
      <c r="BY181" s="16"/>
      <c r="BZ181" s="16"/>
      <c r="CA181" s="1"/>
      <c r="CB181" s="1"/>
      <c r="CC181" s="1"/>
    </row>
    <row r="182" spans="1:81" s="52" customFormat="1" ht="47.25" x14ac:dyDescent="0.25">
      <c r="A182" s="1">
        <v>1</v>
      </c>
      <c r="B182" s="13" t="s">
        <v>1746</v>
      </c>
      <c r="C182" s="588"/>
      <c r="D182" s="589"/>
      <c r="E182" s="10" t="s">
        <v>651</v>
      </c>
      <c r="F182" s="13" t="s">
        <v>652</v>
      </c>
      <c r="G182" s="588"/>
      <c r="H182" s="589"/>
      <c r="I182" s="10" t="s">
        <v>653</v>
      </c>
      <c r="J182" s="13" t="s">
        <v>654</v>
      </c>
      <c r="K182" s="568"/>
      <c r="L182" s="570"/>
      <c r="M182" s="23"/>
      <c r="N182" s="23" t="s">
        <v>655</v>
      </c>
      <c r="O182" s="13" t="s">
        <v>656</v>
      </c>
      <c r="P182" s="26">
        <v>0.45</v>
      </c>
      <c r="Q182" s="26">
        <v>0.55000000000000004</v>
      </c>
      <c r="R182" s="14"/>
      <c r="S182" s="13" t="s">
        <v>666</v>
      </c>
      <c r="T182" s="13" t="s">
        <v>667</v>
      </c>
      <c r="U182" s="1">
        <v>0</v>
      </c>
      <c r="V182" s="1">
        <v>10</v>
      </c>
      <c r="W182" s="1" t="s">
        <v>412</v>
      </c>
      <c r="X182" s="10"/>
      <c r="Y182" s="10" t="s">
        <v>659</v>
      </c>
      <c r="Z182" s="1" t="s">
        <v>613</v>
      </c>
      <c r="AA182" s="13" t="s">
        <v>660</v>
      </c>
      <c r="AB182" s="10" t="s">
        <v>1917</v>
      </c>
      <c r="AC182" s="162"/>
      <c r="AD182" s="156"/>
      <c r="AE182" s="156"/>
      <c r="AF182" s="156"/>
      <c r="AG182" s="377">
        <f t="shared" si="23"/>
        <v>0</v>
      </c>
      <c r="AH182" s="377" t="b">
        <f t="shared" si="20"/>
        <v>0</v>
      </c>
      <c r="AI182" s="68"/>
      <c r="AJ182" s="68"/>
      <c r="AK182" s="43"/>
      <c r="AL182" s="68"/>
      <c r="AM182" s="16">
        <f t="shared" si="21"/>
        <v>0</v>
      </c>
      <c r="AN182" s="162"/>
      <c r="AO182" s="74"/>
      <c r="AP182" s="68"/>
      <c r="AQ182" s="68"/>
      <c r="AR182" s="68"/>
      <c r="AS182" s="21" t="s">
        <v>310</v>
      </c>
      <c r="AT182" s="1">
        <f t="shared" si="22"/>
        <v>0</v>
      </c>
      <c r="AU182" s="31"/>
      <c r="AV182" s="31"/>
      <c r="AW182" s="31"/>
      <c r="AX182" s="16">
        <f t="shared" si="25"/>
        <v>0</v>
      </c>
      <c r="AY182" s="156" t="s">
        <v>310</v>
      </c>
      <c r="AZ182" s="76"/>
      <c r="BA182" s="31"/>
      <c r="BB182" s="31"/>
      <c r="BC182" s="31"/>
      <c r="BD182" s="16" t="str">
        <f t="shared" si="24"/>
        <v>NP</v>
      </c>
      <c r="BE182" s="31"/>
      <c r="BF182" s="31"/>
      <c r="BG182" s="31"/>
      <c r="BH182" s="31"/>
      <c r="BI182" s="16"/>
      <c r="BJ182" s="16"/>
      <c r="BK182" s="31"/>
      <c r="BL182" s="31"/>
      <c r="BM182" s="31"/>
      <c r="BN182" s="31"/>
      <c r="BO182" s="16"/>
      <c r="BP182" s="31"/>
      <c r="BQ182" s="31"/>
      <c r="BR182" s="31"/>
      <c r="BS182" s="31"/>
      <c r="BT182" s="16"/>
      <c r="BU182" s="16"/>
      <c r="BV182" s="16"/>
      <c r="BW182" s="16"/>
      <c r="BX182" s="16"/>
      <c r="BY182" s="16"/>
      <c r="BZ182" s="16"/>
      <c r="CA182" s="1"/>
      <c r="CB182" s="1"/>
      <c r="CC182" s="1"/>
    </row>
    <row r="183" spans="1:81" s="52" customFormat="1" ht="47.25" x14ac:dyDescent="0.25">
      <c r="A183" s="1">
        <v>1</v>
      </c>
      <c r="B183" s="13" t="s">
        <v>1746</v>
      </c>
      <c r="C183" s="588"/>
      <c r="D183" s="589"/>
      <c r="E183" s="10" t="s">
        <v>651</v>
      </c>
      <c r="F183" s="13" t="s">
        <v>652</v>
      </c>
      <c r="G183" s="588"/>
      <c r="H183" s="589"/>
      <c r="I183" s="10" t="s">
        <v>668</v>
      </c>
      <c r="J183" s="13" t="s">
        <v>669</v>
      </c>
      <c r="K183" s="567">
        <f>AVERAGE(AX183:AX195)</f>
        <v>0.57189542483660138</v>
      </c>
      <c r="L183" s="569">
        <f>AVERAGE(BD183:BD195)</f>
        <v>0.39417063728409762</v>
      </c>
      <c r="M183" s="23"/>
      <c r="N183" s="23" t="s">
        <v>670</v>
      </c>
      <c r="O183" s="13" t="s">
        <v>670</v>
      </c>
      <c r="P183" s="1">
        <v>4</v>
      </c>
      <c r="Q183" s="1">
        <v>4</v>
      </c>
      <c r="R183" s="1"/>
      <c r="S183" s="13" t="s">
        <v>671</v>
      </c>
      <c r="T183" s="13" t="s">
        <v>672</v>
      </c>
      <c r="U183" s="1">
        <v>204</v>
      </c>
      <c r="V183" s="1">
        <v>250</v>
      </c>
      <c r="W183" s="1" t="s">
        <v>412</v>
      </c>
      <c r="X183" s="1"/>
      <c r="Y183" s="10" t="s">
        <v>659</v>
      </c>
      <c r="Z183" s="1" t="s">
        <v>613</v>
      </c>
      <c r="AA183" s="13" t="s">
        <v>660</v>
      </c>
      <c r="AB183" s="10" t="s">
        <v>1767</v>
      </c>
      <c r="AC183" s="162">
        <v>190</v>
      </c>
      <c r="AD183" s="156">
        <v>219</v>
      </c>
      <c r="AE183" s="156"/>
      <c r="AF183" s="156"/>
      <c r="AG183" s="377">
        <f t="shared" si="23"/>
        <v>409</v>
      </c>
      <c r="AH183" s="377" t="b">
        <f t="shared" si="20"/>
        <v>0</v>
      </c>
      <c r="AI183" s="76">
        <v>215</v>
      </c>
      <c r="AJ183" s="76">
        <v>215</v>
      </c>
      <c r="AK183" s="1">
        <v>215</v>
      </c>
      <c r="AL183" s="76">
        <v>219</v>
      </c>
      <c r="AM183" s="16">
        <f t="shared" si="21"/>
        <v>0.876</v>
      </c>
      <c r="AN183" s="162">
        <v>190</v>
      </c>
      <c r="AO183" s="75">
        <v>215</v>
      </c>
      <c r="AP183" s="76">
        <v>190</v>
      </c>
      <c r="AQ183" s="76"/>
      <c r="AR183" s="294">
        <v>219</v>
      </c>
      <c r="AS183" s="21">
        <v>1</v>
      </c>
      <c r="AT183" s="1">
        <f t="shared" si="22"/>
        <v>413</v>
      </c>
      <c r="AU183" s="31"/>
      <c r="AV183" s="31"/>
      <c r="AW183" s="31"/>
      <c r="AX183" s="16">
        <f t="shared" si="25"/>
        <v>1</v>
      </c>
      <c r="AY183" s="156">
        <v>219</v>
      </c>
      <c r="AZ183" s="76">
        <v>194</v>
      </c>
      <c r="BA183" s="31"/>
      <c r="BB183" s="31"/>
      <c r="BC183" s="31"/>
      <c r="BD183" s="16">
        <f t="shared" si="24"/>
        <v>0.88584474885844744</v>
      </c>
      <c r="BE183" s="31"/>
      <c r="BF183" s="31"/>
      <c r="BG183" s="31"/>
      <c r="BH183" s="31"/>
      <c r="BI183" s="16"/>
      <c r="BJ183" s="16"/>
      <c r="BK183" s="31"/>
      <c r="BL183" s="31"/>
      <c r="BM183" s="31"/>
      <c r="BN183" s="31"/>
      <c r="BO183" s="16"/>
      <c r="BP183" s="31"/>
      <c r="BQ183" s="31"/>
      <c r="BR183" s="31"/>
      <c r="BS183" s="31"/>
      <c r="BT183" s="16"/>
      <c r="BU183" s="16"/>
      <c r="BV183" s="16"/>
      <c r="BW183" s="16"/>
      <c r="BX183" s="16"/>
      <c r="BY183" s="16"/>
      <c r="BZ183" s="16"/>
      <c r="CA183" s="1"/>
      <c r="CB183" s="1"/>
      <c r="CC183" s="1"/>
    </row>
    <row r="184" spans="1:81" s="52" customFormat="1" ht="47.25" x14ac:dyDescent="0.25">
      <c r="A184" s="1">
        <v>1</v>
      </c>
      <c r="B184" s="13" t="s">
        <v>1746</v>
      </c>
      <c r="C184" s="588"/>
      <c r="D184" s="589"/>
      <c r="E184" s="10" t="s">
        <v>651</v>
      </c>
      <c r="F184" s="13" t="s">
        <v>652</v>
      </c>
      <c r="G184" s="588"/>
      <c r="H184" s="589"/>
      <c r="I184" s="10" t="s">
        <v>668</v>
      </c>
      <c r="J184" s="13" t="s">
        <v>669</v>
      </c>
      <c r="K184" s="572"/>
      <c r="L184" s="573"/>
      <c r="M184" s="23"/>
      <c r="N184" s="23" t="s">
        <v>670</v>
      </c>
      <c r="O184" s="13" t="s">
        <v>670</v>
      </c>
      <c r="P184" s="1">
        <v>4</v>
      </c>
      <c r="Q184" s="1">
        <v>4</v>
      </c>
      <c r="R184" s="1"/>
      <c r="S184" s="13" t="s">
        <v>673</v>
      </c>
      <c r="T184" s="13" t="s">
        <v>674</v>
      </c>
      <c r="U184" s="1">
        <v>84</v>
      </c>
      <c r="V184" s="1">
        <v>56</v>
      </c>
      <c r="W184" s="1" t="s">
        <v>633</v>
      </c>
      <c r="X184" s="1"/>
      <c r="Y184" s="10" t="s">
        <v>659</v>
      </c>
      <c r="Z184" s="1" t="s">
        <v>613</v>
      </c>
      <c r="AA184" s="13" t="s">
        <v>660</v>
      </c>
      <c r="AB184" s="10" t="s">
        <v>1767</v>
      </c>
      <c r="AC184" s="162"/>
      <c r="AD184" s="156">
        <v>19</v>
      </c>
      <c r="AE184" s="156"/>
      <c r="AF184" s="156"/>
      <c r="AG184" s="377">
        <f t="shared" si="23"/>
        <v>19</v>
      </c>
      <c r="AH184" s="377" t="b">
        <f t="shared" si="20"/>
        <v>0</v>
      </c>
      <c r="AI184" s="68"/>
      <c r="AJ184" s="68"/>
      <c r="AK184" s="43"/>
      <c r="AL184" s="68"/>
      <c r="AM184" s="16">
        <f t="shared" si="21"/>
        <v>0</v>
      </c>
      <c r="AN184" s="162"/>
      <c r="AO184" s="74"/>
      <c r="AP184" s="68"/>
      <c r="AQ184" s="68"/>
      <c r="AR184" s="68"/>
      <c r="AS184" s="21" t="s">
        <v>310</v>
      </c>
      <c r="AT184" s="1">
        <f t="shared" si="22"/>
        <v>0</v>
      </c>
      <c r="AU184" s="31"/>
      <c r="AV184" s="31"/>
      <c r="AW184" s="31"/>
      <c r="AX184" s="16">
        <f t="shared" si="25"/>
        <v>0</v>
      </c>
      <c r="AY184" s="156">
        <v>19</v>
      </c>
      <c r="AZ184" s="76">
        <v>0</v>
      </c>
      <c r="BA184" s="31"/>
      <c r="BB184" s="31"/>
      <c r="BC184" s="31"/>
      <c r="BD184" s="16">
        <f t="shared" si="24"/>
        <v>0</v>
      </c>
      <c r="BE184" s="31"/>
      <c r="BF184" s="31"/>
      <c r="BG184" s="31"/>
      <c r="BH184" s="31"/>
      <c r="BI184" s="16"/>
      <c r="BJ184" s="16"/>
      <c r="BK184" s="31"/>
      <c r="BL184" s="31"/>
      <c r="BM184" s="31"/>
      <c r="BN184" s="31"/>
      <c r="BO184" s="16"/>
      <c r="BP184" s="31"/>
      <c r="BQ184" s="31"/>
      <c r="BR184" s="31"/>
      <c r="BS184" s="31"/>
      <c r="BT184" s="16"/>
      <c r="BU184" s="16"/>
      <c r="BV184" s="16"/>
      <c r="BW184" s="16"/>
      <c r="BX184" s="16"/>
      <c r="BY184" s="16"/>
      <c r="BZ184" s="16"/>
      <c r="CA184" s="1"/>
      <c r="CB184" s="1"/>
      <c r="CC184" s="1"/>
    </row>
    <row r="185" spans="1:81" s="52" customFormat="1" ht="47.25" x14ac:dyDescent="0.25">
      <c r="A185" s="1">
        <v>1</v>
      </c>
      <c r="B185" s="13" t="s">
        <v>1746</v>
      </c>
      <c r="C185" s="588"/>
      <c r="D185" s="589"/>
      <c r="E185" s="10" t="s">
        <v>651</v>
      </c>
      <c r="F185" s="13" t="s">
        <v>652</v>
      </c>
      <c r="G185" s="588"/>
      <c r="H185" s="589"/>
      <c r="I185" s="10" t="s">
        <v>668</v>
      </c>
      <c r="J185" s="13" t="s">
        <v>669</v>
      </c>
      <c r="K185" s="572"/>
      <c r="L185" s="573"/>
      <c r="M185" s="23"/>
      <c r="N185" s="23" t="s">
        <v>670</v>
      </c>
      <c r="O185" s="13" t="s">
        <v>670</v>
      </c>
      <c r="P185" s="1">
        <v>4</v>
      </c>
      <c r="Q185" s="1">
        <v>4</v>
      </c>
      <c r="R185" s="1"/>
      <c r="S185" s="13" t="s">
        <v>675</v>
      </c>
      <c r="T185" s="13" t="s">
        <v>676</v>
      </c>
      <c r="U185" s="1">
        <v>57</v>
      </c>
      <c r="V185" s="1">
        <v>60</v>
      </c>
      <c r="W185" s="1" t="s">
        <v>412</v>
      </c>
      <c r="X185" s="1"/>
      <c r="Y185" s="10" t="s">
        <v>659</v>
      </c>
      <c r="Z185" s="1" t="s">
        <v>613</v>
      </c>
      <c r="AA185" s="13" t="s">
        <v>660</v>
      </c>
      <c r="AB185" s="10" t="s">
        <v>1767</v>
      </c>
      <c r="AC185" s="162">
        <v>12</v>
      </c>
      <c r="AD185" s="156"/>
      <c r="AE185" s="156"/>
      <c r="AF185" s="156"/>
      <c r="AG185" s="377">
        <f t="shared" si="23"/>
        <v>12</v>
      </c>
      <c r="AH185" s="377" t="b">
        <f t="shared" si="20"/>
        <v>0</v>
      </c>
      <c r="AI185" s="68">
        <v>0</v>
      </c>
      <c r="AJ185" s="68">
        <v>0</v>
      </c>
      <c r="AK185" s="43"/>
      <c r="AL185" s="68"/>
      <c r="AM185" s="16">
        <f t="shared" si="21"/>
        <v>0</v>
      </c>
      <c r="AN185" s="162">
        <v>12</v>
      </c>
      <c r="AO185" s="74">
        <v>0</v>
      </c>
      <c r="AP185" s="68">
        <v>0</v>
      </c>
      <c r="AQ185" s="68"/>
      <c r="AR185" s="76">
        <f t="shared" ref="AR185:AR203" si="26">AL185</f>
        <v>0</v>
      </c>
      <c r="AS185" s="21">
        <f t="shared" ref="AS185:AS203" si="27">IFERROR(+AR185/AN185,0)</f>
        <v>0</v>
      </c>
      <c r="AT185" s="1">
        <f t="shared" si="22"/>
        <v>0</v>
      </c>
      <c r="AU185" s="31"/>
      <c r="AV185" s="31"/>
      <c r="AW185" s="31"/>
      <c r="AX185" s="16">
        <f t="shared" si="25"/>
        <v>0</v>
      </c>
      <c r="AY185" s="156" t="s">
        <v>310</v>
      </c>
      <c r="AZ185" s="76"/>
      <c r="BA185" s="31"/>
      <c r="BB185" s="31"/>
      <c r="BC185" s="31"/>
      <c r="BD185" s="16" t="str">
        <f t="shared" si="24"/>
        <v>NP</v>
      </c>
      <c r="BE185" s="31"/>
      <c r="BF185" s="31"/>
      <c r="BG185" s="31"/>
      <c r="BH185" s="31"/>
      <c r="BI185" s="16"/>
      <c r="BJ185" s="16"/>
      <c r="BK185" s="31"/>
      <c r="BL185" s="31"/>
      <c r="BM185" s="31"/>
      <c r="BN185" s="31"/>
      <c r="BO185" s="16"/>
      <c r="BP185" s="31"/>
      <c r="BQ185" s="31"/>
      <c r="BR185" s="31"/>
      <c r="BS185" s="31"/>
      <c r="BT185" s="16"/>
      <c r="BU185" s="16"/>
      <c r="BV185" s="16"/>
      <c r="BW185" s="16"/>
      <c r="BX185" s="16"/>
      <c r="BY185" s="16"/>
      <c r="BZ185" s="16"/>
      <c r="CA185" s="1"/>
      <c r="CB185" s="1"/>
      <c r="CC185" s="1"/>
    </row>
    <row r="186" spans="1:81" s="52" customFormat="1" ht="47.25" x14ac:dyDescent="0.25">
      <c r="A186" s="1">
        <v>1</v>
      </c>
      <c r="B186" s="13" t="s">
        <v>1746</v>
      </c>
      <c r="C186" s="588"/>
      <c r="D186" s="589"/>
      <c r="E186" s="10" t="s">
        <v>651</v>
      </c>
      <c r="F186" s="13" t="s">
        <v>652</v>
      </c>
      <c r="G186" s="588"/>
      <c r="H186" s="589"/>
      <c r="I186" s="10" t="s">
        <v>668</v>
      </c>
      <c r="J186" s="13" t="s">
        <v>669</v>
      </c>
      <c r="K186" s="572"/>
      <c r="L186" s="573"/>
      <c r="M186" s="23"/>
      <c r="N186" s="23" t="s">
        <v>670</v>
      </c>
      <c r="O186" s="13" t="s">
        <v>670</v>
      </c>
      <c r="P186" s="1">
        <v>4</v>
      </c>
      <c r="Q186" s="1">
        <v>4</v>
      </c>
      <c r="R186" s="1"/>
      <c r="S186" s="13" t="s">
        <v>677</v>
      </c>
      <c r="T186" s="13" t="s">
        <v>678</v>
      </c>
      <c r="U186" s="1">
        <v>2</v>
      </c>
      <c r="V186" s="1">
        <v>5</v>
      </c>
      <c r="W186" s="1" t="s">
        <v>412</v>
      </c>
      <c r="X186" s="1" t="s">
        <v>679</v>
      </c>
      <c r="Y186" s="10" t="s">
        <v>659</v>
      </c>
      <c r="Z186" s="1" t="s">
        <v>613</v>
      </c>
      <c r="AA186" s="13" t="s">
        <v>660</v>
      </c>
      <c r="AB186" s="10" t="s">
        <v>1767</v>
      </c>
      <c r="AC186" s="162">
        <v>3</v>
      </c>
      <c r="AD186" s="156">
        <v>5</v>
      </c>
      <c r="AE186" s="156"/>
      <c r="AF186" s="156"/>
      <c r="AG186" s="377">
        <f t="shared" si="23"/>
        <v>8</v>
      </c>
      <c r="AH186" s="377" t="b">
        <f t="shared" si="20"/>
        <v>0</v>
      </c>
      <c r="AI186" s="68">
        <v>3</v>
      </c>
      <c r="AJ186" s="68">
        <v>3</v>
      </c>
      <c r="AK186" s="43">
        <v>3</v>
      </c>
      <c r="AL186" s="68">
        <v>5</v>
      </c>
      <c r="AM186" s="16">
        <f t="shared" si="21"/>
        <v>1</v>
      </c>
      <c r="AN186" s="162">
        <v>3</v>
      </c>
      <c r="AO186" s="74">
        <v>3</v>
      </c>
      <c r="AP186" s="68">
        <v>3</v>
      </c>
      <c r="AQ186" s="68"/>
      <c r="AR186" s="76">
        <f t="shared" si="26"/>
        <v>5</v>
      </c>
      <c r="AS186" s="21">
        <v>1</v>
      </c>
      <c r="AT186" s="1">
        <f t="shared" si="22"/>
        <v>5</v>
      </c>
      <c r="AU186" s="31"/>
      <c r="AV186" s="31"/>
      <c r="AW186" s="31"/>
      <c r="AX186" s="16">
        <f t="shared" si="25"/>
        <v>1</v>
      </c>
      <c r="AY186" s="156">
        <v>5</v>
      </c>
      <c r="AZ186" s="76">
        <v>0</v>
      </c>
      <c r="BA186" s="31"/>
      <c r="BB186" s="31"/>
      <c r="BC186" s="31"/>
      <c r="BD186" s="16">
        <f t="shared" si="24"/>
        <v>0</v>
      </c>
      <c r="BE186" s="31"/>
      <c r="BF186" s="31"/>
      <c r="BG186" s="31"/>
      <c r="BH186" s="31"/>
      <c r="BI186" s="16"/>
      <c r="BJ186" s="16"/>
      <c r="BK186" s="31"/>
      <c r="BL186" s="31"/>
      <c r="BM186" s="31"/>
      <c r="BN186" s="31"/>
      <c r="BO186" s="16"/>
      <c r="BP186" s="31"/>
      <c r="BQ186" s="31"/>
      <c r="BR186" s="31"/>
      <c r="BS186" s="31"/>
      <c r="BT186" s="16"/>
      <c r="BU186" s="16"/>
      <c r="BV186" s="16"/>
      <c r="BW186" s="16"/>
      <c r="BX186" s="16"/>
      <c r="BY186" s="16"/>
      <c r="BZ186" s="16"/>
      <c r="CA186" s="1"/>
      <c r="CB186" s="1"/>
      <c r="CC186" s="1"/>
    </row>
    <row r="187" spans="1:81" s="52" customFormat="1" ht="47.25" x14ac:dyDescent="0.25">
      <c r="A187" s="1">
        <v>1</v>
      </c>
      <c r="B187" s="13" t="s">
        <v>1746</v>
      </c>
      <c r="C187" s="588"/>
      <c r="D187" s="589"/>
      <c r="E187" s="10" t="s">
        <v>651</v>
      </c>
      <c r="F187" s="13" t="s">
        <v>652</v>
      </c>
      <c r="G187" s="588"/>
      <c r="H187" s="589"/>
      <c r="I187" s="10" t="s">
        <v>668</v>
      </c>
      <c r="J187" s="13" t="s">
        <v>669</v>
      </c>
      <c r="K187" s="572"/>
      <c r="L187" s="573"/>
      <c r="M187" s="23"/>
      <c r="N187" s="23" t="s">
        <v>670</v>
      </c>
      <c r="O187" s="13" t="s">
        <v>670</v>
      </c>
      <c r="P187" s="1">
        <v>4</v>
      </c>
      <c r="Q187" s="1">
        <v>4</v>
      </c>
      <c r="R187" s="24"/>
      <c r="S187" s="13" t="s">
        <v>680</v>
      </c>
      <c r="T187" s="13" t="s">
        <v>681</v>
      </c>
      <c r="U187" s="1">
        <v>79</v>
      </c>
      <c r="V187" s="1">
        <v>68</v>
      </c>
      <c r="W187" s="1" t="s">
        <v>633</v>
      </c>
      <c r="X187" s="1" t="s">
        <v>679</v>
      </c>
      <c r="Y187" s="10" t="s">
        <v>659</v>
      </c>
      <c r="Z187" s="1" t="s">
        <v>613</v>
      </c>
      <c r="AA187" s="13" t="s">
        <v>660</v>
      </c>
      <c r="AB187" s="10" t="s">
        <v>682</v>
      </c>
      <c r="AC187" s="162">
        <v>3</v>
      </c>
      <c r="AD187" s="156">
        <v>22</v>
      </c>
      <c r="AE187" s="156"/>
      <c r="AF187" s="156"/>
      <c r="AG187" s="377">
        <f t="shared" si="23"/>
        <v>25</v>
      </c>
      <c r="AH187" s="377" t="b">
        <f t="shared" si="20"/>
        <v>0</v>
      </c>
      <c r="AI187" s="68">
        <v>3</v>
      </c>
      <c r="AJ187" s="68">
        <v>3</v>
      </c>
      <c r="AK187" s="43">
        <v>3</v>
      </c>
      <c r="AL187" s="68">
        <v>5</v>
      </c>
      <c r="AM187" s="16">
        <f t="shared" si="21"/>
        <v>7.3529411764705885E-2</v>
      </c>
      <c r="AN187" s="162">
        <v>3</v>
      </c>
      <c r="AO187" s="74">
        <v>3</v>
      </c>
      <c r="AP187" s="68">
        <v>3</v>
      </c>
      <c r="AQ187" s="68"/>
      <c r="AR187" s="76">
        <f t="shared" si="26"/>
        <v>5</v>
      </c>
      <c r="AS187" s="21">
        <v>1</v>
      </c>
      <c r="AT187" s="1">
        <f t="shared" si="22"/>
        <v>5</v>
      </c>
      <c r="AU187" s="31"/>
      <c r="AV187" s="31"/>
      <c r="AW187" s="31"/>
      <c r="AX187" s="16">
        <f t="shared" si="25"/>
        <v>7.3529411764705885E-2</v>
      </c>
      <c r="AY187" s="156">
        <v>22</v>
      </c>
      <c r="AZ187" s="76">
        <v>0</v>
      </c>
      <c r="BA187" s="31"/>
      <c r="BB187" s="31"/>
      <c r="BC187" s="31"/>
      <c r="BD187" s="16">
        <f t="shared" si="24"/>
        <v>0</v>
      </c>
      <c r="BE187" s="31"/>
      <c r="BF187" s="31"/>
      <c r="BG187" s="31"/>
      <c r="BH187" s="31"/>
      <c r="BI187" s="16"/>
      <c r="BJ187" s="16"/>
      <c r="BK187" s="31"/>
      <c r="BL187" s="31"/>
      <c r="BM187" s="31"/>
      <c r="BN187" s="31"/>
      <c r="BO187" s="16"/>
      <c r="BP187" s="31"/>
      <c r="BQ187" s="31"/>
      <c r="BR187" s="31"/>
      <c r="BS187" s="31"/>
      <c r="BT187" s="16"/>
      <c r="BU187" s="16"/>
      <c r="BV187" s="16"/>
      <c r="BW187" s="16"/>
      <c r="BX187" s="16"/>
      <c r="BY187" s="16"/>
      <c r="BZ187" s="16"/>
      <c r="CA187" s="1"/>
      <c r="CB187" s="1"/>
      <c r="CC187" s="1"/>
    </row>
    <row r="188" spans="1:81" s="52" customFormat="1" ht="47.25" x14ac:dyDescent="0.25">
      <c r="A188" s="1">
        <v>1</v>
      </c>
      <c r="B188" s="13" t="s">
        <v>1746</v>
      </c>
      <c r="C188" s="588"/>
      <c r="D188" s="589"/>
      <c r="E188" s="10" t="s">
        <v>651</v>
      </c>
      <c r="F188" s="13" t="s">
        <v>652</v>
      </c>
      <c r="G188" s="588"/>
      <c r="H188" s="589"/>
      <c r="I188" s="10" t="s">
        <v>668</v>
      </c>
      <c r="J188" s="13" t="s">
        <v>669</v>
      </c>
      <c r="K188" s="572"/>
      <c r="L188" s="573"/>
      <c r="M188" s="23"/>
      <c r="N188" s="23" t="s">
        <v>670</v>
      </c>
      <c r="O188" s="13" t="s">
        <v>670</v>
      </c>
      <c r="P188" s="1">
        <v>4</v>
      </c>
      <c r="Q188" s="1">
        <v>4</v>
      </c>
      <c r="R188" s="24"/>
      <c r="S188" s="13" t="s">
        <v>683</v>
      </c>
      <c r="T188" s="13" t="s">
        <v>684</v>
      </c>
      <c r="U188" s="1">
        <v>322</v>
      </c>
      <c r="V188" s="1">
        <v>480</v>
      </c>
      <c r="W188" s="1" t="s">
        <v>412</v>
      </c>
      <c r="X188" s="1" t="s">
        <v>679</v>
      </c>
      <c r="Y188" s="10" t="s">
        <v>659</v>
      </c>
      <c r="Z188" s="1" t="s">
        <v>613</v>
      </c>
      <c r="AA188" s="13" t="s">
        <v>660</v>
      </c>
      <c r="AB188" s="10" t="s">
        <v>682</v>
      </c>
      <c r="AC188" s="162">
        <v>240</v>
      </c>
      <c r="AD188" s="156">
        <v>505</v>
      </c>
      <c r="AE188" s="156"/>
      <c r="AF188" s="156"/>
      <c r="AG188" s="377">
        <f t="shared" si="23"/>
        <v>745</v>
      </c>
      <c r="AH188" s="377" t="b">
        <f t="shared" si="20"/>
        <v>0</v>
      </c>
      <c r="AI188" s="68">
        <v>505</v>
      </c>
      <c r="AJ188" s="68">
        <v>480</v>
      </c>
      <c r="AK188" s="43">
        <v>505</v>
      </c>
      <c r="AL188" s="68">
        <v>505</v>
      </c>
      <c r="AM188" s="16">
        <v>1</v>
      </c>
      <c r="AN188" s="162">
        <v>240</v>
      </c>
      <c r="AO188" s="74">
        <v>505</v>
      </c>
      <c r="AP188" s="68">
        <v>240</v>
      </c>
      <c r="AQ188" s="68"/>
      <c r="AR188" s="76">
        <f t="shared" si="26"/>
        <v>505</v>
      </c>
      <c r="AS188" s="21">
        <v>1</v>
      </c>
      <c r="AT188" s="1">
        <f t="shared" si="22"/>
        <v>505</v>
      </c>
      <c r="AU188" s="31"/>
      <c r="AV188" s="31"/>
      <c r="AW188" s="31"/>
      <c r="AX188" s="16">
        <f t="shared" si="25"/>
        <v>1</v>
      </c>
      <c r="AY188" s="156">
        <v>505</v>
      </c>
      <c r="AZ188" s="76">
        <v>0</v>
      </c>
      <c r="BA188" s="31"/>
      <c r="BB188" s="31"/>
      <c r="BC188" s="31"/>
      <c r="BD188" s="16">
        <f t="shared" si="24"/>
        <v>0</v>
      </c>
      <c r="BE188" s="31"/>
      <c r="BF188" s="31"/>
      <c r="BG188" s="31"/>
      <c r="BH188" s="31"/>
      <c r="BI188" s="16"/>
      <c r="BJ188" s="16"/>
      <c r="BK188" s="31"/>
      <c r="BL188" s="31"/>
      <c r="BM188" s="31"/>
      <c r="BN188" s="31"/>
      <c r="BO188" s="16"/>
      <c r="BP188" s="31"/>
      <c r="BQ188" s="31"/>
      <c r="BR188" s="31"/>
      <c r="BS188" s="31"/>
      <c r="BT188" s="16"/>
      <c r="BU188" s="16"/>
      <c r="BV188" s="16"/>
      <c r="BW188" s="16"/>
      <c r="BX188" s="16"/>
      <c r="BY188" s="16"/>
      <c r="BZ188" s="16"/>
      <c r="CA188" s="1"/>
      <c r="CB188" s="1"/>
      <c r="CC188" s="1"/>
    </row>
    <row r="189" spans="1:81" s="52" customFormat="1" ht="47.25" x14ac:dyDescent="0.25">
      <c r="A189" s="1">
        <v>1</v>
      </c>
      <c r="B189" s="13" t="s">
        <v>1746</v>
      </c>
      <c r="C189" s="588"/>
      <c r="D189" s="589"/>
      <c r="E189" s="10" t="s">
        <v>651</v>
      </c>
      <c r="F189" s="13" t="s">
        <v>652</v>
      </c>
      <c r="G189" s="588"/>
      <c r="H189" s="589"/>
      <c r="I189" s="10" t="s">
        <v>668</v>
      </c>
      <c r="J189" s="13" t="s">
        <v>669</v>
      </c>
      <c r="K189" s="572"/>
      <c r="L189" s="573"/>
      <c r="M189" s="23"/>
      <c r="N189" s="23" t="s">
        <v>670</v>
      </c>
      <c r="O189" s="13" t="s">
        <v>670</v>
      </c>
      <c r="P189" s="1">
        <v>4</v>
      </c>
      <c r="Q189" s="1">
        <v>4</v>
      </c>
      <c r="R189" s="24"/>
      <c r="S189" s="13" t="s">
        <v>685</v>
      </c>
      <c r="T189" s="13" t="s">
        <v>685</v>
      </c>
      <c r="U189" s="1">
        <v>1</v>
      </c>
      <c r="V189" s="1">
        <v>1</v>
      </c>
      <c r="W189" s="1" t="s">
        <v>420</v>
      </c>
      <c r="X189" s="1" t="s">
        <v>679</v>
      </c>
      <c r="Y189" s="10" t="s">
        <v>659</v>
      </c>
      <c r="Z189" s="1" t="s">
        <v>613</v>
      </c>
      <c r="AA189" s="13" t="s">
        <v>660</v>
      </c>
      <c r="AB189" s="10" t="s">
        <v>682</v>
      </c>
      <c r="AC189" s="162">
        <v>1</v>
      </c>
      <c r="AD189" s="156">
        <v>1</v>
      </c>
      <c r="AE189" s="156"/>
      <c r="AF189" s="156"/>
      <c r="AG189" s="377">
        <f t="shared" si="23"/>
        <v>2</v>
      </c>
      <c r="AH189" s="377" t="b">
        <f t="shared" si="20"/>
        <v>0</v>
      </c>
      <c r="AI189" s="68">
        <v>1</v>
      </c>
      <c r="AJ189" s="68">
        <v>1</v>
      </c>
      <c r="AK189" s="43">
        <v>1</v>
      </c>
      <c r="AL189" s="68">
        <v>1</v>
      </c>
      <c r="AM189" s="16">
        <f t="shared" si="21"/>
        <v>1</v>
      </c>
      <c r="AN189" s="162">
        <v>1</v>
      </c>
      <c r="AO189" s="74">
        <v>1</v>
      </c>
      <c r="AP189" s="68">
        <v>1</v>
      </c>
      <c r="AQ189" s="68"/>
      <c r="AR189" s="76">
        <f t="shared" si="26"/>
        <v>1</v>
      </c>
      <c r="AS189" s="21">
        <f t="shared" si="27"/>
        <v>1</v>
      </c>
      <c r="AT189" s="1">
        <f t="shared" si="22"/>
        <v>0.5</v>
      </c>
      <c r="AU189" s="31"/>
      <c r="AV189" s="31"/>
      <c r="AW189" s="31"/>
      <c r="AX189" s="16">
        <f t="shared" si="25"/>
        <v>0.5</v>
      </c>
      <c r="AY189" s="156">
        <v>1</v>
      </c>
      <c r="AZ189" s="76">
        <v>1</v>
      </c>
      <c r="BA189" s="31"/>
      <c r="BB189" s="31"/>
      <c r="BC189" s="31"/>
      <c r="BD189" s="16">
        <f t="shared" si="24"/>
        <v>1</v>
      </c>
      <c r="BE189" s="31"/>
      <c r="BF189" s="31"/>
      <c r="BG189" s="31"/>
      <c r="BH189" s="31"/>
      <c r="BI189" s="16"/>
      <c r="BJ189" s="16"/>
      <c r="BK189" s="31"/>
      <c r="BL189" s="31"/>
      <c r="BM189" s="31"/>
      <c r="BN189" s="31"/>
      <c r="BO189" s="16"/>
      <c r="BP189" s="31"/>
      <c r="BQ189" s="31"/>
      <c r="BR189" s="31"/>
      <c r="BS189" s="31"/>
      <c r="BT189" s="16"/>
      <c r="BU189" s="16"/>
      <c r="BV189" s="16"/>
      <c r="BW189" s="16"/>
      <c r="BX189" s="16"/>
      <c r="BY189" s="16"/>
      <c r="BZ189" s="16"/>
      <c r="CA189" s="1"/>
      <c r="CB189" s="1"/>
      <c r="CC189" s="1"/>
    </row>
    <row r="190" spans="1:81" s="52" customFormat="1" ht="47.25" x14ac:dyDescent="0.25">
      <c r="A190" s="1">
        <v>1</v>
      </c>
      <c r="B190" s="13" t="s">
        <v>1746</v>
      </c>
      <c r="C190" s="588"/>
      <c r="D190" s="589"/>
      <c r="E190" s="10" t="s">
        <v>651</v>
      </c>
      <c r="F190" s="13" t="s">
        <v>652</v>
      </c>
      <c r="G190" s="588"/>
      <c r="H190" s="589"/>
      <c r="I190" s="10" t="s">
        <v>668</v>
      </c>
      <c r="J190" s="13" t="s">
        <v>669</v>
      </c>
      <c r="K190" s="572"/>
      <c r="L190" s="573"/>
      <c r="M190" s="23"/>
      <c r="N190" s="23" t="s">
        <v>670</v>
      </c>
      <c r="O190" s="13" t="s">
        <v>670</v>
      </c>
      <c r="P190" s="1">
        <v>4</v>
      </c>
      <c r="Q190" s="1">
        <v>4</v>
      </c>
      <c r="R190" s="1"/>
      <c r="S190" s="13" t="s">
        <v>686</v>
      </c>
      <c r="T190" s="13" t="s">
        <v>687</v>
      </c>
      <c r="U190" s="1">
        <v>17</v>
      </c>
      <c r="V190" s="1">
        <v>21</v>
      </c>
      <c r="W190" s="1" t="s">
        <v>412</v>
      </c>
      <c r="X190" s="1" t="s">
        <v>679</v>
      </c>
      <c r="Y190" s="10" t="s">
        <v>659</v>
      </c>
      <c r="Z190" s="1" t="s">
        <v>613</v>
      </c>
      <c r="AA190" s="13" t="s">
        <v>660</v>
      </c>
      <c r="AB190" s="10" t="s">
        <v>1767</v>
      </c>
      <c r="AC190" s="162">
        <v>3</v>
      </c>
      <c r="AD190" s="156">
        <v>13</v>
      </c>
      <c r="AE190" s="156"/>
      <c r="AF190" s="156"/>
      <c r="AG190" s="377">
        <f t="shared" si="23"/>
        <v>16</v>
      </c>
      <c r="AH190" s="377" t="b">
        <f t="shared" si="20"/>
        <v>0</v>
      </c>
      <c r="AI190" s="68">
        <v>5</v>
      </c>
      <c r="AJ190" s="68">
        <v>5</v>
      </c>
      <c r="AK190" s="43">
        <v>5</v>
      </c>
      <c r="AL190" s="68">
        <v>5</v>
      </c>
      <c r="AM190" s="16">
        <f t="shared" si="21"/>
        <v>0.23809523809523808</v>
      </c>
      <c r="AN190" s="162">
        <v>3</v>
      </c>
      <c r="AO190" s="74">
        <v>5</v>
      </c>
      <c r="AP190" s="68">
        <v>3</v>
      </c>
      <c r="AQ190" s="68"/>
      <c r="AR190" s="76">
        <f t="shared" si="26"/>
        <v>5</v>
      </c>
      <c r="AS190" s="21">
        <v>1</v>
      </c>
      <c r="AT190" s="1">
        <f t="shared" si="22"/>
        <v>5</v>
      </c>
      <c r="AU190" s="31"/>
      <c r="AV190" s="31"/>
      <c r="AW190" s="31"/>
      <c r="AX190" s="16">
        <f t="shared" si="25"/>
        <v>0.23809523809523808</v>
      </c>
      <c r="AY190" s="156">
        <v>13</v>
      </c>
      <c r="AZ190" s="76">
        <v>0</v>
      </c>
      <c r="BA190" s="31"/>
      <c r="BB190" s="31"/>
      <c r="BC190" s="31"/>
      <c r="BD190" s="16">
        <f t="shared" si="24"/>
        <v>0</v>
      </c>
      <c r="BE190" s="31"/>
      <c r="BF190" s="31"/>
      <c r="BG190" s="31"/>
      <c r="BH190" s="31"/>
      <c r="BI190" s="16"/>
      <c r="BJ190" s="16"/>
      <c r="BK190" s="31"/>
      <c r="BL190" s="31"/>
      <c r="BM190" s="31"/>
      <c r="BN190" s="31"/>
      <c r="BO190" s="16"/>
      <c r="BP190" s="31"/>
      <c r="BQ190" s="31"/>
      <c r="BR190" s="31"/>
      <c r="BS190" s="31"/>
      <c r="BT190" s="16"/>
      <c r="BU190" s="16"/>
      <c r="BV190" s="16"/>
      <c r="BW190" s="16"/>
      <c r="BX190" s="16"/>
      <c r="BY190" s="16"/>
      <c r="BZ190" s="16"/>
      <c r="CA190" s="1"/>
      <c r="CB190" s="1"/>
      <c r="CC190" s="1"/>
    </row>
    <row r="191" spans="1:81" s="52" customFormat="1" ht="47.25" x14ac:dyDescent="0.25">
      <c r="A191" s="1">
        <v>1</v>
      </c>
      <c r="B191" s="13" t="s">
        <v>1746</v>
      </c>
      <c r="C191" s="588"/>
      <c r="D191" s="589"/>
      <c r="E191" s="10" t="s">
        <v>651</v>
      </c>
      <c r="F191" s="13" t="s">
        <v>652</v>
      </c>
      <c r="G191" s="588"/>
      <c r="H191" s="589"/>
      <c r="I191" s="10" t="s">
        <v>668</v>
      </c>
      <c r="J191" s="13" t="s">
        <v>669</v>
      </c>
      <c r="K191" s="572"/>
      <c r="L191" s="573"/>
      <c r="M191" s="23"/>
      <c r="N191" s="23" t="s">
        <v>670</v>
      </c>
      <c r="O191" s="13" t="s">
        <v>670</v>
      </c>
      <c r="P191" s="1">
        <v>4</v>
      </c>
      <c r="Q191" s="1">
        <v>4</v>
      </c>
      <c r="R191" s="1"/>
      <c r="S191" s="13" t="s">
        <v>688</v>
      </c>
      <c r="T191" s="13" t="s">
        <v>689</v>
      </c>
      <c r="U191" s="1">
        <v>57</v>
      </c>
      <c r="V191" s="1">
        <v>63</v>
      </c>
      <c r="W191" s="1" t="s">
        <v>412</v>
      </c>
      <c r="X191" s="1" t="s">
        <v>679</v>
      </c>
      <c r="Y191" s="10" t="s">
        <v>659</v>
      </c>
      <c r="Z191" s="1" t="s">
        <v>613</v>
      </c>
      <c r="AA191" s="13" t="s">
        <v>660</v>
      </c>
      <c r="AB191" s="10" t="s">
        <v>1767</v>
      </c>
      <c r="AC191" s="162">
        <v>42</v>
      </c>
      <c r="AD191" s="156">
        <v>46</v>
      </c>
      <c r="AE191" s="156"/>
      <c r="AF191" s="156"/>
      <c r="AG191" s="377">
        <f t="shared" si="23"/>
        <v>88</v>
      </c>
      <c r="AH191" s="377" t="b">
        <f t="shared" si="20"/>
        <v>0</v>
      </c>
      <c r="AI191" s="68">
        <v>35</v>
      </c>
      <c r="AJ191" s="68">
        <v>35</v>
      </c>
      <c r="AK191" s="43">
        <v>35</v>
      </c>
      <c r="AL191" s="68">
        <v>36</v>
      </c>
      <c r="AM191" s="16">
        <f t="shared" si="21"/>
        <v>0.5714285714285714</v>
      </c>
      <c r="AN191" s="162">
        <v>42</v>
      </c>
      <c r="AO191" s="74">
        <v>35</v>
      </c>
      <c r="AP191" s="68">
        <v>35</v>
      </c>
      <c r="AQ191" s="68"/>
      <c r="AR191" s="76">
        <f t="shared" si="26"/>
        <v>36</v>
      </c>
      <c r="AS191" s="21">
        <f t="shared" si="27"/>
        <v>0.8571428571428571</v>
      </c>
      <c r="AT191" s="1">
        <f t="shared" si="22"/>
        <v>48</v>
      </c>
      <c r="AU191" s="31"/>
      <c r="AV191" s="31"/>
      <c r="AW191" s="31"/>
      <c r="AX191" s="16">
        <f t="shared" si="25"/>
        <v>0.76190476190476186</v>
      </c>
      <c r="AY191" s="156">
        <v>46</v>
      </c>
      <c r="AZ191" s="76">
        <v>12</v>
      </c>
      <c r="BA191" s="31"/>
      <c r="BB191" s="31"/>
      <c r="BC191" s="31"/>
      <c r="BD191" s="16">
        <f t="shared" si="24"/>
        <v>0.2608695652173913</v>
      </c>
      <c r="BE191" s="31"/>
      <c r="BF191" s="31"/>
      <c r="BG191" s="31"/>
      <c r="BH191" s="31"/>
      <c r="BI191" s="16"/>
      <c r="BJ191" s="16"/>
      <c r="BK191" s="31"/>
      <c r="BL191" s="31"/>
      <c r="BM191" s="31"/>
      <c r="BN191" s="31"/>
      <c r="BO191" s="16"/>
      <c r="BP191" s="31"/>
      <c r="BQ191" s="31"/>
      <c r="BR191" s="31"/>
      <c r="BS191" s="31"/>
      <c r="BT191" s="16"/>
      <c r="BU191" s="16"/>
      <c r="BV191" s="16"/>
      <c r="BW191" s="16"/>
      <c r="BX191" s="16"/>
      <c r="BY191" s="16"/>
      <c r="BZ191" s="16"/>
      <c r="CA191" s="1"/>
      <c r="CB191" s="1"/>
      <c r="CC191" s="1"/>
    </row>
    <row r="192" spans="1:81" s="52" customFormat="1" ht="47.25" x14ac:dyDescent="0.25">
      <c r="A192" s="1">
        <v>1</v>
      </c>
      <c r="B192" s="13" t="s">
        <v>1746</v>
      </c>
      <c r="C192" s="588"/>
      <c r="D192" s="589"/>
      <c r="E192" s="10" t="s">
        <v>651</v>
      </c>
      <c r="F192" s="13" t="s">
        <v>652</v>
      </c>
      <c r="G192" s="588"/>
      <c r="H192" s="589"/>
      <c r="I192" s="10" t="s">
        <v>668</v>
      </c>
      <c r="J192" s="13" t="s">
        <v>669</v>
      </c>
      <c r="K192" s="572"/>
      <c r="L192" s="573"/>
      <c r="M192" s="23"/>
      <c r="N192" s="23" t="s">
        <v>670</v>
      </c>
      <c r="O192" s="13" t="s">
        <v>670</v>
      </c>
      <c r="P192" s="1">
        <v>4</v>
      </c>
      <c r="Q192" s="1">
        <v>4</v>
      </c>
      <c r="R192" s="24"/>
      <c r="S192" s="13" t="s">
        <v>690</v>
      </c>
      <c r="T192" s="13" t="s">
        <v>691</v>
      </c>
      <c r="U192" s="1">
        <v>50</v>
      </c>
      <c r="V192" s="1">
        <v>60</v>
      </c>
      <c r="W192" s="1" t="s">
        <v>412</v>
      </c>
      <c r="X192" s="1"/>
      <c r="Y192" s="10" t="s">
        <v>659</v>
      </c>
      <c r="Z192" s="1" t="s">
        <v>613</v>
      </c>
      <c r="AA192" s="13" t="s">
        <v>660</v>
      </c>
      <c r="AB192" s="10" t="s">
        <v>682</v>
      </c>
      <c r="AC192" s="162">
        <v>12</v>
      </c>
      <c r="AD192" s="156">
        <v>12</v>
      </c>
      <c r="AE192" s="156"/>
      <c r="AF192" s="156"/>
      <c r="AG192" s="377">
        <f t="shared" si="23"/>
        <v>24</v>
      </c>
      <c r="AH192" s="377" t="b">
        <f t="shared" si="20"/>
        <v>0</v>
      </c>
      <c r="AI192" s="68">
        <v>12</v>
      </c>
      <c r="AJ192" s="68">
        <v>12</v>
      </c>
      <c r="AK192" s="43">
        <v>12</v>
      </c>
      <c r="AL192" s="68">
        <v>12</v>
      </c>
      <c r="AM192" s="16">
        <f t="shared" si="21"/>
        <v>0.2</v>
      </c>
      <c r="AN192" s="162">
        <v>12</v>
      </c>
      <c r="AO192" s="74">
        <v>12</v>
      </c>
      <c r="AP192" s="68">
        <v>12</v>
      </c>
      <c r="AQ192" s="68"/>
      <c r="AR192" s="76">
        <f t="shared" si="26"/>
        <v>12</v>
      </c>
      <c r="AS192" s="21">
        <f t="shared" si="27"/>
        <v>1</v>
      </c>
      <c r="AT192" s="1">
        <f t="shared" si="22"/>
        <v>24</v>
      </c>
      <c r="AU192" s="31"/>
      <c r="AV192" s="31"/>
      <c r="AW192" s="31"/>
      <c r="AX192" s="16">
        <f t="shared" si="25"/>
        <v>0.4</v>
      </c>
      <c r="AY192" s="156">
        <v>12</v>
      </c>
      <c r="AZ192" s="76">
        <v>12</v>
      </c>
      <c r="BA192" s="31"/>
      <c r="BB192" s="31"/>
      <c r="BC192" s="31"/>
      <c r="BD192" s="16">
        <f t="shared" si="24"/>
        <v>1</v>
      </c>
      <c r="BE192" s="31"/>
      <c r="BF192" s="31"/>
      <c r="BG192" s="31"/>
      <c r="BH192" s="31"/>
      <c r="BI192" s="16"/>
      <c r="BJ192" s="16"/>
      <c r="BK192" s="31"/>
      <c r="BL192" s="31"/>
      <c r="BM192" s="31"/>
      <c r="BN192" s="31"/>
      <c r="BO192" s="16"/>
      <c r="BP192" s="31"/>
      <c r="BQ192" s="31"/>
      <c r="BR192" s="31"/>
      <c r="BS192" s="31"/>
      <c r="BT192" s="16"/>
      <c r="BU192" s="16"/>
      <c r="BV192" s="16"/>
      <c r="BW192" s="16"/>
      <c r="BX192" s="16"/>
      <c r="BY192" s="16"/>
      <c r="BZ192" s="16"/>
      <c r="CA192" s="1"/>
      <c r="CB192" s="1"/>
      <c r="CC192" s="1"/>
    </row>
    <row r="193" spans="1:81" s="52" customFormat="1" ht="47.25" x14ac:dyDescent="0.25">
      <c r="A193" s="1">
        <v>1</v>
      </c>
      <c r="B193" s="13" t="s">
        <v>1746</v>
      </c>
      <c r="C193" s="588"/>
      <c r="D193" s="589"/>
      <c r="E193" s="10" t="s">
        <v>651</v>
      </c>
      <c r="F193" s="13" t="s">
        <v>652</v>
      </c>
      <c r="G193" s="588"/>
      <c r="H193" s="589"/>
      <c r="I193" s="10" t="s">
        <v>668</v>
      </c>
      <c r="J193" s="13" t="s">
        <v>669</v>
      </c>
      <c r="K193" s="572"/>
      <c r="L193" s="573"/>
      <c r="M193" s="23"/>
      <c r="N193" s="23" t="s">
        <v>670</v>
      </c>
      <c r="O193" s="13" t="s">
        <v>670</v>
      </c>
      <c r="P193" s="1">
        <v>4</v>
      </c>
      <c r="Q193" s="1">
        <v>4</v>
      </c>
      <c r="R193" s="1"/>
      <c r="S193" s="13" t="s">
        <v>692</v>
      </c>
      <c r="T193" s="13" t="s">
        <v>693</v>
      </c>
      <c r="U193" s="1">
        <v>10</v>
      </c>
      <c r="V193" s="1">
        <v>14</v>
      </c>
      <c r="W193" s="1" t="s">
        <v>412</v>
      </c>
      <c r="X193" s="1"/>
      <c r="Y193" s="10" t="s">
        <v>659</v>
      </c>
      <c r="Z193" s="1" t="s">
        <v>613</v>
      </c>
      <c r="AA193" s="13" t="s">
        <v>660</v>
      </c>
      <c r="AB193" s="10" t="s">
        <v>1767</v>
      </c>
      <c r="AC193" s="162">
        <v>6</v>
      </c>
      <c r="AD193" s="156">
        <v>7</v>
      </c>
      <c r="AE193" s="156"/>
      <c r="AF193" s="156"/>
      <c r="AG193" s="377">
        <f t="shared" si="23"/>
        <v>13</v>
      </c>
      <c r="AH193" s="377" t="b">
        <f t="shared" si="20"/>
        <v>0</v>
      </c>
      <c r="AI193" s="68">
        <v>6</v>
      </c>
      <c r="AJ193" s="68">
        <v>6</v>
      </c>
      <c r="AK193" s="43">
        <v>6</v>
      </c>
      <c r="AL193" s="68">
        <v>6</v>
      </c>
      <c r="AM193" s="16">
        <f t="shared" si="21"/>
        <v>0.42857142857142855</v>
      </c>
      <c r="AN193" s="162">
        <v>6</v>
      </c>
      <c r="AO193" s="74">
        <v>6</v>
      </c>
      <c r="AP193" s="68">
        <v>6</v>
      </c>
      <c r="AQ193" s="68"/>
      <c r="AR193" s="76">
        <f t="shared" si="26"/>
        <v>6</v>
      </c>
      <c r="AS193" s="21">
        <f t="shared" si="27"/>
        <v>1</v>
      </c>
      <c r="AT193" s="1">
        <f t="shared" si="22"/>
        <v>17</v>
      </c>
      <c r="AU193" s="31"/>
      <c r="AV193" s="31"/>
      <c r="AW193" s="31"/>
      <c r="AX193" s="16">
        <f t="shared" si="25"/>
        <v>1</v>
      </c>
      <c r="AY193" s="156">
        <v>7</v>
      </c>
      <c r="AZ193" s="76">
        <v>11</v>
      </c>
      <c r="BA193" s="31"/>
      <c r="BB193" s="31"/>
      <c r="BC193" s="31"/>
      <c r="BD193" s="16">
        <f t="shared" si="24"/>
        <v>1</v>
      </c>
      <c r="BE193" s="31"/>
      <c r="BF193" s="31"/>
      <c r="BG193" s="31"/>
      <c r="BH193" s="31"/>
      <c r="BI193" s="16"/>
      <c r="BJ193" s="16"/>
      <c r="BK193" s="31"/>
      <c r="BL193" s="31"/>
      <c r="BM193" s="31"/>
      <c r="BN193" s="31"/>
      <c r="BO193" s="16"/>
      <c r="BP193" s="31"/>
      <c r="BQ193" s="31"/>
      <c r="BR193" s="31"/>
      <c r="BS193" s="31"/>
      <c r="BT193" s="16"/>
      <c r="BU193" s="16"/>
      <c r="BV193" s="16"/>
      <c r="BW193" s="16"/>
      <c r="BX193" s="16"/>
      <c r="BY193" s="16"/>
      <c r="BZ193" s="16"/>
      <c r="CA193" s="1"/>
      <c r="CB193" s="1"/>
      <c r="CC193" s="1"/>
    </row>
    <row r="194" spans="1:81" s="52" customFormat="1" ht="47.25" x14ac:dyDescent="0.25">
      <c r="A194" s="1">
        <v>1</v>
      </c>
      <c r="B194" s="13" t="s">
        <v>1746</v>
      </c>
      <c r="C194" s="588"/>
      <c r="D194" s="589"/>
      <c r="E194" s="10" t="s">
        <v>651</v>
      </c>
      <c r="F194" s="13" t="s">
        <v>652</v>
      </c>
      <c r="G194" s="588"/>
      <c r="H194" s="589"/>
      <c r="I194" s="10" t="s">
        <v>668</v>
      </c>
      <c r="J194" s="13" t="s">
        <v>669</v>
      </c>
      <c r="K194" s="572"/>
      <c r="L194" s="573"/>
      <c r="M194" s="23"/>
      <c r="N194" s="23" t="s">
        <v>670</v>
      </c>
      <c r="O194" s="13" t="s">
        <v>670</v>
      </c>
      <c r="P194" s="1">
        <v>4</v>
      </c>
      <c r="Q194" s="1">
        <v>4</v>
      </c>
      <c r="R194" s="1"/>
      <c r="S194" s="13" t="s">
        <v>694</v>
      </c>
      <c r="T194" s="13" t="s">
        <v>695</v>
      </c>
      <c r="U194" s="1">
        <v>33</v>
      </c>
      <c r="V194" s="1">
        <v>36</v>
      </c>
      <c r="W194" s="1" t="s">
        <v>412</v>
      </c>
      <c r="X194" s="1"/>
      <c r="Y194" s="10" t="s">
        <v>659</v>
      </c>
      <c r="Z194" s="1" t="s">
        <v>613</v>
      </c>
      <c r="AA194" s="13" t="s">
        <v>660</v>
      </c>
      <c r="AB194" s="10" t="s">
        <v>1767</v>
      </c>
      <c r="AC194" s="162">
        <v>7</v>
      </c>
      <c r="AD194" s="156">
        <v>12</v>
      </c>
      <c r="AE194" s="156"/>
      <c r="AF194" s="156"/>
      <c r="AG194" s="377">
        <f t="shared" si="23"/>
        <v>19</v>
      </c>
      <c r="AH194" s="377" t="b">
        <f t="shared" si="20"/>
        <v>0</v>
      </c>
      <c r="AI194" s="68">
        <v>7</v>
      </c>
      <c r="AJ194" s="68">
        <v>7</v>
      </c>
      <c r="AK194" s="43">
        <v>7</v>
      </c>
      <c r="AL194" s="340">
        <v>12</v>
      </c>
      <c r="AM194" s="16">
        <f t="shared" si="21"/>
        <v>0.33333333333333331</v>
      </c>
      <c r="AN194" s="162">
        <v>7</v>
      </c>
      <c r="AO194" s="74">
        <v>7</v>
      </c>
      <c r="AP194" s="68">
        <v>7</v>
      </c>
      <c r="AQ194" s="68"/>
      <c r="AR194" s="76">
        <f t="shared" si="26"/>
        <v>12</v>
      </c>
      <c r="AS194" s="21">
        <v>1</v>
      </c>
      <c r="AT194" s="1">
        <f t="shared" si="22"/>
        <v>19</v>
      </c>
      <c r="AU194" s="31"/>
      <c r="AV194" s="31"/>
      <c r="AW194" s="31"/>
      <c r="AX194" s="16">
        <f t="shared" si="25"/>
        <v>0.52777777777777779</v>
      </c>
      <c r="AY194" s="156">
        <v>12</v>
      </c>
      <c r="AZ194" s="76">
        <v>7</v>
      </c>
      <c r="BA194" s="31"/>
      <c r="BB194" s="31"/>
      <c r="BC194" s="31"/>
      <c r="BD194" s="16">
        <f t="shared" si="24"/>
        <v>0.58333333333333337</v>
      </c>
      <c r="BE194" s="31"/>
      <c r="BF194" s="31"/>
      <c r="BG194" s="31"/>
      <c r="BH194" s="31"/>
      <c r="BI194" s="16"/>
      <c r="BJ194" s="16"/>
      <c r="BK194" s="31"/>
      <c r="BL194" s="31"/>
      <c r="BM194" s="31"/>
      <c r="BN194" s="31"/>
      <c r="BO194" s="16"/>
      <c r="BP194" s="31"/>
      <c r="BQ194" s="31"/>
      <c r="BR194" s="31"/>
      <c r="BS194" s="31"/>
      <c r="BT194" s="16"/>
      <c r="BU194" s="16"/>
      <c r="BV194" s="16"/>
      <c r="BW194" s="16"/>
      <c r="BX194" s="16"/>
      <c r="BY194" s="16"/>
      <c r="BZ194" s="16"/>
      <c r="CA194" s="1"/>
      <c r="CB194" s="1"/>
      <c r="CC194" s="1"/>
    </row>
    <row r="195" spans="1:81" s="52" customFormat="1" ht="47.25" x14ac:dyDescent="0.25">
      <c r="A195" s="1">
        <v>1</v>
      </c>
      <c r="B195" s="13" t="s">
        <v>1746</v>
      </c>
      <c r="C195" s="588"/>
      <c r="D195" s="589"/>
      <c r="E195" s="10" t="s">
        <v>651</v>
      </c>
      <c r="F195" s="13" t="s">
        <v>652</v>
      </c>
      <c r="G195" s="588"/>
      <c r="H195" s="589"/>
      <c r="I195" s="10" t="s">
        <v>668</v>
      </c>
      <c r="J195" s="13" t="s">
        <v>669</v>
      </c>
      <c r="K195" s="568"/>
      <c r="L195" s="570"/>
      <c r="M195" s="23"/>
      <c r="N195" s="23" t="s">
        <v>670</v>
      </c>
      <c r="O195" s="13" t="s">
        <v>670</v>
      </c>
      <c r="P195" s="1">
        <v>4</v>
      </c>
      <c r="Q195" s="1">
        <v>4</v>
      </c>
      <c r="R195" s="1"/>
      <c r="S195" s="13" t="s">
        <v>696</v>
      </c>
      <c r="T195" s="13" t="s">
        <v>697</v>
      </c>
      <c r="U195" s="1">
        <v>8</v>
      </c>
      <c r="V195" s="1">
        <v>15</v>
      </c>
      <c r="W195" s="1" t="s">
        <v>412</v>
      </c>
      <c r="X195" s="1"/>
      <c r="Y195" s="10" t="s">
        <v>659</v>
      </c>
      <c r="Z195" s="1" t="s">
        <v>613</v>
      </c>
      <c r="AA195" s="13" t="s">
        <v>660</v>
      </c>
      <c r="AB195" s="10" t="s">
        <v>1767</v>
      </c>
      <c r="AC195" s="162">
        <v>2</v>
      </c>
      <c r="AD195" s="156">
        <v>4</v>
      </c>
      <c r="AE195" s="156"/>
      <c r="AF195" s="156"/>
      <c r="AG195" s="377">
        <f t="shared" si="23"/>
        <v>6</v>
      </c>
      <c r="AH195" s="377" t="b">
        <f t="shared" si="20"/>
        <v>0</v>
      </c>
      <c r="AI195" s="68">
        <v>7</v>
      </c>
      <c r="AJ195" s="68">
        <v>7</v>
      </c>
      <c r="AK195" s="43">
        <v>7</v>
      </c>
      <c r="AL195" s="340">
        <v>14</v>
      </c>
      <c r="AM195" s="16">
        <f t="shared" si="21"/>
        <v>0.93333333333333335</v>
      </c>
      <c r="AN195" s="162">
        <v>2</v>
      </c>
      <c r="AO195" s="74">
        <v>7</v>
      </c>
      <c r="AP195" s="68">
        <v>2</v>
      </c>
      <c r="AQ195" s="68"/>
      <c r="AR195" s="76">
        <f t="shared" si="26"/>
        <v>14</v>
      </c>
      <c r="AS195" s="21">
        <v>1</v>
      </c>
      <c r="AT195" s="1">
        <f t="shared" si="22"/>
        <v>14</v>
      </c>
      <c r="AU195" s="31"/>
      <c r="AV195" s="31"/>
      <c r="AW195" s="31"/>
      <c r="AX195" s="16">
        <f t="shared" si="25"/>
        <v>0.93333333333333335</v>
      </c>
      <c r="AY195" s="156">
        <v>4</v>
      </c>
      <c r="AZ195" s="76">
        <v>0</v>
      </c>
      <c r="BA195" s="31"/>
      <c r="BB195" s="31"/>
      <c r="BC195" s="31"/>
      <c r="BD195" s="16">
        <f t="shared" si="24"/>
        <v>0</v>
      </c>
      <c r="BE195" s="31"/>
      <c r="BF195" s="31"/>
      <c r="BG195" s="31"/>
      <c r="BH195" s="31"/>
      <c r="BI195" s="16"/>
      <c r="BJ195" s="16"/>
      <c r="BK195" s="31"/>
      <c r="BL195" s="31"/>
      <c r="BM195" s="31"/>
      <c r="BN195" s="31"/>
      <c r="BO195" s="16"/>
      <c r="BP195" s="31"/>
      <c r="BQ195" s="31"/>
      <c r="BR195" s="31"/>
      <c r="BS195" s="31"/>
      <c r="BT195" s="16"/>
      <c r="BU195" s="16"/>
      <c r="BV195" s="16"/>
      <c r="BW195" s="16"/>
      <c r="BX195" s="16"/>
      <c r="BY195" s="16"/>
      <c r="BZ195" s="16"/>
      <c r="CA195" s="1"/>
      <c r="CB195" s="1"/>
      <c r="CC195" s="1"/>
    </row>
    <row r="196" spans="1:81" s="52" customFormat="1" ht="63" x14ac:dyDescent="0.25">
      <c r="A196" s="1">
        <v>1</v>
      </c>
      <c r="B196" s="13" t="s">
        <v>1746</v>
      </c>
      <c r="C196" s="588"/>
      <c r="D196" s="589"/>
      <c r="E196" s="10" t="s">
        <v>651</v>
      </c>
      <c r="F196" s="13" t="s">
        <v>652</v>
      </c>
      <c r="G196" s="588"/>
      <c r="H196" s="589"/>
      <c r="I196" s="10" t="s">
        <v>698</v>
      </c>
      <c r="J196" s="13" t="s">
        <v>699</v>
      </c>
      <c r="K196" s="567">
        <f>AVERAGE(AX196:AX199)</f>
        <v>0.4841583333333333</v>
      </c>
      <c r="L196" s="569">
        <f>AVERAGE(BD196:BD199)</f>
        <v>0</v>
      </c>
      <c r="M196" s="23"/>
      <c r="N196" s="23" t="s">
        <v>700</v>
      </c>
      <c r="O196" s="13" t="s">
        <v>701</v>
      </c>
      <c r="P196" s="26">
        <v>0.27</v>
      </c>
      <c r="Q196" s="26">
        <v>0.35</v>
      </c>
      <c r="R196" s="14"/>
      <c r="S196" s="13" t="s">
        <v>702</v>
      </c>
      <c r="T196" s="13" t="s">
        <v>703</v>
      </c>
      <c r="U196" s="1">
        <v>864</v>
      </c>
      <c r="V196" s="1">
        <v>1920</v>
      </c>
      <c r="W196" s="1" t="s">
        <v>412</v>
      </c>
      <c r="X196" s="10" t="s">
        <v>704</v>
      </c>
      <c r="Y196" s="10" t="s">
        <v>659</v>
      </c>
      <c r="Z196" s="1" t="s">
        <v>613</v>
      </c>
      <c r="AA196" s="13" t="s">
        <v>660</v>
      </c>
      <c r="AB196" s="10" t="s">
        <v>682</v>
      </c>
      <c r="AC196" s="162">
        <v>1440</v>
      </c>
      <c r="AD196" s="156">
        <v>1920</v>
      </c>
      <c r="AE196" s="156"/>
      <c r="AF196" s="156"/>
      <c r="AG196" s="377">
        <f t="shared" si="23"/>
        <v>3360</v>
      </c>
      <c r="AH196" s="377" t="b">
        <f t="shared" si="20"/>
        <v>0</v>
      </c>
      <c r="AI196" s="68">
        <v>440</v>
      </c>
      <c r="AJ196" s="68">
        <v>440</v>
      </c>
      <c r="AK196" s="43">
        <v>440</v>
      </c>
      <c r="AL196" s="340">
        <v>1760</v>
      </c>
      <c r="AM196" s="16">
        <f t="shared" si="21"/>
        <v>0.91666666666666663</v>
      </c>
      <c r="AN196" s="162">
        <v>1440</v>
      </c>
      <c r="AO196" s="74">
        <v>440</v>
      </c>
      <c r="AP196" s="68">
        <v>440</v>
      </c>
      <c r="AQ196" s="68"/>
      <c r="AR196" s="76">
        <f t="shared" si="26"/>
        <v>1760</v>
      </c>
      <c r="AS196" s="21">
        <v>1</v>
      </c>
      <c r="AT196" s="1">
        <f t="shared" si="22"/>
        <v>1760</v>
      </c>
      <c r="AU196" s="31"/>
      <c r="AV196" s="31"/>
      <c r="AW196" s="31"/>
      <c r="AX196" s="16">
        <f t="shared" si="25"/>
        <v>0.91666666666666663</v>
      </c>
      <c r="AY196" s="156">
        <v>1920</v>
      </c>
      <c r="AZ196" s="76">
        <v>0</v>
      </c>
      <c r="BA196" s="31"/>
      <c r="BB196" s="31"/>
      <c r="BC196" s="31"/>
      <c r="BD196" s="16">
        <f t="shared" si="24"/>
        <v>0</v>
      </c>
      <c r="BE196" s="31"/>
      <c r="BF196" s="31"/>
      <c r="BG196" s="31"/>
      <c r="BH196" s="31"/>
      <c r="BI196" s="16"/>
      <c r="BJ196" s="16"/>
      <c r="BK196" s="31"/>
      <c r="BL196" s="31"/>
      <c r="BM196" s="31"/>
      <c r="BN196" s="31"/>
      <c r="BO196" s="16"/>
      <c r="BP196" s="31"/>
      <c r="BQ196" s="31"/>
      <c r="BR196" s="31"/>
      <c r="BS196" s="31"/>
      <c r="BT196" s="16"/>
      <c r="BU196" s="16"/>
      <c r="BV196" s="16"/>
      <c r="BW196" s="16"/>
      <c r="BX196" s="16"/>
      <c r="BY196" s="16"/>
      <c r="BZ196" s="16"/>
      <c r="CA196" s="1"/>
      <c r="CB196" s="1"/>
      <c r="CC196" s="1"/>
    </row>
    <row r="197" spans="1:81" s="52" customFormat="1" ht="63" x14ac:dyDescent="0.25">
      <c r="A197" s="1">
        <v>1</v>
      </c>
      <c r="B197" s="13" t="s">
        <v>1746</v>
      </c>
      <c r="C197" s="588"/>
      <c r="D197" s="589"/>
      <c r="E197" s="10" t="s">
        <v>651</v>
      </c>
      <c r="F197" s="13" t="s">
        <v>652</v>
      </c>
      <c r="G197" s="588"/>
      <c r="H197" s="589"/>
      <c r="I197" s="10" t="s">
        <v>698</v>
      </c>
      <c r="J197" s="13" t="s">
        <v>699</v>
      </c>
      <c r="K197" s="572"/>
      <c r="L197" s="573"/>
      <c r="M197" s="23"/>
      <c r="N197" s="23" t="s">
        <v>700</v>
      </c>
      <c r="O197" s="13" t="s">
        <v>701</v>
      </c>
      <c r="P197" s="26">
        <v>0.27</v>
      </c>
      <c r="Q197" s="26">
        <v>0.35</v>
      </c>
      <c r="R197" s="14"/>
      <c r="S197" s="13" t="s">
        <v>705</v>
      </c>
      <c r="T197" s="13" t="s">
        <v>706</v>
      </c>
      <c r="U197" s="1">
        <v>480</v>
      </c>
      <c r="V197" s="1">
        <v>640</v>
      </c>
      <c r="W197" s="1" t="s">
        <v>412</v>
      </c>
      <c r="X197" s="10" t="s">
        <v>704</v>
      </c>
      <c r="Y197" s="10" t="s">
        <v>659</v>
      </c>
      <c r="Z197" s="1" t="s">
        <v>613</v>
      </c>
      <c r="AA197" s="13" t="s">
        <v>660</v>
      </c>
      <c r="AB197" s="10" t="s">
        <v>682</v>
      </c>
      <c r="AC197" s="162">
        <v>480</v>
      </c>
      <c r="AD197" s="156">
        <v>480</v>
      </c>
      <c r="AE197" s="156"/>
      <c r="AF197" s="156"/>
      <c r="AG197" s="377">
        <f t="shared" si="23"/>
        <v>960</v>
      </c>
      <c r="AH197" s="377" t="b">
        <f t="shared" si="20"/>
        <v>0</v>
      </c>
      <c r="AI197" s="68">
        <v>380</v>
      </c>
      <c r="AJ197" s="68">
        <v>380</v>
      </c>
      <c r="AK197" s="43">
        <v>380</v>
      </c>
      <c r="AL197" s="340">
        <v>480</v>
      </c>
      <c r="AM197" s="16">
        <f t="shared" si="21"/>
        <v>0.75</v>
      </c>
      <c r="AN197" s="162">
        <v>480</v>
      </c>
      <c r="AO197" s="74">
        <v>380</v>
      </c>
      <c r="AP197" s="68">
        <v>380</v>
      </c>
      <c r="AQ197" s="68"/>
      <c r="AR197" s="76">
        <f t="shared" si="26"/>
        <v>480</v>
      </c>
      <c r="AS197" s="21">
        <f t="shared" si="27"/>
        <v>1</v>
      </c>
      <c r="AT197" s="1">
        <f t="shared" si="22"/>
        <v>480</v>
      </c>
      <c r="AU197" s="31"/>
      <c r="AV197" s="31"/>
      <c r="AW197" s="31"/>
      <c r="AX197" s="16">
        <f t="shared" si="25"/>
        <v>0.75</v>
      </c>
      <c r="AY197" s="156">
        <v>480</v>
      </c>
      <c r="AZ197" s="76">
        <v>0</v>
      </c>
      <c r="BA197" s="31"/>
      <c r="BB197" s="31"/>
      <c r="BC197" s="31"/>
      <c r="BD197" s="16">
        <f t="shared" si="24"/>
        <v>0</v>
      </c>
      <c r="BE197" s="31"/>
      <c r="BF197" s="31"/>
      <c r="BG197" s="31"/>
      <c r="BH197" s="31"/>
      <c r="BI197" s="16"/>
      <c r="BJ197" s="16"/>
      <c r="BK197" s="31"/>
      <c r="BL197" s="31"/>
      <c r="BM197" s="31"/>
      <c r="BN197" s="31"/>
      <c r="BO197" s="16"/>
      <c r="BP197" s="31"/>
      <c r="BQ197" s="31"/>
      <c r="BR197" s="31"/>
      <c r="BS197" s="31"/>
      <c r="BT197" s="16"/>
      <c r="BU197" s="16"/>
      <c r="BV197" s="16"/>
      <c r="BW197" s="16"/>
      <c r="BX197" s="16"/>
      <c r="BY197" s="16"/>
      <c r="BZ197" s="16"/>
      <c r="CA197" s="1"/>
      <c r="CB197" s="1"/>
      <c r="CC197" s="1"/>
    </row>
    <row r="198" spans="1:81" s="52" customFormat="1" ht="63" x14ac:dyDescent="0.25">
      <c r="A198" s="1">
        <v>1</v>
      </c>
      <c r="B198" s="13" t="s">
        <v>1746</v>
      </c>
      <c r="C198" s="588"/>
      <c r="D198" s="589"/>
      <c r="E198" s="10" t="s">
        <v>651</v>
      </c>
      <c r="F198" s="13" t="s">
        <v>652</v>
      </c>
      <c r="G198" s="588"/>
      <c r="H198" s="589"/>
      <c r="I198" s="10" t="s">
        <v>698</v>
      </c>
      <c r="J198" s="13" t="s">
        <v>699</v>
      </c>
      <c r="K198" s="572"/>
      <c r="L198" s="573"/>
      <c r="M198" s="23"/>
      <c r="N198" s="23" t="s">
        <v>707</v>
      </c>
      <c r="O198" s="13" t="s">
        <v>708</v>
      </c>
      <c r="P198" s="1">
        <v>203</v>
      </c>
      <c r="Q198" s="1">
        <v>300</v>
      </c>
      <c r="R198" s="24"/>
      <c r="S198" s="13" t="s">
        <v>709</v>
      </c>
      <c r="T198" s="13" t="s">
        <v>710</v>
      </c>
      <c r="U198" s="1">
        <v>4</v>
      </c>
      <c r="V198" s="1">
        <v>4</v>
      </c>
      <c r="W198" s="1" t="s">
        <v>420</v>
      </c>
      <c r="X198" s="10" t="s">
        <v>711</v>
      </c>
      <c r="Y198" s="10" t="s">
        <v>659</v>
      </c>
      <c r="Z198" s="1" t="s">
        <v>613</v>
      </c>
      <c r="AA198" s="13" t="s">
        <v>660</v>
      </c>
      <c r="AB198" s="10" t="s">
        <v>682</v>
      </c>
      <c r="AC198" s="162">
        <v>1</v>
      </c>
      <c r="AD198" s="156">
        <v>1</v>
      </c>
      <c r="AE198" s="156"/>
      <c r="AF198" s="156"/>
      <c r="AG198" s="377">
        <f t="shared" si="23"/>
        <v>2</v>
      </c>
      <c r="AH198" s="377" t="b">
        <f t="shared" si="20"/>
        <v>0</v>
      </c>
      <c r="AI198" s="68">
        <v>0</v>
      </c>
      <c r="AJ198" s="68">
        <v>0</v>
      </c>
      <c r="AK198" s="43"/>
      <c r="AL198" s="68">
        <v>1</v>
      </c>
      <c r="AM198" s="16">
        <f t="shared" si="21"/>
        <v>0.25</v>
      </c>
      <c r="AN198" s="162">
        <v>1</v>
      </c>
      <c r="AO198" s="74">
        <v>0</v>
      </c>
      <c r="AP198" s="68">
        <v>0</v>
      </c>
      <c r="AQ198" s="68"/>
      <c r="AR198" s="76">
        <f t="shared" si="26"/>
        <v>1</v>
      </c>
      <c r="AS198" s="21">
        <f t="shared" si="27"/>
        <v>1</v>
      </c>
      <c r="AT198" s="1">
        <f t="shared" si="22"/>
        <v>0.25</v>
      </c>
      <c r="AU198" s="31"/>
      <c r="AV198" s="31"/>
      <c r="AW198" s="31"/>
      <c r="AX198" s="16">
        <f t="shared" si="25"/>
        <v>6.25E-2</v>
      </c>
      <c r="AY198" s="156">
        <v>1</v>
      </c>
      <c r="AZ198" s="76">
        <v>0</v>
      </c>
      <c r="BA198" s="31"/>
      <c r="BB198" s="31"/>
      <c r="BC198" s="31"/>
      <c r="BD198" s="16">
        <f t="shared" si="24"/>
        <v>0</v>
      </c>
      <c r="BE198" s="31"/>
      <c r="BF198" s="31"/>
      <c r="BG198" s="31"/>
      <c r="BH198" s="31"/>
      <c r="BI198" s="16"/>
      <c r="BJ198" s="16"/>
      <c r="BK198" s="31"/>
      <c r="BL198" s="31"/>
      <c r="BM198" s="31"/>
      <c r="BN198" s="31"/>
      <c r="BO198" s="16"/>
      <c r="BP198" s="31"/>
      <c r="BQ198" s="31"/>
      <c r="BR198" s="31"/>
      <c r="BS198" s="31"/>
      <c r="BT198" s="16"/>
      <c r="BU198" s="16"/>
      <c r="BV198" s="16"/>
      <c r="BW198" s="16"/>
      <c r="BX198" s="16"/>
      <c r="BY198" s="16"/>
      <c r="BZ198" s="16"/>
      <c r="CA198" s="1"/>
      <c r="CB198" s="1"/>
      <c r="CC198" s="1"/>
    </row>
    <row r="199" spans="1:81" s="52" customFormat="1" ht="63" x14ac:dyDescent="0.25">
      <c r="A199" s="1">
        <v>1</v>
      </c>
      <c r="B199" s="13" t="s">
        <v>1746</v>
      </c>
      <c r="C199" s="588"/>
      <c r="D199" s="589"/>
      <c r="E199" s="10" t="s">
        <v>651</v>
      </c>
      <c r="F199" s="13" t="s">
        <v>652</v>
      </c>
      <c r="G199" s="588"/>
      <c r="H199" s="589"/>
      <c r="I199" s="10" t="s">
        <v>698</v>
      </c>
      <c r="J199" s="13" t="s">
        <v>699</v>
      </c>
      <c r="K199" s="568"/>
      <c r="L199" s="570"/>
      <c r="M199" s="23"/>
      <c r="N199" s="23" t="s">
        <v>707</v>
      </c>
      <c r="O199" s="13" t="s">
        <v>708</v>
      </c>
      <c r="P199" s="1">
        <v>203</v>
      </c>
      <c r="Q199" s="1">
        <v>300</v>
      </c>
      <c r="R199" s="24"/>
      <c r="S199" s="13" t="s">
        <v>712</v>
      </c>
      <c r="T199" s="13" t="s">
        <v>713</v>
      </c>
      <c r="U199" s="1">
        <v>80000</v>
      </c>
      <c r="V199" s="1">
        <v>60000</v>
      </c>
      <c r="W199" s="1" t="s">
        <v>633</v>
      </c>
      <c r="X199" s="10" t="s">
        <v>711</v>
      </c>
      <c r="Y199" s="10" t="s">
        <v>659</v>
      </c>
      <c r="Z199" s="1" t="s">
        <v>613</v>
      </c>
      <c r="AA199" s="13" t="s">
        <v>660</v>
      </c>
      <c r="AB199" s="10" t="s">
        <v>682</v>
      </c>
      <c r="AC199" s="162">
        <v>1000</v>
      </c>
      <c r="AD199" s="156">
        <v>15000</v>
      </c>
      <c r="AE199" s="156"/>
      <c r="AF199" s="156"/>
      <c r="AG199" s="377">
        <f t="shared" si="23"/>
        <v>16000</v>
      </c>
      <c r="AH199" s="377" t="b">
        <f t="shared" si="20"/>
        <v>0</v>
      </c>
      <c r="AI199" s="68">
        <v>0</v>
      </c>
      <c r="AJ199" s="68">
        <v>0</v>
      </c>
      <c r="AK199" s="43"/>
      <c r="AL199" s="340">
        <v>12448</v>
      </c>
      <c r="AM199" s="16">
        <f t="shared" si="21"/>
        <v>0.20746666666666666</v>
      </c>
      <c r="AN199" s="162">
        <v>1000</v>
      </c>
      <c r="AO199" s="74">
        <v>0</v>
      </c>
      <c r="AP199" s="68">
        <v>0</v>
      </c>
      <c r="AQ199" s="68"/>
      <c r="AR199" s="76">
        <f t="shared" si="26"/>
        <v>12448</v>
      </c>
      <c r="AS199" s="21">
        <v>1</v>
      </c>
      <c r="AT199" s="1">
        <f t="shared" si="22"/>
        <v>12448</v>
      </c>
      <c r="AU199" s="31"/>
      <c r="AV199" s="31"/>
      <c r="AW199" s="31"/>
      <c r="AX199" s="16">
        <f t="shared" si="25"/>
        <v>0.20746666666666666</v>
      </c>
      <c r="AY199" s="156">
        <v>15000</v>
      </c>
      <c r="AZ199" s="76">
        <v>0</v>
      </c>
      <c r="BA199" s="31"/>
      <c r="BB199" s="31"/>
      <c r="BC199" s="31"/>
      <c r="BD199" s="16">
        <f t="shared" si="24"/>
        <v>0</v>
      </c>
      <c r="BE199" s="31"/>
      <c r="BF199" s="31"/>
      <c r="BG199" s="31"/>
      <c r="BH199" s="31"/>
      <c r="BI199" s="16"/>
      <c r="BJ199" s="16"/>
      <c r="BK199" s="31"/>
      <c r="BL199" s="31"/>
      <c r="BM199" s="31"/>
      <c r="BN199" s="31"/>
      <c r="BO199" s="16"/>
      <c r="BP199" s="31"/>
      <c r="BQ199" s="31"/>
      <c r="BR199" s="31"/>
      <c r="BS199" s="31"/>
      <c r="BT199" s="16"/>
      <c r="BU199" s="16"/>
      <c r="BV199" s="16"/>
      <c r="BW199" s="16"/>
      <c r="BX199" s="16"/>
      <c r="BY199" s="16"/>
      <c r="BZ199" s="16"/>
      <c r="CA199" s="1"/>
      <c r="CB199" s="1"/>
      <c r="CC199" s="1"/>
    </row>
    <row r="200" spans="1:81" s="52" customFormat="1" ht="78.75" x14ac:dyDescent="0.25">
      <c r="A200" s="1">
        <v>1</v>
      </c>
      <c r="B200" s="13" t="s">
        <v>1746</v>
      </c>
      <c r="C200" s="588"/>
      <c r="D200" s="589"/>
      <c r="E200" s="10" t="s">
        <v>651</v>
      </c>
      <c r="F200" s="13" t="s">
        <v>652</v>
      </c>
      <c r="G200" s="588"/>
      <c r="H200" s="589"/>
      <c r="I200" s="10" t="s">
        <v>714</v>
      </c>
      <c r="J200" s="13" t="s">
        <v>715</v>
      </c>
      <c r="K200" s="567">
        <f>AVERAGE(AX200:AX202)</f>
        <v>0.46812996031746029</v>
      </c>
      <c r="L200" s="569">
        <f>AVERAGE(BD200:BD202)</f>
        <v>0</v>
      </c>
      <c r="M200" s="23"/>
      <c r="N200" s="23" t="s">
        <v>716</v>
      </c>
      <c r="O200" s="13" t="s">
        <v>717</v>
      </c>
      <c r="P200" s="26">
        <v>7.0000000000000007E-2</v>
      </c>
      <c r="Q200" s="26">
        <v>0.22</v>
      </c>
      <c r="R200" s="14"/>
      <c r="S200" s="13" t="s">
        <v>718</v>
      </c>
      <c r="T200" s="13" t="s">
        <v>719</v>
      </c>
      <c r="U200" s="1">
        <v>2000</v>
      </c>
      <c r="V200" s="1">
        <v>2688</v>
      </c>
      <c r="W200" s="1" t="s">
        <v>412</v>
      </c>
      <c r="X200" s="10" t="s">
        <v>720</v>
      </c>
      <c r="Y200" s="10" t="s">
        <v>659</v>
      </c>
      <c r="Z200" s="1" t="s">
        <v>613</v>
      </c>
      <c r="AA200" s="13" t="s">
        <v>660</v>
      </c>
      <c r="AB200" s="10" t="s">
        <v>682</v>
      </c>
      <c r="AC200" s="162">
        <v>500</v>
      </c>
      <c r="AD200" s="156">
        <v>600</v>
      </c>
      <c r="AE200" s="156"/>
      <c r="AF200" s="156"/>
      <c r="AG200" s="377">
        <f t="shared" si="23"/>
        <v>1100</v>
      </c>
      <c r="AH200" s="377" t="b">
        <f t="shared" si="20"/>
        <v>0</v>
      </c>
      <c r="AI200" s="68">
        <v>45</v>
      </c>
      <c r="AJ200" s="68">
        <v>45</v>
      </c>
      <c r="AK200" s="43">
        <v>48</v>
      </c>
      <c r="AL200" s="340">
        <v>511</v>
      </c>
      <c r="AM200" s="16">
        <f t="shared" si="21"/>
        <v>0.19010416666666666</v>
      </c>
      <c r="AN200" s="162">
        <v>500</v>
      </c>
      <c r="AO200" s="74">
        <v>45</v>
      </c>
      <c r="AP200" s="68">
        <v>45</v>
      </c>
      <c r="AQ200" s="68"/>
      <c r="AR200" s="76">
        <f t="shared" si="26"/>
        <v>511</v>
      </c>
      <c r="AS200" s="21">
        <v>1</v>
      </c>
      <c r="AT200" s="1">
        <f t="shared" si="22"/>
        <v>511</v>
      </c>
      <c r="AU200" s="31"/>
      <c r="AV200" s="31"/>
      <c r="AW200" s="31"/>
      <c r="AX200" s="16">
        <f t="shared" si="25"/>
        <v>0.19010416666666666</v>
      </c>
      <c r="AY200" s="156">
        <v>600</v>
      </c>
      <c r="AZ200" s="76">
        <v>0</v>
      </c>
      <c r="BA200" s="31"/>
      <c r="BB200" s="31"/>
      <c r="BC200" s="31"/>
      <c r="BD200" s="16">
        <f t="shared" si="24"/>
        <v>0</v>
      </c>
      <c r="BE200" s="31"/>
      <c r="BF200" s="31"/>
      <c r="BG200" s="31"/>
      <c r="BH200" s="31"/>
      <c r="BI200" s="16"/>
      <c r="BJ200" s="16"/>
      <c r="BK200" s="31"/>
      <c r="BL200" s="31"/>
      <c r="BM200" s="31"/>
      <c r="BN200" s="31"/>
      <c r="BO200" s="16"/>
      <c r="BP200" s="31"/>
      <c r="BQ200" s="31"/>
      <c r="BR200" s="31"/>
      <c r="BS200" s="31"/>
      <c r="BT200" s="16"/>
      <c r="BU200" s="16"/>
      <c r="BV200" s="16"/>
      <c r="BW200" s="16"/>
      <c r="BX200" s="16"/>
      <c r="BY200" s="16"/>
      <c r="BZ200" s="16"/>
      <c r="CA200" s="1"/>
      <c r="CB200" s="1"/>
      <c r="CC200" s="1"/>
    </row>
    <row r="201" spans="1:81" s="52" customFormat="1" ht="78.75" x14ac:dyDescent="0.25">
      <c r="A201" s="1">
        <v>1</v>
      </c>
      <c r="B201" s="13" t="s">
        <v>1746</v>
      </c>
      <c r="C201" s="588"/>
      <c r="D201" s="589"/>
      <c r="E201" s="10" t="s">
        <v>651</v>
      </c>
      <c r="F201" s="13" t="s">
        <v>652</v>
      </c>
      <c r="G201" s="588"/>
      <c r="H201" s="589"/>
      <c r="I201" s="10" t="s">
        <v>714</v>
      </c>
      <c r="J201" s="13" t="s">
        <v>715</v>
      </c>
      <c r="K201" s="572"/>
      <c r="L201" s="573"/>
      <c r="M201" s="23"/>
      <c r="N201" s="23" t="s">
        <v>716</v>
      </c>
      <c r="O201" s="13" t="s">
        <v>717</v>
      </c>
      <c r="P201" s="26">
        <v>7.0000000000000007E-2</v>
      </c>
      <c r="Q201" s="26">
        <v>0.22</v>
      </c>
      <c r="R201" s="14"/>
      <c r="S201" s="13" t="s">
        <v>721</v>
      </c>
      <c r="T201" s="13" t="s">
        <v>722</v>
      </c>
      <c r="U201" s="1">
        <v>0</v>
      </c>
      <c r="V201" s="1">
        <v>4</v>
      </c>
      <c r="W201" s="1" t="s">
        <v>412</v>
      </c>
      <c r="X201" s="10"/>
      <c r="Y201" s="10" t="s">
        <v>659</v>
      </c>
      <c r="Z201" s="1" t="s">
        <v>613</v>
      </c>
      <c r="AA201" s="13" t="s">
        <v>660</v>
      </c>
      <c r="AB201" s="10" t="s">
        <v>682</v>
      </c>
      <c r="AC201" s="162">
        <v>3</v>
      </c>
      <c r="AD201" s="156">
        <v>1</v>
      </c>
      <c r="AE201" s="156"/>
      <c r="AF201" s="156"/>
      <c r="AG201" s="377">
        <f t="shared" si="23"/>
        <v>4</v>
      </c>
      <c r="AH201" s="377" t="b">
        <f t="shared" ref="AH201:AH265" si="28">V201=AG201</f>
        <v>1</v>
      </c>
      <c r="AI201" s="68">
        <v>3</v>
      </c>
      <c r="AJ201" s="68">
        <v>3</v>
      </c>
      <c r="AK201" s="43">
        <v>3</v>
      </c>
      <c r="AL201" s="340">
        <v>3</v>
      </c>
      <c r="AM201" s="16">
        <f t="shared" ref="AM201:AM265" si="29">+AL201/V201</f>
        <v>0.75</v>
      </c>
      <c r="AN201" s="162">
        <v>3</v>
      </c>
      <c r="AO201" s="74">
        <v>3</v>
      </c>
      <c r="AP201" s="68">
        <v>3</v>
      </c>
      <c r="AQ201" s="68"/>
      <c r="AR201" s="76">
        <f t="shared" si="26"/>
        <v>3</v>
      </c>
      <c r="AS201" s="21">
        <f t="shared" si="27"/>
        <v>1</v>
      </c>
      <c r="AT201" s="1">
        <f t="shared" si="22"/>
        <v>3</v>
      </c>
      <c r="AU201" s="31"/>
      <c r="AV201" s="31"/>
      <c r="AW201" s="31"/>
      <c r="AX201" s="16">
        <f t="shared" si="25"/>
        <v>0.75</v>
      </c>
      <c r="AY201" s="156">
        <v>1</v>
      </c>
      <c r="AZ201" s="76">
        <v>0</v>
      </c>
      <c r="BA201" s="31"/>
      <c r="BB201" s="31"/>
      <c r="BC201" s="31"/>
      <c r="BD201" s="16">
        <f t="shared" si="24"/>
        <v>0</v>
      </c>
      <c r="BE201" s="31"/>
      <c r="BF201" s="31"/>
      <c r="BG201" s="31"/>
      <c r="BH201" s="31"/>
      <c r="BI201" s="16"/>
      <c r="BJ201" s="16"/>
      <c r="BK201" s="31"/>
      <c r="BL201" s="31"/>
      <c r="BM201" s="31"/>
      <c r="BN201" s="31"/>
      <c r="BO201" s="16"/>
      <c r="BP201" s="31"/>
      <c r="BQ201" s="31"/>
      <c r="BR201" s="31"/>
      <c r="BS201" s="31"/>
      <c r="BT201" s="16"/>
      <c r="BU201" s="16"/>
      <c r="BV201" s="16"/>
      <c r="BW201" s="16"/>
      <c r="BX201" s="16"/>
      <c r="BY201" s="16"/>
      <c r="BZ201" s="16"/>
      <c r="CA201" s="1"/>
      <c r="CB201" s="1"/>
      <c r="CC201" s="1"/>
    </row>
    <row r="202" spans="1:81" s="52" customFormat="1" ht="78.75" x14ac:dyDescent="0.25">
      <c r="A202" s="1">
        <v>1</v>
      </c>
      <c r="B202" s="13" t="s">
        <v>1746</v>
      </c>
      <c r="C202" s="588"/>
      <c r="D202" s="589"/>
      <c r="E202" s="10" t="s">
        <v>651</v>
      </c>
      <c r="F202" s="13" t="s">
        <v>652</v>
      </c>
      <c r="G202" s="588"/>
      <c r="H202" s="589"/>
      <c r="I202" s="10" t="s">
        <v>714</v>
      </c>
      <c r="J202" s="13" t="s">
        <v>715</v>
      </c>
      <c r="K202" s="568"/>
      <c r="L202" s="570"/>
      <c r="M202" s="23"/>
      <c r="N202" s="23" t="s">
        <v>716</v>
      </c>
      <c r="O202" s="13" t="s">
        <v>717</v>
      </c>
      <c r="P202" s="26">
        <v>7.0000000000000007E-2</v>
      </c>
      <c r="Q202" s="26">
        <v>0.22</v>
      </c>
      <c r="R202" s="14"/>
      <c r="S202" s="13" t="s">
        <v>723</v>
      </c>
      <c r="T202" s="13" t="s">
        <v>724</v>
      </c>
      <c r="U202" s="1">
        <v>20</v>
      </c>
      <c r="V202" s="1">
        <v>28</v>
      </c>
      <c r="W202" s="1" t="s">
        <v>412</v>
      </c>
      <c r="X202" s="10" t="s">
        <v>720</v>
      </c>
      <c r="Y202" s="10" t="s">
        <v>659</v>
      </c>
      <c r="Z202" s="1" t="s">
        <v>613</v>
      </c>
      <c r="AA202" s="13" t="s">
        <v>660</v>
      </c>
      <c r="AB202" s="10" t="s">
        <v>682</v>
      </c>
      <c r="AC202" s="162">
        <v>4</v>
      </c>
      <c r="AD202" s="156">
        <v>13</v>
      </c>
      <c r="AE202" s="156"/>
      <c r="AF202" s="156"/>
      <c r="AG202" s="377">
        <f t="shared" si="23"/>
        <v>17</v>
      </c>
      <c r="AH202" s="377" t="b">
        <f t="shared" si="28"/>
        <v>0</v>
      </c>
      <c r="AI202" s="68">
        <v>3</v>
      </c>
      <c r="AJ202" s="68">
        <v>3</v>
      </c>
      <c r="AK202" s="43">
        <v>5</v>
      </c>
      <c r="AL202" s="340">
        <v>13</v>
      </c>
      <c r="AM202" s="16">
        <f t="shared" si="29"/>
        <v>0.4642857142857143</v>
      </c>
      <c r="AN202" s="162">
        <v>4</v>
      </c>
      <c r="AO202" s="74">
        <v>3</v>
      </c>
      <c r="AP202" s="68">
        <v>3</v>
      </c>
      <c r="AQ202" s="68"/>
      <c r="AR202" s="76">
        <f t="shared" si="26"/>
        <v>13</v>
      </c>
      <c r="AS202" s="21">
        <v>1</v>
      </c>
      <c r="AT202" s="1">
        <f t="shared" si="22"/>
        <v>13</v>
      </c>
      <c r="AU202" s="31"/>
      <c r="AV202" s="31"/>
      <c r="AW202" s="31"/>
      <c r="AX202" s="16">
        <f t="shared" si="25"/>
        <v>0.4642857142857143</v>
      </c>
      <c r="AY202" s="156">
        <v>13</v>
      </c>
      <c r="AZ202" s="76">
        <v>0</v>
      </c>
      <c r="BA202" s="31"/>
      <c r="BB202" s="31"/>
      <c r="BC202" s="31"/>
      <c r="BD202" s="16">
        <f t="shared" si="24"/>
        <v>0</v>
      </c>
      <c r="BE202" s="31"/>
      <c r="BF202" s="31"/>
      <c r="BG202" s="31"/>
      <c r="BH202" s="31"/>
      <c r="BI202" s="16"/>
      <c r="BJ202" s="16"/>
      <c r="BK202" s="31"/>
      <c r="BL202" s="31"/>
      <c r="BM202" s="31"/>
      <c r="BN202" s="31"/>
      <c r="BO202" s="16"/>
      <c r="BP202" s="31"/>
      <c r="BQ202" s="31"/>
      <c r="BR202" s="31"/>
      <c r="BS202" s="31"/>
      <c r="BT202" s="16"/>
      <c r="BU202" s="16"/>
      <c r="BV202" s="16"/>
      <c r="BW202" s="16"/>
      <c r="BX202" s="16"/>
      <c r="BY202" s="16"/>
      <c r="BZ202" s="16"/>
      <c r="CA202" s="1"/>
      <c r="CB202" s="1"/>
      <c r="CC202" s="1"/>
    </row>
    <row r="203" spans="1:81" s="52" customFormat="1" ht="78.75" x14ac:dyDescent="0.25">
      <c r="A203" s="1">
        <v>1</v>
      </c>
      <c r="B203" s="13" t="s">
        <v>1746</v>
      </c>
      <c r="C203" s="588"/>
      <c r="D203" s="589"/>
      <c r="E203" s="10" t="s">
        <v>651</v>
      </c>
      <c r="F203" s="13" t="s">
        <v>652</v>
      </c>
      <c r="G203" s="588"/>
      <c r="H203" s="589"/>
      <c r="I203" s="10" t="s">
        <v>725</v>
      </c>
      <c r="J203" s="13" t="s">
        <v>726</v>
      </c>
      <c r="K203" s="567">
        <f>AVERAGE(AX203:AX208)</f>
        <v>0.3675913461538462</v>
      </c>
      <c r="L203" s="569">
        <f>AVERAGE(BD203:BD208)</f>
        <v>0</v>
      </c>
      <c r="M203" s="23"/>
      <c r="N203" s="23" t="s">
        <v>727</v>
      </c>
      <c r="O203" s="13" t="s">
        <v>728</v>
      </c>
      <c r="P203" s="26">
        <v>0.24</v>
      </c>
      <c r="Q203" s="26">
        <v>0.56000000000000005</v>
      </c>
      <c r="R203" s="14"/>
      <c r="S203" s="13" t="s">
        <v>729</v>
      </c>
      <c r="T203" s="13" t="s">
        <v>730</v>
      </c>
      <c r="U203" s="1">
        <v>4</v>
      </c>
      <c r="V203" s="1">
        <v>4</v>
      </c>
      <c r="W203" s="1" t="s">
        <v>420</v>
      </c>
      <c r="X203" s="10" t="s">
        <v>731</v>
      </c>
      <c r="Y203" s="10" t="s">
        <v>659</v>
      </c>
      <c r="Z203" s="1" t="s">
        <v>613</v>
      </c>
      <c r="AA203" s="13" t="s">
        <v>660</v>
      </c>
      <c r="AB203" s="10" t="s">
        <v>682</v>
      </c>
      <c r="AC203" s="162">
        <v>1</v>
      </c>
      <c r="AD203" s="156">
        <v>1</v>
      </c>
      <c r="AE203" s="156"/>
      <c r="AF203" s="156"/>
      <c r="AG203" s="377">
        <f t="shared" si="23"/>
        <v>2</v>
      </c>
      <c r="AH203" s="377" t="b">
        <f t="shared" si="28"/>
        <v>0</v>
      </c>
      <c r="AI203" s="68">
        <v>0</v>
      </c>
      <c r="AJ203" s="68">
        <v>0</v>
      </c>
      <c r="AK203" s="43"/>
      <c r="AL203" s="340">
        <v>1</v>
      </c>
      <c r="AM203" s="16">
        <f t="shared" si="29"/>
        <v>0.25</v>
      </c>
      <c r="AN203" s="162">
        <v>1</v>
      </c>
      <c r="AO203" s="74">
        <v>0</v>
      </c>
      <c r="AP203" s="68">
        <v>0</v>
      </c>
      <c r="AQ203" s="68"/>
      <c r="AR203" s="76">
        <f t="shared" si="26"/>
        <v>1</v>
      </c>
      <c r="AS203" s="21">
        <f t="shared" si="27"/>
        <v>1</v>
      </c>
      <c r="AT203" s="1">
        <f t="shared" si="22"/>
        <v>0.25</v>
      </c>
      <c r="AU203" s="31"/>
      <c r="AV203" s="31"/>
      <c r="AW203" s="31"/>
      <c r="AX203" s="16">
        <f t="shared" si="25"/>
        <v>6.25E-2</v>
      </c>
      <c r="AY203" s="156">
        <v>1</v>
      </c>
      <c r="AZ203" s="76">
        <v>0</v>
      </c>
      <c r="BA203" s="31"/>
      <c r="BB203" s="31"/>
      <c r="BC203" s="31"/>
      <c r="BD203" s="16">
        <f t="shared" si="24"/>
        <v>0</v>
      </c>
      <c r="BE203" s="31"/>
      <c r="BF203" s="31"/>
      <c r="BG203" s="31"/>
      <c r="BH203" s="31"/>
      <c r="BI203" s="16"/>
      <c r="BJ203" s="16"/>
      <c r="BK203" s="31"/>
      <c r="BL203" s="31"/>
      <c r="BM203" s="31"/>
      <c r="BN203" s="31"/>
      <c r="BO203" s="16"/>
      <c r="BP203" s="31"/>
      <c r="BQ203" s="31"/>
      <c r="BR203" s="31"/>
      <c r="BS203" s="31"/>
      <c r="BT203" s="16"/>
      <c r="BU203" s="16"/>
      <c r="BV203" s="16"/>
      <c r="BW203" s="16"/>
      <c r="BX203" s="16"/>
      <c r="BY203" s="16"/>
      <c r="BZ203" s="16"/>
      <c r="CA203" s="1"/>
      <c r="CB203" s="1"/>
      <c r="CC203" s="1"/>
    </row>
    <row r="204" spans="1:81" s="52" customFormat="1" ht="78.75" x14ac:dyDescent="0.25">
      <c r="A204" s="1">
        <v>1</v>
      </c>
      <c r="B204" s="13" t="s">
        <v>1746</v>
      </c>
      <c r="C204" s="588"/>
      <c r="D204" s="589"/>
      <c r="E204" s="10" t="s">
        <v>651</v>
      </c>
      <c r="F204" s="13" t="s">
        <v>652</v>
      </c>
      <c r="G204" s="588"/>
      <c r="H204" s="589"/>
      <c r="I204" s="10" t="s">
        <v>725</v>
      </c>
      <c r="J204" s="13" t="s">
        <v>726</v>
      </c>
      <c r="K204" s="572"/>
      <c r="L204" s="573"/>
      <c r="M204" s="23"/>
      <c r="N204" s="23" t="s">
        <v>727</v>
      </c>
      <c r="O204" s="13" t="s">
        <v>728</v>
      </c>
      <c r="P204" s="26">
        <v>0.24</v>
      </c>
      <c r="Q204" s="26">
        <v>0.56000000000000005</v>
      </c>
      <c r="R204" s="14"/>
      <c r="S204" s="13" t="s">
        <v>732</v>
      </c>
      <c r="T204" s="13" t="s">
        <v>733</v>
      </c>
      <c r="U204" s="1">
        <v>350</v>
      </c>
      <c r="V204" s="1">
        <v>500</v>
      </c>
      <c r="W204" s="1" t="s">
        <v>412</v>
      </c>
      <c r="X204" s="10" t="s">
        <v>731</v>
      </c>
      <c r="Y204" s="10" t="s">
        <v>659</v>
      </c>
      <c r="Z204" s="1" t="s">
        <v>613</v>
      </c>
      <c r="AA204" s="13" t="s">
        <v>660</v>
      </c>
      <c r="AB204" s="10" t="s">
        <v>682</v>
      </c>
      <c r="AC204" s="162">
        <v>100</v>
      </c>
      <c r="AD204" s="156">
        <v>434</v>
      </c>
      <c r="AE204" s="156"/>
      <c r="AF204" s="156"/>
      <c r="AG204" s="377">
        <f t="shared" si="23"/>
        <v>534</v>
      </c>
      <c r="AH204" s="377" t="b">
        <f t="shared" si="28"/>
        <v>0</v>
      </c>
      <c r="AI204" s="68">
        <v>100</v>
      </c>
      <c r="AJ204" s="68">
        <v>434</v>
      </c>
      <c r="AK204" s="43">
        <v>434</v>
      </c>
      <c r="AL204" s="68">
        <v>434</v>
      </c>
      <c r="AM204" s="16">
        <f t="shared" si="29"/>
        <v>0.86799999999999999</v>
      </c>
      <c r="AN204" s="162">
        <v>100</v>
      </c>
      <c r="AO204" s="74">
        <v>100</v>
      </c>
      <c r="AP204" s="68">
        <v>100</v>
      </c>
      <c r="AQ204" s="68"/>
      <c r="AR204" s="68">
        <f>AL204</f>
        <v>434</v>
      </c>
      <c r="AS204" s="21">
        <v>1</v>
      </c>
      <c r="AT204" s="1">
        <f t="shared" si="22"/>
        <v>434</v>
      </c>
      <c r="AU204" s="31"/>
      <c r="AV204" s="31"/>
      <c r="AW204" s="31"/>
      <c r="AX204" s="16">
        <f t="shared" si="25"/>
        <v>0.86799999999999999</v>
      </c>
      <c r="AY204" s="156">
        <v>434</v>
      </c>
      <c r="AZ204" s="76">
        <v>0</v>
      </c>
      <c r="BA204" s="31"/>
      <c r="BB204" s="31"/>
      <c r="BC204" s="31"/>
      <c r="BD204" s="16">
        <f t="shared" si="24"/>
        <v>0</v>
      </c>
      <c r="BE204" s="31"/>
      <c r="BF204" s="31"/>
      <c r="BG204" s="31"/>
      <c r="BH204" s="31"/>
      <c r="BI204" s="16"/>
      <c r="BJ204" s="16"/>
      <c r="BK204" s="31"/>
      <c r="BL204" s="31"/>
      <c r="BM204" s="31"/>
      <c r="BN204" s="31"/>
      <c r="BO204" s="16"/>
      <c r="BP204" s="31"/>
      <c r="BQ204" s="31"/>
      <c r="BR204" s="31"/>
      <c r="BS204" s="31"/>
      <c r="BT204" s="16"/>
      <c r="BU204" s="16"/>
      <c r="BV204" s="16"/>
      <c r="BW204" s="16"/>
      <c r="BX204" s="16"/>
      <c r="BY204" s="16"/>
      <c r="BZ204" s="16"/>
      <c r="CA204" s="1"/>
      <c r="CB204" s="1"/>
      <c r="CC204" s="1"/>
    </row>
    <row r="205" spans="1:81" s="52" customFormat="1" ht="109.15" customHeight="1" x14ac:dyDescent="0.25">
      <c r="A205" s="1">
        <v>1</v>
      </c>
      <c r="B205" s="13" t="s">
        <v>1746</v>
      </c>
      <c r="C205" s="588"/>
      <c r="D205" s="589"/>
      <c r="E205" s="10" t="s">
        <v>651</v>
      </c>
      <c r="F205" s="13" t="s">
        <v>652</v>
      </c>
      <c r="G205" s="588"/>
      <c r="H205" s="589"/>
      <c r="I205" s="10" t="s">
        <v>725</v>
      </c>
      <c r="J205" s="13" t="s">
        <v>726</v>
      </c>
      <c r="K205" s="572"/>
      <c r="L205" s="573"/>
      <c r="M205" s="23"/>
      <c r="N205" s="23" t="s">
        <v>727</v>
      </c>
      <c r="O205" s="13" t="s">
        <v>728</v>
      </c>
      <c r="P205" s="26">
        <v>0.24</v>
      </c>
      <c r="Q205" s="26">
        <v>0.56000000000000005</v>
      </c>
      <c r="R205" s="14"/>
      <c r="S205" s="13" t="s">
        <v>734</v>
      </c>
      <c r="T205" s="13" t="s">
        <v>735</v>
      </c>
      <c r="U205" s="1">
        <v>8160</v>
      </c>
      <c r="V205" s="1">
        <v>20800</v>
      </c>
      <c r="W205" s="1" t="s">
        <v>412</v>
      </c>
      <c r="X205" s="10" t="s">
        <v>731</v>
      </c>
      <c r="Y205" s="10" t="s">
        <v>659</v>
      </c>
      <c r="Z205" s="1" t="s">
        <v>613</v>
      </c>
      <c r="AA205" s="13" t="s">
        <v>660</v>
      </c>
      <c r="AB205" s="10" t="s">
        <v>682</v>
      </c>
      <c r="AC205" s="162">
        <v>5200</v>
      </c>
      <c r="AD205" s="156">
        <v>7000</v>
      </c>
      <c r="AE205" s="156"/>
      <c r="AF205" s="156"/>
      <c r="AG205" s="377">
        <f t="shared" si="23"/>
        <v>12200</v>
      </c>
      <c r="AH205" s="377" t="b">
        <f t="shared" si="28"/>
        <v>0</v>
      </c>
      <c r="AI205" s="68">
        <v>2100</v>
      </c>
      <c r="AJ205" s="68">
        <v>3181</v>
      </c>
      <c r="AK205" s="43">
        <v>3181</v>
      </c>
      <c r="AL205" s="340">
        <v>5721</v>
      </c>
      <c r="AM205" s="16">
        <f t="shared" si="29"/>
        <v>0.27504807692307692</v>
      </c>
      <c r="AN205" s="162">
        <v>5200</v>
      </c>
      <c r="AO205" s="74">
        <v>2100</v>
      </c>
      <c r="AP205" s="68">
        <v>3181</v>
      </c>
      <c r="AQ205" s="68"/>
      <c r="AR205" s="68">
        <f t="shared" ref="AR205:AR211" si="30">AL205</f>
        <v>5721</v>
      </c>
      <c r="AS205" s="21">
        <v>1</v>
      </c>
      <c r="AT205" s="1">
        <f t="shared" si="22"/>
        <v>5721</v>
      </c>
      <c r="AU205" s="31"/>
      <c r="AV205" s="31"/>
      <c r="AW205" s="31"/>
      <c r="AX205" s="16">
        <f t="shared" si="25"/>
        <v>0.27504807692307692</v>
      </c>
      <c r="AY205" s="156">
        <v>7000</v>
      </c>
      <c r="AZ205" s="76">
        <v>0</v>
      </c>
      <c r="BA205" s="31"/>
      <c r="BB205" s="31"/>
      <c r="BC205" s="31"/>
      <c r="BD205" s="16">
        <f t="shared" si="24"/>
        <v>0</v>
      </c>
      <c r="BE205" s="31"/>
      <c r="BF205" s="31"/>
      <c r="BG205" s="31"/>
      <c r="BH205" s="31"/>
      <c r="BI205" s="16"/>
      <c r="BJ205" s="16"/>
      <c r="BK205" s="31"/>
      <c r="BL205" s="31"/>
      <c r="BM205" s="31"/>
      <c r="BN205" s="31"/>
      <c r="BO205" s="16"/>
      <c r="BP205" s="31"/>
      <c r="BQ205" s="31"/>
      <c r="BR205" s="31"/>
      <c r="BS205" s="31"/>
      <c r="BT205" s="16"/>
      <c r="BU205" s="16"/>
      <c r="BV205" s="16"/>
      <c r="BW205" s="16"/>
      <c r="BX205" s="16"/>
      <c r="BY205" s="16"/>
      <c r="BZ205" s="16"/>
      <c r="CA205" s="1"/>
      <c r="CB205" s="1"/>
      <c r="CC205" s="1"/>
    </row>
    <row r="206" spans="1:81" s="52" customFormat="1" ht="78.75" x14ac:dyDescent="0.25">
      <c r="A206" s="1">
        <v>1</v>
      </c>
      <c r="B206" s="13" t="s">
        <v>1746</v>
      </c>
      <c r="C206" s="588"/>
      <c r="D206" s="589"/>
      <c r="E206" s="10" t="s">
        <v>651</v>
      </c>
      <c r="F206" s="13" t="s">
        <v>652</v>
      </c>
      <c r="G206" s="588"/>
      <c r="H206" s="589"/>
      <c r="I206" s="10" t="s">
        <v>725</v>
      </c>
      <c r="J206" s="13" t="s">
        <v>726</v>
      </c>
      <c r="K206" s="572"/>
      <c r="L206" s="573"/>
      <c r="M206" s="23"/>
      <c r="N206" s="23" t="s">
        <v>727</v>
      </c>
      <c r="O206" s="13" t="s">
        <v>728</v>
      </c>
      <c r="P206" s="26">
        <v>0.24</v>
      </c>
      <c r="Q206" s="26">
        <v>0.56000000000000005</v>
      </c>
      <c r="R206" s="14"/>
      <c r="S206" s="13" t="s">
        <v>736</v>
      </c>
      <c r="T206" s="13" t="s">
        <v>737</v>
      </c>
      <c r="U206" s="1">
        <v>2100</v>
      </c>
      <c r="V206" s="1">
        <v>3200</v>
      </c>
      <c r="W206" s="1" t="s">
        <v>412</v>
      </c>
      <c r="X206" s="10" t="s">
        <v>731</v>
      </c>
      <c r="Y206" s="10" t="s">
        <v>659</v>
      </c>
      <c r="Z206" s="1" t="s">
        <v>613</v>
      </c>
      <c r="AA206" s="13" t="s">
        <v>660</v>
      </c>
      <c r="AB206" s="10" t="s">
        <v>682</v>
      </c>
      <c r="AC206" s="162">
        <v>500</v>
      </c>
      <c r="AD206" s="156">
        <v>1500</v>
      </c>
      <c r="AE206" s="156"/>
      <c r="AF206" s="156"/>
      <c r="AG206" s="377">
        <f t="shared" si="23"/>
        <v>2000</v>
      </c>
      <c r="AH206" s="377" t="b">
        <f t="shared" si="28"/>
        <v>0</v>
      </c>
      <c r="AI206" s="68">
        <v>81</v>
      </c>
      <c r="AJ206" s="68">
        <v>81</v>
      </c>
      <c r="AK206" s="43">
        <v>85</v>
      </c>
      <c r="AL206" s="340">
        <v>1200</v>
      </c>
      <c r="AM206" s="16">
        <f t="shared" si="29"/>
        <v>0.375</v>
      </c>
      <c r="AN206" s="162">
        <v>500</v>
      </c>
      <c r="AO206" s="74">
        <v>81</v>
      </c>
      <c r="AP206" s="68">
        <v>81</v>
      </c>
      <c r="AQ206" s="68"/>
      <c r="AR206" s="68">
        <f t="shared" si="30"/>
        <v>1200</v>
      </c>
      <c r="AS206" s="21">
        <v>1</v>
      </c>
      <c r="AT206" s="1">
        <f t="shared" si="22"/>
        <v>1200</v>
      </c>
      <c r="AU206" s="31"/>
      <c r="AV206" s="31"/>
      <c r="AW206" s="31"/>
      <c r="AX206" s="16">
        <f t="shared" si="25"/>
        <v>0.375</v>
      </c>
      <c r="AY206" s="156">
        <v>1500</v>
      </c>
      <c r="AZ206" s="76">
        <v>0</v>
      </c>
      <c r="BA206" s="31"/>
      <c r="BB206" s="31"/>
      <c r="BC206" s="31"/>
      <c r="BD206" s="16">
        <f t="shared" si="24"/>
        <v>0</v>
      </c>
      <c r="BE206" s="31"/>
      <c r="BF206" s="31"/>
      <c r="BG206" s="31"/>
      <c r="BH206" s="31"/>
      <c r="BI206" s="16"/>
      <c r="BJ206" s="16"/>
      <c r="BK206" s="31"/>
      <c r="BL206" s="31"/>
      <c r="BM206" s="31"/>
      <c r="BN206" s="31"/>
      <c r="BO206" s="16"/>
      <c r="BP206" s="31"/>
      <c r="BQ206" s="31"/>
      <c r="BR206" s="31"/>
      <c r="BS206" s="31"/>
      <c r="BT206" s="16"/>
      <c r="BU206" s="16"/>
      <c r="BV206" s="16"/>
      <c r="BW206" s="16"/>
      <c r="BX206" s="16"/>
      <c r="BY206" s="16"/>
      <c r="BZ206" s="16"/>
      <c r="CA206" s="1"/>
      <c r="CB206" s="1"/>
      <c r="CC206" s="1"/>
    </row>
    <row r="207" spans="1:81" s="52" customFormat="1" ht="78.75" x14ac:dyDescent="0.25">
      <c r="A207" s="1">
        <v>1</v>
      </c>
      <c r="B207" s="13" t="s">
        <v>1746</v>
      </c>
      <c r="C207" s="588"/>
      <c r="D207" s="589"/>
      <c r="E207" s="10" t="s">
        <v>651</v>
      </c>
      <c r="F207" s="13" t="s">
        <v>652</v>
      </c>
      <c r="G207" s="588"/>
      <c r="H207" s="589"/>
      <c r="I207" s="10" t="s">
        <v>725</v>
      </c>
      <c r="J207" s="13" t="s">
        <v>726</v>
      </c>
      <c r="K207" s="572"/>
      <c r="L207" s="573"/>
      <c r="M207" s="23"/>
      <c r="N207" s="23" t="s">
        <v>727</v>
      </c>
      <c r="O207" s="13" t="s">
        <v>728</v>
      </c>
      <c r="P207" s="26">
        <v>0.24</v>
      </c>
      <c r="Q207" s="26">
        <v>0.56000000000000005</v>
      </c>
      <c r="R207" s="14"/>
      <c r="S207" s="13" t="s">
        <v>738</v>
      </c>
      <c r="T207" s="13" t="s">
        <v>739</v>
      </c>
      <c r="U207" s="1">
        <v>4</v>
      </c>
      <c r="V207" s="1">
        <v>8</v>
      </c>
      <c r="W207" s="1" t="s">
        <v>412</v>
      </c>
      <c r="X207" s="10" t="s">
        <v>731</v>
      </c>
      <c r="Y207" s="10" t="s">
        <v>659</v>
      </c>
      <c r="Z207" s="1" t="s">
        <v>613</v>
      </c>
      <c r="AA207" s="13" t="s">
        <v>660</v>
      </c>
      <c r="AB207" s="10" t="s">
        <v>682</v>
      </c>
      <c r="AC207" s="162">
        <v>1</v>
      </c>
      <c r="AD207" s="156">
        <v>7</v>
      </c>
      <c r="AE207" s="156"/>
      <c r="AF207" s="156"/>
      <c r="AG207" s="377">
        <f t="shared" ref="AG207:AG271" si="31">SUBTOTAL(9,AC207:AF207)</f>
        <v>8</v>
      </c>
      <c r="AH207" s="377" t="b">
        <f t="shared" si="28"/>
        <v>1</v>
      </c>
      <c r="AI207" s="68">
        <v>0</v>
      </c>
      <c r="AJ207" s="68">
        <v>0</v>
      </c>
      <c r="AK207" s="43">
        <v>0</v>
      </c>
      <c r="AL207" s="340">
        <v>4</v>
      </c>
      <c r="AM207" s="16">
        <f t="shared" si="29"/>
        <v>0.5</v>
      </c>
      <c r="AN207" s="162">
        <v>1</v>
      </c>
      <c r="AO207" s="74">
        <v>0</v>
      </c>
      <c r="AP207" s="68">
        <v>0</v>
      </c>
      <c r="AQ207" s="68"/>
      <c r="AR207" s="68"/>
      <c r="AS207" s="21">
        <f>IFERROR(+AR207/AN207,0)</f>
        <v>0</v>
      </c>
      <c r="AT207" s="1">
        <f t="shared" ref="AT207:AT270" si="32">IF(W207="Mantenimiento",(AL207+AZ207)/4*100%,AL207+AZ207)</f>
        <v>4</v>
      </c>
      <c r="AU207" s="31"/>
      <c r="AV207" s="31"/>
      <c r="AW207" s="31"/>
      <c r="AX207" s="16">
        <f t="shared" si="25"/>
        <v>0.5</v>
      </c>
      <c r="AY207" s="156">
        <v>7</v>
      </c>
      <c r="AZ207" s="76">
        <v>0</v>
      </c>
      <c r="BA207" s="31"/>
      <c r="BB207" s="31"/>
      <c r="BC207" s="31"/>
      <c r="BD207" s="16">
        <f t="shared" si="24"/>
        <v>0</v>
      </c>
      <c r="BE207" s="31"/>
      <c r="BF207" s="31"/>
      <c r="BG207" s="31"/>
      <c r="BH207" s="31"/>
      <c r="BI207" s="16"/>
      <c r="BJ207" s="16"/>
      <c r="BK207" s="31"/>
      <c r="BL207" s="31"/>
      <c r="BM207" s="31"/>
      <c r="BN207" s="31"/>
      <c r="BO207" s="16"/>
      <c r="BP207" s="31"/>
      <c r="BQ207" s="31"/>
      <c r="BR207" s="31"/>
      <c r="BS207" s="31"/>
      <c r="BT207" s="16"/>
      <c r="BU207" s="16"/>
      <c r="BV207" s="16"/>
      <c r="BW207" s="16"/>
      <c r="BX207" s="16"/>
      <c r="BY207" s="16"/>
      <c r="BZ207" s="16"/>
      <c r="CA207" s="1"/>
      <c r="CB207" s="1"/>
      <c r="CC207" s="1"/>
    </row>
    <row r="208" spans="1:81" s="52" customFormat="1" ht="78.75" x14ac:dyDescent="0.25">
      <c r="A208" s="1">
        <v>1</v>
      </c>
      <c r="B208" s="13" t="s">
        <v>1746</v>
      </c>
      <c r="C208" s="588"/>
      <c r="D208" s="589"/>
      <c r="E208" s="10" t="s">
        <v>651</v>
      </c>
      <c r="F208" s="13" t="s">
        <v>652</v>
      </c>
      <c r="G208" s="588"/>
      <c r="H208" s="589"/>
      <c r="I208" s="10" t="s">
        <v>725</v>
      </c>
      <c r="J208" s="13" t="s">
        <v>726</v>
      </c>
      <c r="K208" s="568"/>
      <c r="L208" s="570"/>
      <c r="M208" s="23"/>
      <c r="N208" s="23" t="s">
        <v>727</v>
      </c>
      <c r="O208" s="13" t="s">
        <v>728</v>
      </c>
      <c r="P208" s="26">
        <v>0.24</v>
      </c>
      <c r="Q208" s="26">
        <v>0.56000000000000005</v>
      </c>
      <c r="R208" s="14"/>
      <c r="S208" s="13" t="s">
        <v>740</v>
      </c>
      <c r="T208" s="13" t="s">
        <v>741</v>
      </c>
      <c r="U208" s="1">
        <v>4</v>
      </c>
      <c r="V208" s="1">
        <v>8</v>
      </c>
      <c r="W208" s="1" t="s">
        <v>412</v>
      </c>
      <c r="X208" s="10" t="s">
        <v>731</v>
      </c>
      <c r="Y208" s="10" t="s">
        <v>659</v>
      </c>
      <c r="Z208" s="1" t="s">
        <v>613</v>
      </c>
      <c r="AA208" s="13" t="s">
        <v>660</v>
      </c>
      <c r="AB208" s="10" t="s">
        <v>682</v>
      </c>
      <c r="AC208" s="162">
        <v>1</v>
      </c>
      <c r="AD208" s="156">
        <v>1</v>
      </c>
      <c r="AE208" s="156"/>
      <c r="AF208" s="156"/>
      <c r="AG208" s="377">
        <f t="shared" si="31"/>
        <v>2</v>
      </c>
      <c r="AH208" s="377" t="b">
        <f t="shared" si="28"/>
        <v>0</v>
      </c>
      <c r="AI208" s="68">
        <v>0</v>
      </c>
      <c r="AJ208" s="68">
        <v>0</v>
      </c>
      <c r="AK208" s="43">
        <v>0</v>
      </c>
      <c r="AL208" s="340">
        <v>1</v>
      </c>
      <c r="AM208" s="16">
        <f t="shared" si="29"/>
        <v>0.125</v>
      </c>
      <c r="AN208" s="162">
        <v>1</v>
      </c>
      <c r="AO208" s="74">
        <v>0</v>
      </c>
      <c r="AP208" s="68">
        <v>0</v>
      </c>
      <c r="AQ208" s="68"/>
      <c r="AR208" s="68"/>
      <c r="AS208" s="21">
        <f>IFERROR(+AR208/AN208,0)</f>
        <v>0</v>
      </c>
      <c r="AT208" s="1">
        <f t="shared" si="32"/>
        <v>1</v>
      </c>
      <c r="AU208" s="31"/>
      <c r="AV208" s="31"/>
      <c r="AW208" s="31"/>
      <c r="AX208" s="16">
        <f>IF(AT208/V208&gt;100%,100%,(AT208/V208))</f>
        <v>0.125</v>
      </c>
      <c r="AY208" s="156">
        <v>1</v>
      </c>
      <c r="AZ208" s="76">
        <v>0</v>
      </c>
      <c r="BA208" s="31"/>
      <c r="BB208" s="31"/>
      <c r="BC208" s="31"/>
      <c r="BD208" s="16">
        <f t="shared" ref="BD208:BD271" si="33">IFERROR(IF((+AZ208/AY208)&gt;100%,100%,(+AZ208/AY208)),"NP")</f>
        <v>0</v>
      </c>
      <c r="BE208" s="31"/>
      <c r="BF208" s="31"/>
      <c r="BG208" s="31"/>
      <c r="BH208" s="31"/>
      <c r="BI208" s="16"/>
      <c r="BJ208" s="16"/>
      <c r="BK208" s="31"/>
      <c r="BL208" s="31"/>
      <c r="BM208" s="31"/>
      <c r="BN208" s="31"/>
      <c r="BO208" s="16"/>
      <c r="BP208" s="31"/>
      <c r="BQ208" s="31"/>
      <c r="BR208" s="31"/>
      <c r="BS208" s="31"/>
      <c r="BT208" s="16"/>
      <c r="BU208" s="16"/>
      <c r="BV208" s="16"/>
      <c r="BW208" s="16"/>
      <c r="BX208" s="16"/>
      <c r="BY208" s="16"/>
      <c r="BZ208" s="16"/>
      <c r="CA208" s="1"/>
      <c r="CB208" s="1"/>
      <c r="CC208" s="1"/>
    </row>
    <row r="209" spans="1:81" s="52" customFormat="1" ht="93.6" customHeight="1" x14ac:dyDescent="0.25">
      <c r="A209" s="1">
        <v>1</v>
      </c>
      <c r="B209" s="13" t="s">
        <v>1746</v>
      </c>
      <c r="C209" s="588"/>
      <c r="D209" s="589"/>
      <c r="E209" s="10" t="s">
        <v>651</v>
      </c>
      <c r="F209" s="13" t="s">
        <v>652</v>
      </c>
      <c r="G209" s="588"/>
      <c r="H209" s="589"/>
      <c r="I209" s="10" t="s">
        <v>742</v>
      </c>
      <c r="J209" s="13" t="s">
        <v>743</v>
      </c>
      <c r="K209" s="567">
        <f>AVERAGE(AX209:AX214)</f>
        <v>0.26784234033352255</v>
      </c>
      <c r="L209" s="569">
        <f>AVERAGE(BD209:BD214)</f>
        <v>0.16666666666666666</v>
      </c>
      <c r="M209" s="23"/>
      <c r="N209" s="23" t="s">
        <v>744</v>
      </c>
      <c r="O209" s="13" t="s">
        <v>745</v>
      </c>
      <c r="P209" s="26">
        <v>0.22</v>
      </c>
      <c r="Q209" s="26">
        <v>0.44</v>
      </c>
      <c r="R209" s="14"/>
      <c r="S209" s="13" t="s">
        <v>746</v>
      </c>
      <c r="T209" s="13" t="s">
        <v>747</v>
      </c>
      <c r="U209" s="1">
        <v>160</v>
      </c>
      <c r="V209" s="1">
        <v>300</v>
      </c>
      <c r="W209" s="1" t="s">
        <v>412</v>
      </c>
      <c r="X209" s="10" t="s">
        <v>748</v>
      </c>
      <c r="Y209" s="10" t="s">
        <v>659</v>
      </c>
      <c r="Z209" s="1" t="s">
        <v>613</v>
      </c>
      <c r="AA209" s="13" t="s">
        <v>660</v>
      </c>
      <c r="AB209" s="10" t="s">
        <v>682</v>
      </c>
      <c r="AC209" s="162">
        <v>75</v>
      </c>
      <c r="AD209" s="156">
        <v>75</v>
      </c>
      <c r="AE209" s="156"/>
      <c r="AF209" s="156"/>
      <c r="AG209" s="377">
        <f t="shared" si="31"/>
        <v>150</v>
      </c>
      <c r="AH209" s="377" t="b">
        <f t="shared" si="28"/>
        <v>0</v>
      </c>
      <c r="AI209" s="68">
        <v>85</v>
      </c>
      <c r="AJ209" s="68">
        <v>85</v>
      </c>
      <c r="AK209" s="43">
        <v>86</v>
      </c>
      <c r="AL209" s="68">
        <v>86</v>
      </c>
      <c r="AM209" s="16">
        <f t="shared" si="29"/>
        <v>0.28666666666666668</v>
      </c>
      <c r="AN209" s="162">
        <v>75</v>
      </c>
      <c r="AO209" s="74">
        <v>85</v>
      </c>
      <c r="AP209" s="68">
        <v>75</v>
      </c>
      <c r="AQ209" s="68"/>
      <c r="AR209" s="68">
        <f t="shared" si="30"/>
        <v>86</v>
      </c>
      <c r="AS209" s="21">
        <v>1</v>
      </c>
      <c r="AT209" s="1">
        <f t="shared" si="32"/>
        <v>86</v>
      </c>
      <c r="AU209" s="31"/>
      <c r="AV209" s="31"/>
      <c r="AW209" s="31"/>
      <c r="AX209" s="16">
        <f>IF(AT209/V209&gt;100%,100%,(AT209/V209))</f>
        <v>0.28666666666666668</v>
      </c>
      <c r="AY209" s="156">
        <v>75</v>
      </c>
      <c r="AZ209" s="76">
        <v>0</v>
      </c>
      <c r="BA209" s="31"/>
      <c r="BB209" s="31"/>
      <c r="BC209" s="31"/>
      <c r="BD209" s="16">
        <f t="shared" si="33"/>
        <v>0</v>
      </c>
      <c r="BE209" s="31"/>
      <c r="BF209" s="31"/>
      <c r="BG209" s="31"/>
      <c r="BH209" s="31"/>
      <c r="BI209" s="16"/>
      <c r="BJ209" s="16"/>
      <c r="BK209" s="31"/>
      <c r="BL209" s="31"/>
      <c r="BM209" s="31"/>
      <c r="BN209" s="31"/>
      <c r="BO209" s="16"/>
      <c r="BP209" s="31"/>
      <c r="BQ209" s="31"/>
      <c r="BR209" s="31"/>
      <c r="BS209" s="31"/>
      <c r="BT209" s="16"/>
      <c r="BU209" s="16"/>
      <c r="BV209" s="16"/>
      <c r="BW209" s="16"/>
      <c r="BX209" s="16"/>
      <c r="BY209" s="16"/>
      <c r="BZ209" s="16"/>
      <c r="CA209" s="1"/>
      <c r="CB209" s="1"/>
      <c r="CC209" s="1"/>
    </row>
    <row r="210" spans="1:81" s="52" customFormat="1" ht="93.6" customHeight="1" x14ac:dyDescent="0.25">
      <c r="A210" s="1">
        <v>1</v>
      </c>
      <c r="B210" s="13" t="s">
        <v>1746</v>
      </c>
      <c r="C210" s="588"/>
      <c r="D210" s="589"/>
      <c r="E210" s="10" t="s">
        <v>651</v>
      </c>
      <c r="F210" s="13" t="s">
        <v>652</v>
      </c>
      <c r="G210" s="588"/>
      <c r="H210" s="589"/>
      <c r="I210" s="10" t="s">
        <v>742</v>
      </c>
      <c r="J210" s="13" t="s">
        <v>743</v>
      </c>
      <c r="K210" s="572"/>
      <c r="L210" s="573"/>
      <c r="M210" s="23"/>
      <c r="N210" s="23" t="s">
        <v>744</v>
      </c>
      <c r="O210" s="13" t="s">
        <v>745</v>
      </c>
      <c r="P210" s="26">
        <v>0.22</v>
      </c>
      <c r="Q210" s="26">
        <v>0.44</v>
      </c>
      <c r="R210" s="14"/>
      <c r="S210" s="13" t="s">
        <v>749</v>
      </c>
      <c r="T210" s="13" t="s">
        <v>750</v>
      </c>
      <c r="U210" s="1">
        <v>144</v>
      </c>
      <c r="V210" s="1">
        <v>120</v>
      </c>
      <c r="W210" s="1" t="s">
        <v>633</v>
      </c>
      <c r="X210" s="10" t="s">
        <v>748</v>
      </c>
      <c r="Y210" s="10" t="s">
        <v>659</v>
      </c>
      <c r="Z210" s="1" t="s">
        <v>613</v>
      </c>
      <c r="AA210" s="13" t="s">
        <v>660</v>
      </c>
      <c r="AB210" s="10" t="s">
        <v>682</v>
      </c>
      <c r="AC210" s="162">
        <v>5</v>
      </c>
      <c r="AD210" s="156">
        <v>35</v>
      </c>
      <c r="AE210" s="156"/>
      <c r="AF210" s="156"/>
      <c r="AG210" s="377">
        <f t="shared" si="31"/>
        <v>40</v>
      </c>
      <c r="AH210" s="377" t="b">
        <f t="shared" si="28"/>
        <v>0</v>
      </c>
      <c r="AI210" s="68">
        <v>2</v>
      </c>
      <c r="AJ210" s="68">
        <v>2</v>
      </c>
      <c r="AK210" s="43">
        <v>2</v>
      </c>
      <c r="AL210" s="340">
        <v>36</v>
      </c>
      <c r="AM210" s="16">
        <f t="shared" si="29"/>
        <v>0.3</v>
      </c>
      <c r="AN210" s="162">
        <v>5</v>
      </c>
      <c r="AO210" s="74">
        <v>2</v>
      </c>
      <c r="AP210" s="68">
        <v>2</v>
      </c>
      <c r="AQ210" s="68"/>
      <c r="AR210" s="68">
        <f t="shared" si="30"/>
        <v>36</v>
      </c>
      <c r="AS210" s="21">
        <v>1</v>
      </c>
      <c r="AT210" s="1">
        <f t="shared" si="32"/>
        <v>36</v>
      </c>
      <c r="AU210" s="31"/>
      <c r="AV210" s="31"/>
      <c r="AW210" s="31"/>
      <c r="AX210" s="16">
        <f t="shared" ref="AX210:AX249" si="34">IF(AT210/V210&gt;100%,100%,(AT210/V210))</f>
        <v>0.3</v>
      </c>
      <c r="AY210" s="156">
        <v>35</v>
      </c>
      <c r="AZ210" s="76">
        <v>0</v>
      </c>
      <c r="BA210" s="31"/>
      <c r="BB210" s="31"/>
      <c r="BC210" s="31"/>
      <c r="BD210" s="16">
        <f t="shared" si="33"/>
        <v>0</v>
      </c>
      <c r="BE210" s="31"/>
      <c r="BF210" s="31"/>
      <c r="BG210" s="31"/>
      <c r="BH210" s="31"/>
      <c r="BI210" s="16"/>
      <c r="BJ210" s="16"/>
      <c r="BK210" s="31"/>
      <c r="BL210" s="31"/>
      <c r="BM210" s="31"/>
      <c r="BN210" s="31"/>
      <c r="BO210" s="16"/>
      <c r="BP210" s="31"/>
      <c r="BQ210" s="31"/>
      <c r="BR210" s="31"/>
      <c r="BS210" s="31"/>
      <c r="BT210" s="16"/>
      <c r="BU210" s="16"/>
      <c r="BV210" s="16"/>
      <c r="BW210" s="16"/>
      <c r="BX210" s="16"/>
      <c r="BY210" s="16"/>
      <c r="BZ210" s="16"/>
      <c r="CA210" s="1"/>
      <c r="CB210" s="1"/>
      <c r="CC210" s="1"/>
    </row>
    <row r="211" spans="1:81" s="52" customFormat="1" ht="110.25" x14ac:dyDescent="0.25">
      <c r="A211" s="1">
        <v>1</v>
      </c>
      <c r="B211" s="13" t="s">
        <v>1746</v>
      </c>
      <c r="C211" s="588"/>
      <c r="D211" s="589"/>
      <c r="E211" s="10" t="s">
        <v>651</v>
      </c>
      <c r="F211" s="13" t="s">
        <v>652</v>
      </c>
      <c r="G211" s="588"/>
      <c r="H211" s="589"/>
      <c r="I211" s="10" t="s">
        <v>742</v>
      </c>
      <c r="J211" s="13" t="s">
        <v>743</v>
      </c>
      <c r="K211" s="572"/>
      <c r="L211" s="573"/>
      <c r="M211" s="23"/>
      <c r="N211" s="23" t="s">
        <v>744</v>
      </c>
      <c r="O211" s="13" t="s">
        <v>745</v>
      </c>
      <c r="P211" s="26">
        <v>0.22</v>
      </c>
      <c r="Q211" s="26">
        <v>0.44</v>
      </c>
      <c r="R211" s="14"/>
      <c r="S211" s="13" t="s">
        <v>751</v>
      </c>
      <c r="T211" s="13" t="s">
        <v>752</v>
      </c>
      <c r="U211" s="1">
        <v>4</v>
      </c>
      <c r="V211" s="1">
        <v>4</v>
      </c>
      <c r="W211" s="1" t="s">
        <v>420</v>
      </c>
      <c r="X211" s="10" t="s">
        <v>748</v>
      </c>
      <c r="Y211" s="10" t="s">
        <v>659</v>
      </c>
      <c r="Z211" s="1" t="s">
        <v>613</v>
      </c>
      <c r="AA211" s="13" t="s">
        <v>660</v>
      </c>
      <c r="AB211" s="10" t="s">
        <v>682</v>
      </c>
      <c r="AC211" s="162">
        <v>1</v>
      </c>
      <c r="AD211" s="156">
        <v>1</v>
      </c>
      <c r="AE211" s="156"/>
      <c r="AF211" s="156"/>
      <c r="AG211" s="377">
        <f t="shared" si="31"/>
        <v>2</v>
      </c>
      <c r="AH211" s="377" t="b">
        <f t="shared" si="28"/>
        <v>0</v>
      </c>
      <c r="AI211" s="68">
        <v>0</v>
      </c>
      <c r="AJ211" s="68">
        <v>0</v>
      </c>
      <c r="AK211" s="43">
        <v>1</v>
      </c>
      <c r="AL211" s="68">
        <v>1</v>
      </c>
      <c r="AM211" s="16">
        <f t="shared" si="29"/>
        <v>0.25</v>
      </c>
      <c r="AN211" s="162">
        <v>1</v>
      </c>
      <c r="AO211" s="74">
        <v>0</v>
      </c>
      <c r="AP211" s="68">
        <v>0</v>
      </c>
      <c r="AQ211" s="68"/>
      <c r="AR211" s="68">
        <f t="shared" si="30"/>
        <v>1</v>
      </c>
      <c r="AS211" s="21">
        <f>IFERROR(+AR211/AN211,0)</f>
        <v>1</v>
      </c>
      <c r="AT211" s="1">
        <f t="shared" si="32"/>
        <v>0.5</v>
      </c>
      <c r="AU211" s="31"/>
      <c r="AV211" s="31"/>
      <c r="AW211" s="31"/>
      <c r="AX211" s="16">
        <f t="shared" si="34"/>
        <v>0.125</v>
      </c>
      <c r="AY211" s="156">
        <v>1</v>
      </c>
      <c r="AZ211" s="76">
        <v>1</v>
      </c>
      <c r="BA211" s="31"/>
      <c r="BB211" s="31"/>
      <c r="BC211" s="31"/>
      <c r="BD211" s="16">
        <f t="shared" si="33"/>
        <v>1</v>
      </c>
      <c r="BE211" s="31"/>
      <c r="BF211" s="31"/>
      <c r="BG211" s="31"/>
      <c r="BH211" s="31"/>
      <c r="BI211" s="16"/>
      <c r="BJ211" s="16"/>
      <c r="BK211" s="31"/>
      <c r="BL211" s="31"/>
      <c r="BM211" s="31"/>
      <c r="BN211" s="31"/>
      <c r="BO211" s="16"/>
      <c r="BP211" s="31"/>
      <c r="BQ211" s="31"/>
      <c r="BR211" s="31"/>
      <c r="BS211" s="31"/>
      <c r="BT211" s="16"/>
      <c r="BU211" s="16"/>
      <c r="BV211" s="16"/>
      <c r="BW211" s="16"/>
      <c r="BX211" s="16"/>
      <c r="BY211" s="16"/>
      <c r="BZ211" s="16"/>
      <c r="CA211" s="1"/>
      <c r="CB211" s="1"/>
      <c r="CC211" s="1"/>
    </row>
    <row r="212" spans="1:81" s="52" customFormat="1" ht="110.25" x14ac:dyDescent="0.25">
      <c r="A212" s="1">
        <v>1</v>
      </c>
      <c r="B212" s="13" t="s">
        <v>1746</v>
      </c>
      <c r="C212" s="588"/>
      <c r="D212" s="589"/>
      <c r="E212" s="10" t="s">
        <v>651</v>
      </c>
      <c r="F212" s="13" t="s">
        <v>652</v>
      </c>
      <c r="G212" s="588"/>
      <c r="H212" s="589"/>
      <c r="I212" s="10" t="s">
        <v>742</v>
      </c>
      <c r="J212" s="13" t="s">
        <v>743</v>
      </c>
      <c r="K212" s="572"/>
      <c r="L212" s="573"/>
      <c r="M212" s="23"/>
      <c r="N212" s="23" t="s">
        <v>744</v>
      </c>
      <c r="O212" s="13" t="s">
        <v>745</v>
      </c>
      <c r="P212" s="26">
        <v>0.22</v>
      </c>
      <c r="Q212" s="26">
        <v>0.44</v>
      </c>
      <c r="R212" s="14"/>
      <c r="S212" s="13" t="s">
        <v>753</v>
      </c>
      <c r="T212" s="13" t="s">
        <v>754</v>
      </c>
      <c r="U212" s="1">
        <v>8</v>
      </c>
      <c r="V212" s="1">
        <v>8</v>
      </c>
      <c r="W212" s="1" t="s">
        <v>420</v>
      </c>
      <c r="X212" s="10" t="s">
        <v>748</v>
      </c>
      <c r="Y212" s="10" t="s">
        <v>659</v>
      </c>
      <c r="Z212" s="1" t="s">
        <v>613</v>
      </c>
      <c r="AA212" s="13" t="s">
        <v>660</v>
      </c>
      <c r="AB212" s="10" t="s">
        <v>682</v>
      </c>
      <c r="AC212" s="162"/>
      <c r="AD212" s="156">
        <v>2</v>
      </c>
      <c r="AE212" s="156"/>
      <c r="AF212" s="156"/>
      <c r="AG212" s="377">
        <f t="shared" si="31"/>
        <v>2</v>
      </c>
      <c r="AH212" s="377" t="b">
        <f t="shared" si="28"/>
        <v>0</v>
      </c>
      <c r="AI212" s="68"/>
      <c r="AJ212" s="68"/>
      <c r="AK212" s="43">
        <v>0</v>
      </c>
      <c r="AL212" s="68">
        <v>0</v>
      </c>
      <c r="AM212" s="16">
        <f t="shared" si="29"/>
        <v>0</v>
      </c>
      <c r="AN212" s="162"/>
      <c r="AO212" s="74"/>
      <c r="AP212" s="68"/>
      <c r="AQ212" s="68"/>
      <c r="AR212" s="68"/>
      <c r="AS212" s="21" t="s">
        <v>310</v>
      </c>
      <c r="AT212" s="1">
        <f t="shared" si="32"/>
        <v>0</v>
      </c>
      <c r="AU212" s="31"/>
      <c r="AV212" s="31"/>
      <c r="AW212" s="31"/>
      <c r="AX212" s="16">
        <f t="shared" si="34"/>
        <v>0</v>
      </c>
      <c r="AY212" s="156">
        <v>2</v>
      </c>
      <c r="AZ212" s="76">
        <v>0</v>
      </c>
      <c r="BA212" s="31"/>
      <c r="BB212" s="31"/>
      <c r="BC212" s="31"/>
      <c r="BD212" s="16">
        <f t="shared" si="33"/>
        <v>0</v>
      </c>
      <c r="BE212" s="31"/>
      <c r="BF212" s="31"/>
      <c r="BG212" s="31"/>
      <c r="BH212" s="31"/>
      <c r="BI212" s="16"/>
      <c r="BJ212" s="16"/>
      <c r="BK212" s="31"/>
      <c r="BL212" s="31"/>
      <c r="BM212" s="31"/>
      <c r="BN212" s="31"/>
      <c r="BO212" s="16"/>
      <c r="BP212" s="31"/>
      <c r="BQ212" s="31"/>
      <c r="BR212" s="31"/>
      <c r="BS212" s="31"/>
      <c r="BT212" s="16"/>
      <c r="BU212" s="16"/>
      <c r="BV212" s="16"/>
      <c r="BW212" s="16"/>
      <c r="BX212" s="16"/>
      <c r="BY212" s="16"/>
      <c r="BZ212" s="16"/>
      <c r="CA212" s="1"/>
      <c r="CB212" s="1"/>
      <c r="CC212" s="1"/>
    </row>
    <row r="213" spans="1:81" s="52" customFormat="1" ht="63" x14ac:dyDescent="0.25">
      <c r="A213" s="1">
        <v>1</v>
      </c>
      <c r="B213" s="13" t="s">
        <v>1746</v>
      </c>
      <c r="C213" s="588"/>
      <c r="D213" s="589"/>
      <c r="E213" s="10" t="s">
        <v>651</v>
      </c>
      <c r="F213" s="13" t="s">
        <v>652</v>
      </c>
      <c r="G213" s="588"/>
      <c r="H213" s="589"/>
      <c r="I213" s="10" t="s">
        <v>742</v>
      </c>
      <c r="J213" s="13" t="s">
        <v>743</v>
      </c>
      <c r="K213" s="572"/>
      <c r="L213" s="573"/>
      <c r="M213" s="23"/>
      <c r="N213" s="23" t="s">
        <v>744</v>
      </c>
      <c r="O213" s="13" t="s">
        <v>745</v>
      </c>
      <c r="P213" s="26">
        <v>0.22</v>
      </c>
      <c r="Q213" s="26">
        <v>0.44</v>
      </c>
      <c r="R213" s="14"/>
      <c r="S213" s="13" t="s">
        <v>755</v>
      </c>
      <c r="T213" s="13" t="s">
        <v>756</v>
      </c>
      <c r="U213" s="1">
        <v>8</v>
      </c>
      <c r="V213" s="1">
        <v>8</v>
      </c>
      <c r="W213" s="1" t="s">
        <v>420</v>
      </c>
      <c r="X213" s="10"/>
      <c r="Y213" s="10" t="s">
        <v>659</v>
      </c>
      <c r="Z213" s="1" t="s">
        <v>613</v>
      </c>
      <c r="AA213" s="13" t="s">
        <v>660</v>
      </c>
      <c r="AB213" s="10" t="s">
        <v>682</v>
      </c>
      <c r="AC213" s="162">
        <v>1</v>
      </c>
      <c r="AD213" s="156">
        <v>2</v>
      </c>
      <c r="AE213" s="156"/>
      <c r="AF213" s="156"/>
      <c r="AG213" s="377">
        <f t="shared" si="31"/>
        <v>3</v>
      </c>
      <c r="AH213" s="377" t="b">
        <f t="shared" si="28"/>
        <v>0</v>
      </c>
      <c r="AI213" s="68">
        <v>0</v>
      </c>
      <c r="AJ213" s="68">
        <v>0</v>
      </c>
      <c r="AK213" s="43">
        <v>0</v>
      </c>
      <c r="AL213" s="340">
        <v>2</v>
      </c>
      <c r="AM213" s="16">
        <f t="shared" si="29"/>
        <v>0.25</v>
      </c>
      <c r="AN213" s="162">
        <v>1</v>
      </c>
      <c r="AO213" s="74">
        <v>0</v>
      </c>
      <c r="AP213" s="68">
        <v>0</v>
      </c>
      <c r="AQ213" s="68"/>
      <c r="AR213" s="68"/>
      <c r="AS213" s="21">
        <f>IFERROR(+AR213/AN213,0)</f>
        <v>0</v>
      </c>
      <c r="AT213" s="1">
        <f t="shared" si="32"/>
        <v>0.5</v>
      </c>
      <c r="AU213" s="31"/>
      <c r="AV213" s="31"/>
      <c r="AW213" s="31"/>
      <c r="AX213" s="16">
        <f t="shared" si="34"/>
        <v>6.25E-2</v>
      </c>
      <c r="AY213" s="156">
        <v>2</v>
      </c>
      <c r="AZ213" s="76">
        <v>0</v>
      </c>
      <c r="BA213" s="31"/>
      <c r="BB213" s="31"/>
      <c r="BC213" s="31"/>
      <c r="BD213" s="16">
        <f t="shared" si="33"/>
        <v>0</v>
      </c>
      <c r="BE213" s="31"/>
      <c r="BF213" s="31"/>
      <c r="BG213" s="31"/>
      <c r="BH213" s="31"/>
      <c r="BI213" s="16"/>
      <c r="BJ213" s="16"/>
      <c r="BK213" s="31"/>
      <c r="BL213" s="31"/>
      <c r="BM213" s="31"/>
      <c r="BN213" s="31"/>
      <c r="BO213" s="16"/>
      <c r="BP213" s="31"/>
      <c r="BQ213" s="31"/>
      <c r="BR213" s="31"/>
      <c r="BS213" s="31"/>
      <c r="BT213" s="16"/>
      <c r="BU213" s="16"/>
      <c r="BV213" s="16"/>
      <c r="BW213" s="16"/>
      <c r="BX213" s="16"/>
      <c r="BY213" s="16"/>
      <c r="BZ213" s="16"/>
      <c r="CA213" s="1"/>
      <c r="CB213" s="1"/>
      <c r="CC213" s="1"/>
    </row>
    <row r="214" spans="1:81" s="52" customFormat="1" ht="156" customHeight="1" x14ac:dyDescent="0.25">
      <c r="A214" s="1">
        <v>1</v>
      </c>
      <c r="B214" s="13" t="s">
        <v>1746</v>
      </c>
      <c r="C214" s="588"/>
      <c r="D214" s="589"/>
      <c r="E214" s="10" t="s">
        <v>651</v>
      </c>
      <c r="F214" s="13" t="s">
        <v>652</v>
      </c>
      <c r="G214" s="588"/>
      <c r="H214" s="589"/>
      <c r="I214" s="10" t="s">
        <v>742</v>
      </c>
      <c r="J214" s="13" t="s">
        <v>743</v>
      </c>
      <c r="K214" s="568"/>
      <c r="L214" s="570"/>
      <c r="M214" s="23"/>
      <c r="N214" s="23" t="s">
        <v>744</v>
      </c>
      <c r="O214" s="13" t="s">
        <v>745</v>
      </c>
      <c r="P214" s="26">
        <v>0.22</v>
      </c>
      <c r="Q214" s="26">
        <v>0.44</v>
      </c>
      <c r="R214" s="14"/>
      <c r="S214" s="13" t="s">
        <v>757</v>
      </c>
      <c r="T214" s="13" t="s">
        <v>758</v>
      </c>
      <c r="U214" s="1">
        <v>6660</v>
      </c>
      <c r="V214" s="1">
        <v>16444</v>
      </c>
      <c r="W214" s="1" t="s">
        <v>412</v>
      </c>
      <c r="X214" s="10" t="s">
        <v>748</v>
      </c>
      <c r="Y214" s="10" t="s">
        <v>659</v>
      </c>
      <c r="Z214" s="1" t="s">
        <v>613</v>
      </c>
      <c r="AA214" s="13" t="s">
        <v>660</v>
      </c>
      <c r="AB214" s="10" t="s">
        <v>682</v>
      </c>
      <c r="AC214" s="162">
        <v>16444</v>
      </c>
      <c r="AD214" s="156">
        <v>16444</v>
      </c>
      <c r="AE214" s="156"/>
      <c r="AF214" s="156"/>
      <c r="AG214" s="377">
        <f t="shared" si="31"/>
        <v>32888</v>
      </c>
      <c r="AH214" s="377" t="b">
        <f t="shared" si="28"/>
        <v>0</v>
      </c>
      <c r="AI214" s="76">
        <v>7500</v>
      </c>
      <c r="AJ214" s="76">
        <v>7500</v>
      </c>
      <c r="AK214" s="1">
        <v>13696</v>
      </c>
      <c r="AL214" s="76">
        <v>13696</v>
      </c>
      <c r="AM214" s="16">
        <f t="shared" si="29"/>
        <v>0.83288737533446855</v>
      </c>
      <c r="AN214" s="162">
        <v>16444</v>
      </c>
      <c r="AO214" s="75">
        <v>7500</v>
      </c>
      <c r="AP214" s="76">
        <v>7500</v>
      </c>
      <c r="AQ214" s="76"/>
      <c r="AR214" s="68">
        <f>AL214</f>
        <v>13696</v>
      </c>
      <c r="AS214" s="21">
        <f>IFERROR(+AR214/AN214,0)</f>
        <v>0.83288737533446855</v>
      </c>
      <c r="AT214" s="1">
        <f t="shared" si="32"/>
        <v>13696</v>
      </c>
      <c r="AU214" s="31"/>
      <c r="AV214" s="31"/>
      <c r="AW214" s="31"/>
      <c r="AX214" s="16">
        <f t="shared" si="34"/>
        <v>0.83288737533446855</v>
      </c>
      <c r="AY214" s="156">
        <v>16444</v>
      </c>
      <c r="AZ214" s="76">
        <v>0</v>
      </c>
      <c r="BA214" s="31"/>
      <c r="BB214" s="31"/>
      <c r="BC214" s="31"/>
      <c r="BD214" s="16">
        <f t="shared" si="33"/>
        <v>0</v>
      </c>
      <c r="BE214" s="31"/>
      <c r="BF214" s="31"/>
      <c r="BG214" s="31"/>
      <c r="BH214" s="31"/>
      <c r="BI214" s="16"/>
      <c r="BJ214" s="16"/>
      <c r="BK214" s="31"/>
      <c r="BL214" s="31"/>
      <c r="BM214" s="31"/>
      <c r="BN214" s="31"/>
      <c r="BO214" s="16"/>
      <c r="BP214" s="31"/>
      <c r="BQ214" s="31"/>
      <c r="BR214" s="31"/>
      <c r="BS214" s="31"/>
      <c r="BT214" s="16"/>
      <c r="BU214" s="16"/>
      <c r="BV214" s="16"/>
      <c r="BW214" s="16"/>
      <c r="BX214" s="16"/>
      <c r="BY214" s="16"/>
      <c r="BZ214" s="16"/>
      <c r="CA214" s="1"/>
      <c r="CB214" s="1"/>
      <c r="CC214" s="1"/>
    </row>
    <row r="215" spans="1:81" s="52" customFormat="1" ht="94.5" customHeight="1" x14ac:dyDescent="0.25">
      <c r="A215" s="1">
        <v>1</v>
      </c>
      <c r="B215" s="13" t="s">
        <v>1746</v>
      </c>
      <c r="C215" s="588"/>
      <c r="D215" s="589"/>
      <c r="E215" s="10" t="s">
        <v>759</v>
      </c>
      <c r="F215" s="13" t="s">
        <v>760</v>
      </c>
      <c r="G215" s="588">
        <f>+AVERAGEIF(F14:F567,F215,AX14:AX567)</f>
        <v>0.41237778448738593</v>
      </c>
      <c r="H215" s="589">
        <f>+AVERAGEIF(F14:F567,F215,BD14:BD567)</f>
        <v>0.53</v>
      </c>
      <c r="I215" s="10" t="s">
        <v>761</v>
      </c>
      <c r="J215" s="13" t="s">
        <v>762</v>
      </c>
      <c r="K215" s="567">
        <f>AVERAGE(AX215:AX220)</f>
        <v>0.24822916666666664</v>
      </c>
      <c r="L215" s="569">
        <f>AVERAGE(BD215:BD220)</f>
        <v>0.41</v>
      </c>
      <c r="M215" s="23"/>
      <c r="N215" s="10" t="s">
        <v>763</v>
      </c>
      <c r="O215" s="13" t="s">
        <v>764</v>
      </c>
      <c r="P215" s="1">
        <v>46</v>
      </c>
      <c r="Q215" s="1">
        <v>46</v>
      </c>
      <c r="R215" s="1"/>
      <c r="S215" s="13" t="s">
        <v>765</v>
      </c>
      <c r="T215" s="13" t="s">
        <v>766</v>
      </c>
      <c r="U215" s="1">
        <v>46</v>
      </c>
      <c r="V215" s="18">
        <v>0.8</v>
      </c>
      <c r="W215" s="10" t="s">
        <v>78</v>
      </c>
      <c r="X215" s="1"/>
      <c r="Y215" s="1" t="s">
        <v>767</v>
      </c>
      <c r="Z215" s="1" t="s">
        <v>625</v>
      </c>
      <c r="AA215" s="24">
        <v>11</v>
      </c>
      <c r="AB215" s="10" t="s">
        <v>768</v>
      </c>
      <c r="AC215" s="162">
        <v>4</v>
      </c>
      <c r="AD215" s="156">
        <v>10</v>
      </c>
      <c r="AE215" s="156">
        <v>16</v>
      </c>
      <c r="AF215" s="156">
        <v>16</v>
      </c>
      <c r="AG215" s="377">
        <f t="shared" si="31"/>
        <v>46</v>
      </c>
      <c r="AH215" s="377" t="b">
        <f t="shared" si="28"/>
        <v>0</v>
      </c>
      <c r="AI215" s="70">
        <f>+AO215/U215</f>
        <v>0.2391304347826087</v>
      </c>
      <c r="AJ215" s="70">
        <v>0.24</v>
      </c>
      <c r="AK215" s="366">
        <v>0.35</v>
      </c>
      <c r="AL215" s="70">
        <v>0.35</v>
      </c>
      <c r="AM215" s="16">
        <f t="shared" si="29"/>
        <v>0.43749999999999994</v>
      </c>
      <c r="AN215" s="162">
        <v>4</v>
      </c>
      <c r="AO215" s="74">
        <v>11</v>
      </c>
      <c r="AP215" s="180">
        <v>4</v>
      </c>
      <c r="AQ215" s="180"/>
      <c r="AR215" s="190">
        <f>AL215</f>
        <v>0.35</v>
      </c>
      <c r="AS215" s="21">
        <f>IFERROR(+AR215/AN215,0)</f>
        <v>8.7499999999999994E-2</v>
      </c>
      <c r="AT215" s="1">
        <f t="shared" si="32"/>
        <v>8.7499999999999994E-2</v>
      </c>
      <c r="AU215" s="31"/>
      <c r="AV215" s="31"/>
      <c r="AW215" s="31"/>
      <c r="AX215" s="16">
        <f t="shared" si="34"/>
        <v>0.10937499999999999</v>
      </c>
      <c r="AY215" s="156">
        <v>10</v>
      </c>
      <c r="AZ215" s="76"/>
      <c r="BA215" s="31"/>
      <c r="BB215" s="31"/>
      <c r="BC215" s="31"/>
      <c r="BD215" s="16">
        <f t="shared" si="33"/>
        <v>0</v>
      </c>
      <c r="BE215" s="31"/>
      <c r="BF215" s="31"/>
      <c r="BG215" s="31"/>
      <c r="BH215" s="31"/>
      <c r="BI215" s="16"/>
      <c r="BJ215" s="16"/>
      <c r="BK215" s="31"/>
      <c r="BL215" s="31"/>
      <c r="BM215" s="31"/>
      <c r="BN215" s="31"/>
      <c r="BO215" s="16"/>
      <c r="BP215" s="31"/>
      <c r="BQ215" s="31"/>
      <c r="BR215" s="31"/>
      <c r="BS215" s="31"/>
      <c r="BT215" s="16"/>
      <c r="BU215" s="16"/>
      <c r="BV215" s="16"/>
      <c r="BW215" s="16"/>
      <c r="BX215" s="16"/>
      <c r="BY215" s="16"/>
      <c r="BZ215" s="16"/>
      <c r="CA215" s="1"/>
      <c r="CB215" s="1"/>
      <c r="CC215" s="1"/>
    </row>
    <row r="216" spans="1:81" s="52" customFormat="1" ht="63" x14ac:dyDescent="0.25">
      <c r="A216" s="1">
        <v>1</v>
      </c>
      <c r="B216" s="13" t="s">
        <v>1746</v>
      </c>
      <c r="C216" s="588"/>
      <c r="D216" s="589"/>
      <c r="E216" s="10" t="s">
        <v>759</v>
      </c>
      <c r="F216" s="13" t="s">
        <v>760</v>
      </c>
      <c r="G216" s="588"/>
      <c r="H216" s="589"/>
      <c r="I216" s="10" t="s">
        <v>761</v>
      </c>
      <c r="J216" s="13" t="s">
        <v>762</v>
      </c>
      <c r="K216" s="572"/>
      <c r="L216" s="573"/>
      <c r="M216" s="23"/>
      <c r="N216" s="10" t="s">
        <v>769</v>
      </c>
      <c r="O216" s="13" t="s">
        <v>770</v>
      </c>
      <c r="P216" s="1">
        <v>0</v>
      </c>
      <c r="Q216" s="1">
        <v>1</v>
      </c>
      <c r="R216" s="1"/>
      <c r="S216" s="13" t="s">
        <v>771</v>
      </c>
      <c r="T216" s="13" t="s">
        <v>772</v>
      </c>
      <c r="U216" s="1">
        <v>0</v>
      </c>
      <c r="V216" s="10">
        <v>1</v>
      </c>
      <c r="W216" s="1" t="s">
        <v>49</v>
      </c>
      <c r="X216" s="1"/>
      <c r="Y216" s="1" t="s">
        <v>767</v>
      </c>
      <c r="Z216" s="10" t="s">
        <v>625</v>
      </c>
      <c r="AA216" s="24">
        <v>11</v>
      </c>
      <c r="AB216" s="10" t="s">
        <v>768</v>
      </c>
      <c r="AC216" s="162"/>
      <c r="AD216" s="156">
        <v>1</v>
      </c>
      <c r="AE216" s="156"/>
      <c r="AF216" s="156"/>
      <c r="AG216" s="377">
        <f t="shared" si="31"/>
        <v>1</v>
      </c>
      <c r="AH216" s="377" t="b">
        <f t="shared" si="28"/>
        <v>1</v>
      </c>
      <c r="AI216" s="139"/>
      <c r="AJ216" s="140"/>
      <c r="AK216" s="140"/>
      <c r="AL216" s="140"/>
      <c r="AM216" s="16">
        <f t="shared" si="29"/>
        <v>0</v>
      </c>
      <c r="AN216" s="162"/>
      <c r="AO216" s="68"/>
      <c r="AP216" s="68"/>
      <c r="AQ216" s="68"/>
      <c r="AR216" s="68"/>
      <c r="AS216" s="21" t="s">
        <v>310</v>
      </c>
      <c r="AT216" s="1">
        <f t="shared" si="32"/>
        <v>0</v>
      </c>
      <c r="AU216" s="31"/>
      <c r="AV216" s="31"/>
      <c r="AW216" s="31"/>
      <c r="AX216" s="16">
        <f t="shared" si="34"/>
        <v>0</v>
      </c>
      <c r="AY216" s="156">
        <v>1</v>
      </c>
      <c r="AZ216" s="76"/>
      <c r="BA216" s="31"/>
      <c r="BB216" s="31"/>
      <c r="BC216" s="31"/>
      <c r="BD216" s="16">
        <f t="shared" si="33"/>
        <v>0</v>
      </c>
      <c r="BE216" s="31"/>
      <c r="BF216" s="31"/>
      <c r="BG216" s="31"/>
      <c r="BH216" s="31"/>
      <c r="BI216" s="16"/>
      <c r="BJ216" s="16"/>
      <c r="BK216" s="31"/>
      <c r="BL216" s="31"/>
      <c r="BM216" s="31"/>
      <c r="BN216" s="31"/>
      <c r="BO216" s="16"/>
      <c r="BP216" s="31"/>
      <c r="BQ216" s="31"/>
      <c r="BR216" s="31"/>
      <c r="BS216" s="31"/>
      <c r="BT216" s="16"/>
      <c r="BU216" s="16"/>
      <c r="BV216" s="16"/>
      <c r="BW216" s="16"/>
      <c r="BX216" s="16"/>
      <c r="BY216" s="16"/>
      <c r="BZ216" s="16"/>
      <c r="CA216" s="1"/>
      <c r="CB216" s="1"/>
      <c r="CC216" s="1"/>
    </row>
    <row r="217" spans="1:81" s="52" customFormat="1" ht="95.25" customHeight="1" x14ac:dyDescent="0.25">
      <c r="A217" s="1">
        <v>1</v>
      </c>
      <c r="B217" s="13" t="s">
        <v>1746</v>
      </c>
      <c r="C217" s="588"/>
      <c r="D217" s="589"/>
      <c r="E217" s="10" t="s">
        <v>759</v>
      </c>
      <c r="F217" s="13" t="s">
        <v>760</v>
      </c>
      <c r="G217" s="588"/>
      <c r="H217" s="589"/>
      <c r="I217" s="10" t="s">
        <v>761</v>
      </c>
      <c r="J217" s="13" t="s">
        <v>762</v>
      </c>
      <c r="K217" s="572"/>
      <c r="L217" s="573"/>
      <c r="M217" s="23"/>
      <c r="N217" s="10" t="s">
        <v>773</v>
      </c>
      <c r="O217" s="13" t="s">
        <v>774</v>
      </c>
      <c r="P217" s="1">
        <v>9</v>
      </c>
      <c r="Q217" s="1">
        <v>4</v>
      </c>
      <c r="R217" s="1"/>
      <c r="S217" s="13" t="s">
        <v>775</v>
      </c>
      <c r="T217" s="13" t="s">
        <v>776</v>
      </c>
      <c r="U217" s="1">
        <v>2</v>
      </c>
      <c r="V217" s="133">
        <v>1</v>
      </c>
      <c r="W217" s="10" t="s">
        <v>49</v>
      </c>
      <c r="X217" s="1"/>
      <c r="Y217" s="1" t="s">
        <v>767</v>
      </c>
      <c r="Z217" s="1" t="s">
        <v>625</v>
      </c>
      <c r="AA217" s="24">
        <v>11</v>
      </c>
      <c r="AB217" s="10" t="s">
        <v>768</v>
      </c>
      <c r="AC217" s="162"/>
      <c r="AD217" s="156"/>
      <c r="AE217" s="156">
        <v>2</v>
      </c>
      <c r="AF217" s="156">
        <v>2</v>
      </c>
      <c r="AG217" s="377">
        <f t="shared" si="31"/>
        <v>4</v>
      </c>
      <c r="AH217" s="377" t="b">
        <f t="shared" si="28"/>
        <v>0</v>
      </c>
      <c r="AI217" s="139"/>
      <c r="AJ217" s="140"/>
      <c r="AK217" s="140"/>
      <c r="AL217" s="140"/>
      <c r="AM217" s="16">
        <f t="shared" si="29"/>
        <v>0</v>
      </c>
      <c r="AN217" s="162"/>
      <c r="AO217" s="68"/>
      <c r="AP217" s="68"/>
      <c r="AQ217" s="68"/>
      <c r="AR217" s="68"/>
      <c r="AS217" s="21" t="s">
        <v>310</v>
      </c>
      <c r="AT217" s="1">
        <f t="shared" si="32"/>
        <v>0</v>
      </c>
      <c r="AU217" s="31"/>
      <c r="AV217" s="31"/>
      <c r="AW217" s="31"/>
      <c r="AX217" s="16">
        <f t="shared" si="34"/>
        <v>0</v>
      </c>
      <c r="AY217" s="156" t="s">
        <v>310</v>
      </c>
      <c r="AZ217" s="76"/>
      <c r="BA217" s="31"/>
      <c r="BB217" s="31"/>
      <c r="BC217" s="31"/>
      <c r="BD217" s="16" t="str">
        <f t="shared" si="33"/>
        <v>NP</v>
      </c>
      <c r="BE217" s="31"/>
      <c r="BF217" s="31"/>
      <c r="BG217" s="31"/>
      <c r="BH217" s="31"/>
      <c r="BI217" s="16"/>
      <c r="BJ217" s="16"/>
      <c r="BK217" s="31"/>
      <c r="BL217" s="31"/>
      <c r="BM217" s="31"/>
      <c r="BN217" s="31"/>
      <c r="BO217" s="16"/>
      <c r="BP217" s="31"/>
      <c r="BQ217" s="31"/>
      <c r="BR217" s="31"/>
      <c r="BS217" s="31"/>
      <c r="BT217" s="16"/>
      <c r="BU217" s="16"/>
      <c r="BV217" s="16"/>
      <c r="BW217" s="16"/>
      <c r="BX217" s="16"/>
      <c r="BY217" s="16"/>
      <c r="BZ217" s="16"/>
      <c r="CA217" s="1"/>
      <c r="CB217" s="1"/>
      <c r="CC217" s="1"/>
    </row>
    <row r="218" spans="1:81" s="52" customFormat="1" ht="90" customHeight="1" x14ac:dyDescent="0.25">
      <c r="A218" s="1">
        <v>1</v>
      </c>
      <c r="B218" s="13" t="s">
        <v>1746</v>
      </c>
      <c r="C218" s="588"/>
      <c r="D218" s="589"/>
      <c r="E218" s="10" t="s">
        <v>759</v>
      </c>
      <c r="F218" s="13" t="s">
        <v>760</v>
      </c>
      <c r="G218" s="588"/>
      <c r="H218" s="589"/>
      <c r="I218" s="10" t="s">
        <v>761</v>
      </c>
      <c r="J218" s="13" t="s">
        <v>762</v>
      </c>
      <c r="K218" s="572"/>
      <c r="L218" s="573"/>
      <c r="M218" s="23"/>
      <c r="N218" s="23" t="s">
        <v>777</v>
      </c>
      <c r="O218" s="13" t="s">
        <v>778</v>
      </c>
      <c r="P218" s="26">
        <v>1</v>
      </c>
      <c r="Q218" s="26">
        <v>1</v>
      </c>
      <c r="R218" s="26"/>
      <c r="S218" s="13" t="s">
        <v>779</v>
      </c>
      <c r="T218" s="13" t="s">
        <v>780</v>
      </c>
      <c r="U218" s="1">
        <v>0</v>
      </c>
      <c r="V218" s="10">
        <v>1</v>
      </c>
      <c r="W218" s="1" t="s">
        <v>78</v>
      </c>
      <c r="X218" s="1"/>
      <c r="Y218" s="1" t="s">
        <v>767</v>
      </c>
      <c r="Z218" s="1" t="s">
        <v>625</v>
      </c>
      <c r="AA218" s="24">
        <v>11</v>
      </c>
      <c r="AB218" s="10" t="s">
        <v>768</v>
      </c>
      <c r="AC218" s="162">
        <v>0.4</v>
      </c>
      <c r="AD218" s="319">
        <v>0.2</v>
      </c>
      <c r="AE218" s="156">
        <v>3</v>
      </c>
      <c r="AF218" s="156">
        <v>5</v>
      </c>
      <c r="AG218" s="377">
        <f t="shared" si="31"/>
        <v>8.6</v>
      </c>
      <c r="AH218" s="377" t="b">
        <f t="shared" si="28"/>
        <v>0</v>
      </c>
      <c r="AI218" s="139">
        <v>0.4</v>
      </c>
      <c r="AJ218" s="140">
        <v>0.4</v>
      </c>
      <c r="AK218" s="140">
        <v>0.4</v>
      </c>
      <c r="AL218" s="344">
        <v>0.8</v>
      </c>
      <c r="AM218" s="16">
        <f t="shared" si="29"/>
        <v>0.8</v>
      </c>
      <c r="AN218" s="162">
        <v>0.4</v>
      </c>
      <c r="AO218" s="68">
        <v>0</v>
      </c>
      <c r="AP218" s="70">
        <v>0.4</v>
      </c>
      <c r="AQ218" s="70"/>
      <c r="AR218" s="70">
        <f>AL218</f>
        <v>0.8</v>
      </c>
      <c r="AS218" s="21">
        <v>1</v>
      </c>
      <c r="AT218" s="1">
        <f t="shared" si="32"/>
        <v>0.25</v>
      </c>
      <c r="AU218" s="31"/>
      <c r="AV218" s="31"/>
      <c r="AW218" s="31"/>
      <c r="AX218" s="16">
        <f t="shared" si="34"/>
        <v>0.25</v>
      </c>
      <c r="AY218" s="319">
        <v>0.2</v>
      </c>
      <c r="AZ218" s="435">
        <v>0.2</v>
      </c>
      <c r="BA218" s="31"/>
      <c r="BB218" s="31"/>
      <c r="BC218" s="31"/>
      <c r="BD218" s="16">
        <f t="shared" si="33"/>
        <v>1</v>
      </c>
      <c r="BE218" s="31"/>
      <c r="BF218" s="31"/>
      <c r="BG218" s="31"/>
      <c r="BH218" s="31"/>
      <c r="BI218" s="16"/>
      <c r="BJ218" s="16"/>
      <c r="BK218" s="31"/>
      <c r="BL218" s="31"/>
      <c r="BM218" s="31"/>
      <c r="BN218" s="31"/>
      <c r="BO218" s="16"/>
      <c r="BP218" s="31"/>
      <c r="BQ218" s="31"/>
      <c r="BR218" s="31"/>
      <c r="BS218" s="31"/>
      <c r="BT218" s="16"/>
      <c r="BU218" s="16"/>
      <c r="BV218" s="16"/>
      <c r="BW218" s="16"/>
      <c r="BX218" s="16"/>
      <c r="BY218" s="16"/>
      <c r="BZ218" s="16"/>
      <c r="CA218" s="1"/>
      <c r="CB218" s="1"/>
      <c r="CC218" s="1"/>
    </row>
    <row r="219" spans="1:81" s="52" customFormat="1" ht="63" x14ac:dyDescent="0.25">
      <c r="A219" s="1">
        <v>1</v>
      </c>
      <c r="B219" s="13" t="s">
        <v>1746</v>
      </c>
      <c r="C219" s="588"/>
      <c r="D219" s="589"/>
      <c r="E219" s="10" t="s">
        <v>759</v>
      </c>
      <c r="F219" s="13" t="s">
        <v>760</v>
      </c>
      <c r="G219" s="588"/>
      <c r="H219" s="589"/>
      <c r="I219" s="10" t="s">
        <v>761</v>
      </c>
      <c r="J219" s="13" t="s">
        <v>762</v>
      </c>
      <c r="K219" s="572"/>
      <c r="L219" s="573"/>
      <c r="M219" s="23"/>
      <c r="N219" s="23" t="s">
        <v>781</v>
      </c>
      <c r="O219" s="13" t="s">
        <v>782</v>
      </c>
      <c r="P219" s="1">
        <v>4</v>
      </c>
      <c r="Q219" s="1">
        <v>20</v>
      </c>
      <c r="R219" s="189"/>
      <c r="S219" s="13" t="s">
        <v>783</v>
      </c>
      <c r="T219" s="13" t="s">
        <v>784</v>
      </c>
      <c r="U219" s="1">
        <v>4</v>
      </c>
      <c r="V219" s="10">
        <v>20</v>
      </c>
      <c r="W219" s="1" t="s">
        <v>49</v>
      </c>
      <c r="X219" s="1"/>
      <c r="Y219" s="1" t="s">
        <v>767</v>
      </c>
      <c r="Z219" s="1" t="s">
        <v>625</v>
      </c>
      <c r="AA219" s="24">
        <v>11</v>
      </c>
      <c r="AB219" s="10" t="s">
        <v>768</v>
      </c>
      <c r="AC219" s="162">
        <v>3</v>
      </c>
      <c r="AD219" s="156">
        <v>4</v>
      </c>
      <c r="AE219" s="156"/>
      <c r="AF219" s="156"/>
      <c r="AG219" s="377">
        <f t="shared" si="31"/>
        <v>7</v>
      </c>
      <c r="AH219" s="377" t="b">
        <f t="shared" si="28"/>
        <v>0</v>
      </c>
      <c r="AI219" s="140">
        <v>0.4</v>
      </c>
      <c r="AJ219" s="140">
        <v>0.4</v>
      </c>
      <c r="AK219" s="140">
        <v>3</v>
      </c>
      <c r="AL219" s="344">
        <v>12</v>
      </c>
      <c r="AM219" s="16">
        <f t="shared" si="29"/>
        <v>0.6</v>
      </c>
      <c r="AN219" s="162">
        <v>3</v>
      </c>
      <c r="AO219" s="68">
        <v>8</v>
      </c>
      <c r="AP219" s="140">
        <v>0.4</v>
      </c>
      <c r="AQ219" s="140"/>
      <c r="AR219" s="323">
        <f>AL219</f>
        <v>12</v>
      </c>
      <c r="AS219" s="21">
        <v>1</v>
      </c>
      <c r="AT219" s="1">
        <f t="shared" si="32"/>
        <v>13</v>
      </c>
      <c r="AU219" s="31"/>
      <c r="AV219" s="31"/>
      <c r="AW219" s="31"/>
      <c r="AX219" s="16">
        <f t="shared" si="34"/>
        <v>0.65</v>
      </c>
      <c r="AY219" s="156">
        <v>4</v>
      </c>
      <c r="AZ219" s="76">
        <v>1</v>
      </c>
      <c r="BA219" s="31"/>
      <c r="BB219" s="31"/>
      <c r="BC219" s="31"/>
      <c r="BD219" s="16">
        <f t="shared" si="33"/>
        <v>0.25</v>
      </c>
      <c r="BE219" s="31"/>
      <c r="BF219" s="31"/>
      <c r="BG219" s="31"/>
      <c r="BH219" s="31"/>
      <c r="BI219" s="16"/>
      <c r="BJ219" s="16"/>
      <c r="BK219" s="31"/>
      <c r="BL219" s="31"/>
      <c r="BM219" s="31"/>
      <c r="BN219" s="31"/>
      <c r="BO219" s="16"/>
      <c r="BP219" s="31"/>
      <c r="BQ219" s="31"/>
      <c r="BR219" s="31"/>
      <c r="BS219" s="31"/>
      <c r="BT219" s="16"/>
      <c r="BU219" s="16"/>
      <c r="BV219" s="16"/>
      <c r="BW219" s="16"/>
      <c r="BX219" s="16"/>
      <c r="BY219" s="16"/>
      <c r="BZ219" s="16"/>
      <c r="CA219" s="1"/>
      <c r="CB219" s="1"/>
      <c r="CC219" s="1"/>
    </row>
    <row r="220" spans="1:81" s="52" customFormat="1" ht="47.25" x14ac:dyDescent="0.25">
      <c r="A220" s="1">
        <v>1</v>
      </c>
      <c r="B220" s="13" t="s">
        <v>1746</v>
      </c>
      <c r="C220" s="588"/>
      <c r="D220" s="589"/>
      <c r="E220" s="10" t="s">
        <v>759</v>
      </c>
      <c r="F220" s="13" t="s">
        <v>760</v>
      </c>
      <c r="G220" s="588"/>
      <c r="H220" s="589"/>
      <c r="I220" s="10" t="s">
        <v>761</v>
      </c>
      <c r="J220" s="13" t="s">
        <v>762</v>
      </c>
      <c r="K220" s="568"/>
      <c r="L220" s="570"/>
      <c r="M220" s="23"/>
      <c r="N220" s="10" t="s">
        <v>785</v>
      </c>
      <c r="O220" s="13" t="s">
        <v>786</v>
      </c>
      <c r="P220" s="26">
        <v>0.5</v>
      </c>
      <c r="Q220" s="26">
        <v>1</v>
      </c>
      <c r="R220" s="26"/>
      <c r="S220" s="13" t="s">
        <v>787</v>
      </c>
      <c r="T220" s="13" t="s">
        <v>788</v>
      </c>
      <c r="U220" s="1">
        <v>1</v>
      </c>
      <c r="V220" s="133">
        <v>2</v>
      </c>
      <c r="W220" s="1" t="s">
        <v>49</v>
      </c>
      <c r="X220" s="1"/>
      <c r="Y220" s="1" t="s">
        <v>767</v>
      </c>
      <c r="Z220" s="1" t="s">
        <v>625</v>
      </c>
      <c r="AA220" s="24">
        <v>11</v>
      </c>
      <c r="AB220" s="10" t="s">
        <v>768</v>
      </c>
      <c r="AC220" s="162">
        <v>1</v>
      </c>
      <c r="AD220" s="156">
        <v>0.2</v>
      </c>
      <c r="AE220" s="156">
        <v>4</v>
      </c>
      <c r="AF220" s="156">
        <v>3</v>
      </c>
      <c r="AG220" s="377">
        <f t="shared" si="31"/>
        <v>8.1999999999999993</v>
      </c>
      <c r="AH220" s="377" t="b">
        <f t="shared" si="28"/>
        <v>0</v>
      </c>
      <c r="AI220" s="139">
        <v>0.3</v>
      </c>
      <c r="AJ220" s="140">
        <v>1</v>
      </c>
      <c r="AK220" s="140">
        <v>0.8</v>
      </c>
      <c r="AL220" s="140">
        <v>0.8</v>
      </c>
      <c r="AM220" s="16">
        <f t="shared" si="29"/>
        <v>0.4</v>
      </c>
      <c r="AN220" s="162">
        <v>1</v>
      </c>
      <c r="AO220" s="68">
        <v>0</v>
      </c>
      <c r="AP220" s="68">
        <v>1</v>
      </c>
      <c r="AQ220" s="68"/>
      <c r="AR220" s="323">
        <f>AL220</f>
        <v>0.8</v>
      </c>
      <c r="AS220" s="21">
        <f>IFERROR(+AR220/AN220,0)</f>
        <v>0.8</v>
      </c>
      <c r="AT220" s="1">
        <f t="shared" si="32"/>
        <v>0.96000000000000008</v>
      </c>
      <c r="AU220" s="31"/>
      <c r="AV220" s="31"/>
      <c r="AW220" s="31"/>
      <c r="AX220" s="16">
        <f t="shared" si="34"/>
        <v>0.48000000000000004</v>
      </c>
      <c r="AY220" s="156">
        <v>0.2</v>
      </c>
      <c r="AZ220" s="76">
        <v>0.16</v>
      </c>
      <c r="BA220" s="31"/>
      <c r="BB220" s="31"/>
      <c r="BC220" s="31"/>
      <c r="BD220" s="16">
        <f t="shared" si="33"/>
        <v>0.79999999999999993</v>
      </c>
      <c r="BE220" s="31"/>
      <c r="BF220" s="31"/>
      <c r="BG220" s="31"/>
      <c r="BH220" s="31"/>
      <c r="BI220" s="16"/>
      <c r="BJ220" s="16"/>
      <c r="BK220" s="31"/>
      <c r="BL220" s="31"/>
      <c r="BM220" s="31"/>
      <c r="BN220" s="31"/>
      <c r="BO220" s="16"/>
      <c r="BP220" s="31"/>
      <c r="BQ220" s="31"/>
      <c r="BR220" s="31"/>
      <c r="BS220" s="31"/>
      <c r="BT220" s="16"/>
      <c r="BU220" s="16"/>
      <c r="BV220" s="16"/>
      <c r="BW220" s="16"/>
      <c r="BX220" s="16"/>
      <c r="BY220" s="16"/>
      <c r="BZ220" s="16"/>
      <c r="CA220" s="1"/>
      <c r="CB220" s="1"/>
      <c r="CC220" s="1"/>
    </row>
    <row r="221" spans="1:81" s="52" customFormat="1" ht="47.25" x14ac:dyDescent="0.25">
      <c r="A221" s="1">
        <v>1</v>
      </c>
      <c r="B221" s="13" t="s">
        <v>1746</v>
      </c>
      <c r="C221" s="588"/>
      <c r="D221" s="589"/>
      <c r="E221" s="10" t="s">
        <v>759</v>
      </c>
      <c r="F221" s="13" t="s">
        <v>760</v>
      </c>
      <c r="G221" s="588"/>
      <c r="H221" s="589"/>
      <c r="I221" s="10" t="s">
        <v>789</v>
      </c>
      <c r="J221" s="13" t="s">
        <v>790</v>
      </c>
      <c r="K221" s="567">
        <f>AVERAGE(AX221:AX232)</f>
        <v>0.4944520933977456</v>
      </c>
      <c r="L221" s="569">
        <f>AVERAGE(BD221:BD232)</f>
        <v>0.59000000000000008</v>
      </c>
      <c r="M221" s="23"/>
      <c r="N221" s="10" t="s">
        <v>791</v>
      </c>
      <c r="O221" s="13" t="s">
        <v>792</v>
      </c>
      <c r="P221" s="1">
        <v>6</v>
      </c>
      <c r="Q221" s="1">
        <v>6</v>
      </c>
      <c r="R221" s="1"/>
      <c r="S221" s="13" t="s">
        <v>793</v>
      </c>
      <c r="T221" s="13" t="s">
        <v>794</v>
      </c>
      <c r="U221" s="10">
        <v>6</v>
      </c>
      <c r="V221" s="10">
        <v>6</v>
      </c>
      <c r="W221" s="10" t="s">
        <v>78</v>
      </c>
      <c r="X221" s="1"/>
      <c r="Y221" s="1" t="s">
        <v>767</v>
      </c>
      <c r="Z221" s="1" t="s">
        <v>625</v>
      </c>
      <c r="AA221" s="24">
        <v>11</v>
      </c>
      <c r="AB221" s="10" t="s">
        <v>768</v>
      </c>
      <c r="AC221" s="162">
        <v>6</v>
      </c>
      <c r="AD221" s="156">
        <v>6</v>
      </c>
      <c r="AE221" s="156">
        <v>6</v>
      </c>
      <c r="AF221" s="156">
        <v>6</v>
      </c>
      <c r="AG221" s="377">
        <f t="shared" si="31"/>
        <v>24</v>
      </c>
      <c r="AH221" s="377" t="b">
        <f t="shared" si="28"/>
        <v>0</v>
      </c>
      <c r="AI221" s="68">
        <v>6</v>
      </c>
      <c r="AJ221" s="68">
        <v>6</v>
      </c>
      <c r="AK221" s="43">
        <v>6</v>
      </c>
      <c r="AL221" s="68">
        <v>6</v>
      </c>
      <c r="AM221" s="16">
        <f t="shared" si="29"/>
        <v>1</v>
      </c>
      <c r="AN221" s="162">
        <v>6</v>
      </c>
      <c r="AO221" s="68">
        <v>6</v>
      </c>
      <c r="AP221" s="68">
        <v>6</v>
      </c>
      <c r="AQ221" s="68"/>
      <c r="AR221" s="322">
        <f>AL221</f>
        <v>6</v>
      </c>
      <c r="AS221" s="21">
        <f>IFERROR(+AR221/AN221,0)</f>
        <v>1</v>
      </c>
      <c r="AT221" s="1">
        <f t="shared" si="32"/>
        <v>2.25</v>
      </c>
      <c r="AU221" s="31"/>
      <c r="AV221" s="31"/>
      <c r="AW221" s="31"/>
      <c r="AX221" s="16">
        <f t="shared" si="34"/>
        <v>0.375</v>
      </c>
      <c r="AY221" s="156">
        <v>6</v>
      </c>
      <c r="AZ221" s="76">
        <v>3</v>
      </c>
      <c r="BA221" s="31"/>
      <c r="BB221" s="31"/>
      <c r="BC221" s="31"/>
      <c r="BD221" s="16">
        <f t="shared" si="33"/>
        <v>0.5</v>
      </c>
      <c r="BE221" s="31"/>
      <c r="BF221" s="31"/>
      <c r="BG221" s="31"/>
      <c r="BH221" s="31"/>
      <c r="BI221" s="16"/>
      <c r="BJ221" s="16"/>
      <c r="BK221" s="31"/>
      <c r="BL221" s="31"/>
      <c r="BM221" s="31"/>
      <c r="BN221" s="31"/>
      <c r="BO221" s="16"/>
      <c r="BP221" s="31"/>
      <c r="BQ221" s="31"/>
      <c r="BR221" s="31"/>
      <c r="BS221" s="31"/>
      <c r="BT221" s="16"/>
      <c r="BU221" s="16"/>
      <c r="BV221" s="16"/>
      <c r="BW221" s="16"/>
      <c r="BX221" s="16"/>
      <c r="BY221" s="16"/>
      <c r="BZ221" s="16"/>
      <c r="CA221" s="1"/>
      <c r="CB221" s="1"/>
      <c r="CC221" s="1"/>
    </row>
    <row r="222" spans="1:81" s="52" customFormat="1" ht="47.25" x14ac:dyDescent="0.25">
      <c r="A222" s="1">
        <v>1</v>
      </c>
      <c r="B222" s="13" t="s">
        <v>1746</v>
      </c>
      <c r="C222" s="588"/>
      <c r="D222" s="589"/>
      <c r="E222" s="10" t="s">
        <v>759</v>
      </c>
      <c r="F222" s="13" t="s">
        <v>760</v>
      </c>
      <c r="G222" s="588"/>
      <c r="H222" s="589"/>
      <c r="I222" s="10" t="s">
        <v>789</v>
      </c>
      <c r="J222" s="13" t="s">
        <v>790</v>
      </c>
      <c r="K222" s="572"/>
      <c r="L222" s="573"/>
      <c r="M222" s="23"/>
      <c r="N222" s="10" t="s">
        <v>795</v>
      </c>
      <c r="O222" s="13" t="s">
        <v>796</v>
      </c>
      <c r="P222" s="1">
        <v>6</v>
      </c>
      <c r="Q222" s="1">
        <v>1</v>
      </c>
      <c r="R222" s="1"/>
      <c r="S222" s="13" t="s">
        <v>797</v>
      </c>
      <c r="T222" s="13" t="s">
        <v>796</v>
      </c>
      <c r="U222" s="1">
        <v>6</v>
      </c>
      <c r="V222" s="133">
        <v>1</v>
      </c>
      <c r="W222" s="1" t="s">
        <v>49</v>
      </c>
      <c r="X222" s="1"/>
      <c r="Y222" s="1" t="s">
        <v>767</v>
      </c>
      <c r="Z222" s="1" t="s">
        <v>625</v>
      </c>
      <c r="AA222" s="24">
        <v>11</v>
      </c>
      <c r="AB222" s="10" t="s">
        <v>768</v>
      </c>
      <c r="AC222" s="162"/>
      <c r="AD222" s="156"/>
      <c r="AE222" s="156"/>
      <c r="AF222" s="156">
        <v>1</v>
      </c>
      <c r="AG222" s="377">
        <f t="shared" si="31"/>
        <v>1</v>
      </c>
      <c r="AH222" s="377" t="b">
        <f t="shared" si="28"/>
        <v>1</v>
      </c>
      <c r="AI222" s="139"/>
      <c r="AJ222" s="68"/>
      <c r="AK222" s="43"/>
      <c r="AL222" s="68"/>
      <c r="AM222" s="16">
        <f t="shared" si="29"/>
        <v>0</v>
      </c>
      <c r="AN222" s="162"/>
      <c r="AO222" s="68"/>
      <c r="AP222" s="68"/>
      <c r="AQ222" s="68"/>
      <c r="AR222" s="68"/>
      <c r="AS222" s="21" t="s">
        <v>310</v>
      </c>
      <c r="AT222" s="1">
        <f t="shared" si="32"/>
        <v>0</v>
      </c>
      <c r="AU222" s="31"/>
      <c r="AV222" s="31"/>
      <c r="AW222" s="31"/>
      <c r="AX222" s="16">
        <f t="shared" si="34"/>
        <v>0</v>
      </c>
      <c r="AY222" s="156" t="s">
        <v>310</v>
      </c>
      <c r="AZ222" s="76"/>
      <c r="BA222" s="31"/>
      <c r="BB222" s="31"/>
      <c r="BC222" s="31"/>
      <c r="BD222" s="16" t="str">
        <f t="shared" si="33"/>
        <v>NP</v>
      </c>
      <c r="BE222" s="31"/>
      <c r="BF222" s="31"/>
      <c r="BG222" s="31"/>
      <c r="BH222" s="31"/>
      <c r="BI222" s="16"/>
      <c r="BJ222" s="16"/>
      <c r="BK222" s="31"/>
      <c r="BL222" s="31"/>
      <c r="BM222" s="31"/>
      <c r="BN222" s="31"/>
      <c r="BO222" s="16"/>
      <c r="BP222" s="31"/>
      <c r="BQ222" s="31"/>
      <c r="BR222" s="31"/>
      <c r="BS222" s="31"/>
      <c r="BT222" s="16"/>
      <c r="BU222" s="16"/>
      <c r="BV222" s="16"/>
      <c r="BW222" s="16"/>
      <c r="BX222" s="16"/>
      <c r="BY222" s="16"/>
      <c r="BZ222" s="16"/>
      <c r="CA222" s="1"/>
      <c r="CB222" s="1"/>
      <c r="CC222" s="1"/>
    </row>
    <row r="223" spans="1:81" s="52" customFormat="1" ht="75.75" customHeight="1" x14ac:dyDescent="0.25">
      <c r="A223" s="1">
        <v>1</v>
      </c>
      <c r="B223" s="13" t="s">
        <v>1746</v>
      </c>
      <c r="C223" s="588"/>
      <c r="D223" s="589"/>
      <c r="E223" s="10" t="s">
        <v>759</v>
      </c>
      <c r="F223" s="13" t="s">
        <v>760</v>
      </c>
      <c r="G223" s="588"/>
      <c r="H223" s="589"/>
      <c r="I223" s="10" t="s">
        <v>789</v>
      </c>
      <c r="J223" s="13" t="s">
        <v>790</v>
      </c>
      <c r="K223" s="572"/>
      <c r="L223" s="573"/>
      <c r="M223" s="23"/>
      <c r="N223" s="10" t="s">
        <v>2018</v>
      </c>
      <c r="O223" s="13" t="s">
        <v>799</v>
      </c>
      <c r="P223" s="1" t="s">
        <v>55</v>
      </c>
      <c r="Q223" s="1">
        <v>6</v>
      </c>
      <c r="R223" s="189"/>
      <c r="S223" s="13" t="s">
        <v>800</v>
      </c>
      <c r="T223" s="13" t="s">
        <v>799</v>
      </c>
      <c r="U223" s="1">
        <v>1</v>
      </c>
      <c r="V223" s="133">
        <v>6</v>
      </c>
      <c r="W223" s="1" t="s">
        <v>49</v>
      </c>
      <c r="X223" s="1"/>
      <c r="Y223" s="1" t="s">
        <v>767</v>
      </c>
      <c r="Z223" s="1" t="s">
        <v>625</v>
      </c>
      <c r="AA223" s="24">
        <v>11</v>
      </c>
      <c r="AB223" s="10" t="s">
        <v>768</v>
      </c>
      <c r="AC223" s="162">
        <v>0.22</v>
      </c>
      <c r="AD223" s="156">
        <v>1</v>
      </c>
      <c r="AE223" s="156">
        <v>2</v>
      </c>
      <c r="AF223" s="156">
        <v>3</v>
      </c>
      <c r="AG223" s="377">
        <f t="shared" si="31"/>
        <v>6.22</v>
      </c>
      <c r="AH223" s="377" t="b">
        <f t="shared" si="28"/>
        <v>0</v>
      </c>
      <c r="AI223" s="139">
        <v>0</v>
      </c>
      <c r="AJ223" s="68">
        <v>0</v>
      </c>
      <c r="AK223" s="43"/>
      <c r="AL223" s="68"/>
      <c r="AM223" s="16">
        <f t="shared" si="29"/>
        <v>0</v>
      </c>
      <c r="AN223" s="162">
        <v>0.22</v>
      </c>
      <c r="AO223" s="68">
        <v>0</v>
      </c>
      <c r="AP223" s="68">
        <v>0</v>
      </c>
      <c r="AQ223" s="68"/>
      <c r="AR223" s="322">
        <f>AL223</f>
        <v>0</v>
      </c>
      <c r="AS223" s="21">
        <f>IFERROR(+AR223/AN223,0)</f>
        <v>0</v>
      </c>
      <c r="AT223" s="1">
        <f t="shared" si="32"/>
        <v>0</v>
      </c>
      <c r="AU223" s="31"/>
      <c r="AV223" s="31"/>
      <c r="AW223" s="31"/>
      <c r="AX223" s="16">
        <f t="shared" si="34"/>
        <v>0</v>
      </c>
      <c r="AY223" s="156">
        <v>1</v>
      </c>
      <c r="AZ223" s="76">
        <v>0</v>
      </c>
      <c r="BA223" s="31"/>
      <c r="BB223" s="31"/>
      <c r="BC223" s="31"/>
      <c r="BD223" s="16">
        <f t="shared" si="33"/>
        <v>0</v>
      </c>
      <c r="BE223" s="31"/>
      <c r="BF223" s="31"/>
      <c r="BG223" s="31"/>
      <c r="BH223" s="31"/>
      <c r="BI223" s="16"/>
      <c r="BJ223" s="16"/>
      <c r="BK223" s="31"/>
      <c r="BL223" s="31"/>
      <c r="BM223" s="31"/>
      <c r="BN223" s="31"/>
      <c r="BO223" s="16"/>
      <c r="BP223" s="31"/>
      <c r="BQ223" s="31"/>
      <c r="BR223" s="31"/>
      <c r="BS223" s="31"/>
      <c r="BT223" s="16"/>
      <c r="BU223" s="16"/>
      <c r="BV223" s="16"/>
      <c r="BW223" s="16"/>
      <c r="BX223" s="16"/>
      <c r="BY223" s="16"/>
      <c r="BZ223" s="16"/>
      <c r="CA223" s="1"/>
      <c r="CB223" s="1"/>
      <c r="CC223" s="1"/>
    </row>
    <row r="224" spans="1:81" s="52" customFormat="1" ht="110.25" x14ac:dyDescent="0.25">
      <c r="A224" s="1">
        <v>1</v>
      </c>
      <c r="B224" s="13" t="s">
        <v>1746</v>
      </c>
      <c r="C224" s="588"/>
      <c r="D224" s="589"/>
      <c r="E224" s="10" t="s">
        <v>759</v>
      </c>
      <c r="F224" s="13" t="s">
        <v>760</v>
      </c>
      <c r="G224" s="588"/>
      <c r="H224" s="589"/>
      <c r="I224" s="10" t="s">
        <v>789</v>
      </c>
      <c r="J224" s="13" t="s">
        <v>790</v>
      </c>
      <c r="K224" s="572"/>
      <c r="L224" s="573"/>
      <c r="M224" s="23"/>
      <c r="N224" s="23" t="s">
        <v>801</v>
      </c>
      <c r="O224" s="13" t="s">
        <v>802</v>
      </c>
      <c r="P224" s="1">
        <v>1</v>
      </c>
      <c r="Q224" s="1">
        <v>3</v>
      </c>
      <c r="R224" s="189"/>
      <c r="S224" s="13" t="s">
        <v>803</v>
      </c>
      <c r="T224" s="13" t="s">
        <v>804</v>
      </c>
      <c r="U224" s="10">
        <v>1</v>
      </c>
      <c r="V224" s="133">
        <v>3</v>
      </c>
      <c r="W224" s="1" t="s">
        <v>49</v>
      </c>
      <c r="X224" s="1"/>
      <c r="Y224" s="1" t="s">
        <v>767</v>
      </c>
      <c r="Z224" s="1" t="s">
        <v>625</v>
      </c>
      <c r="AA224" s="24">
        <v>11</v>
      </c>
      <c r="AB224" s="10" t="s">
        <v>768</v>
      </c>
      <c r="AC224" s="162">
        <v>1</v>
      </c>
      <c r="AD224" s="156">
        <v>1</v>
      </c>
      <c r="AE224" s="156">
        <v>1</v>
      </c>
      <c r="AF224" s="156">
        <v>1</v>
      </c>
      <c r="AG224" s="377">
        <f t="shared" si="31"/>
        <v>4</v>
      </c>
      <c r="AH224" s="377" t="b">
        <f t="shared" si="28"/>
        <v>0</v>
      </c>
      <c r="AI224" s="139">
        <v>0</v>
      </c>
      <c r="AJ224" s="68">
        <v>1</v>
      </c>
      <c r="AK224" s="43">
        <v>2</v>
      </c>
      <c r="AL224" s="68">
        <v>2</v>
      </c>
      <c r="AM224" s="16">
        <f t="shared" si="29"/>
        <v>0.66666666666666663</v>
      </c>
      <c r="AN224" s="162">
        <v>1</v>
      </c>
      <c r="AO224" s="68">
        <v>0</v>
      </c>
      <c r="AP224" s="68">
        <v>1</v>
      </c>
      <c r="AQ224" s="68"/>
      <c r="AR224" s="322">
        <f>AL224</f>
        <v>2</v>
      </c>
      <c r="AS224" s="21">
        <v>1</v>
      </c>
      <c r="AT224" s="1">
        <f t="shared" si="32"/>
        <v>3</v>
      </c>
      <c r="AU224" s="31"/>
      <c r="AV224" s="31"/>
      <c r="AW224" s="31"/>
      <c r="AX224" s="16">
        <f t="shared" si="34"/>
        <v>1</v>
      </c>
      <c r="AY224" s="156">
        <v>1</v>
      </c>
      <c r="AZ224" s="76">
        <v>1</v>
      </c>
      <c r="BA224" s="31"/>
      <c r="BB224" s="31"/>
      <c r="BC224" s="31"/>
      <c r="BD224" s="16">
        <f t="shared" si="33"/>
        <v>1</v>
      </c>
      <c r="BE224" s="31"/>
      <c r="BF224" s="31"/>
      <c r="BG224" s="31"/>
      <c r="BH224" s="31"/>
      <c r="BI224" s="16"/>
      <c r="BJ224" s="16"/>
      <c r="BK224" s="31"/>
      <c r="BL224" s="31"/>
      <c r="BM224" s="31"/>
      <c r="BN224" s="31"/>
      <c r="BO224" s="16"/>
      <c r="BP224" s="31"/>
      <c r="BQ224" s="31"/>
      <c r="BR224" s="31"/>
      <c r="BS224" s="31"/>
      <c r="BT224" s="16"/>
      <c r="BU224" s="16"/>
      <c r="BV224" s="16"/>
      <c r="BW224" s="16"/>
      <c r="BX224" s="16"/>
      <c r="BY224" s="16"/>
      <c r="BZ224" s="16"/>
      <c r="CA224" s="1"/>
      <c r="CB224" s="1"/>
      <c r="CC224" s="1"/>
    </row>
    <row r="225" spans="1:81" s="52" customFormat="1" ht="78.75" x14ac:dyDescent="0.25">
      <c r="A225" s="1">
        <v>1</v>
      </c>
      <c r="B225" s="13" t="s">
        <v>1746</v>
      </c>
      <c r="C225" s="588"/>
      <c r="D225" s="589"/>
      <c r="E225" s="10" t="s">
        <v>759</v>
      </c>
      <c r="F225" s="13" t="s">
        <v>760</v>
      </c>
      <c r="G225" s="588"/>
      <c r="H225" s="589"/>
      <c r="I225" s="10" t="s">
        <v>789</v>
      </c>
      <c r="J225" s="13" t="s">
        <v>790</v>
      </c>
      <c r="K225" s="572"/>
      <c r="L225" s="573"/>
      <c r="M225" s="23"/>
      <c r="N225" s="23" t="s">
        <v>805</v>
      </c>
      <c r="O225" s="13" t="s">
        <v>806</v>
      </c>
      <c r="P225" s="1">
        <v>7</v>
      </c>
      <c r="Q225" s="1">
        <v>8</v>
      </c>
      <c r="R225" s="189"/>
      <c r="S225" s="13" t="s">
        <v>807</v>
      </c>
      <c r="T225" s="13" t="s">
        <v>808</v>
      </c>
      <c r="U225" s="10">
        <v>7</v>
      </c>
      <c r="V225" s="133">
        <v>1</v>
      </c>
      <c r="W225" s="1" t="s">
        <v>49</v>
      </c>
      <c r="X225" s="1"/>
      <c r="Y225" s="1" t="s">
        <v>767</v>
      </c>
      <c r="Z225" s="1" t="s">
        <v>625</v>
      </c>
      <c r="AA225" s="24">
        <v>11</v>
      </c>
      <c r="AB225" s="10" t="s">
        <v>768</v>
      </c>
      <c r="AC225" s="162"/>
      <c r="AD225" s="156">
        <v>2</v>
      </c>
      <c r="AE225" s="156">
        <v>2</v>
      </c>
      <c r="AF225" s="156">
        <v>3</v>
      </c>
      <c r="AG225" s="377">
        <f t="shared" si="31"/>
        <v>7</v>
      </c>
      <c r="AH225" s="377" t="b">
        <f t="shared" si="28"/>
        <v>0</v>
      </c>
      <c r="AI225" s="139"/>
      <c r="AJ225" s="68"/>
      <c r="AK225" s="43"/>
      <c r="AL225" s="68"/>
      <c r="AM225" s="16">
        <f t="shared" si="29"/>
        <v>0</v>
      </c>
      <c r="AN225" s="162"/>
      <c r="AO225" s="68"/>
      <c r="AP225" s="68"/>
      <c r="AQ225" s="68"/>
      <c r="AR225" s="68"/>
      <c r="AS225" s="21" t="s">
        <v>310</v>
      </c>
      <c r="AT225" s="1">
        <f t="shared" si="32"/>
        <v>0</v>
      </c>
      <c r="AU225" s="31"/>
      <c r="AV225" s="31"/>
      <c r="AW225" s="31"/>
      <c r="AX225" s="16">
        <f t="shared" si="34"/>
        <v>0</v>
      </c>
      <c r="AY225" s="156">
        <v>2</v>
      </c>
      <c r="AZ225" s="76">
        <v>0</v>
      </c>
      <c r="BA225" s="31"/>
      <c r="BB225" s="31"/>
      <c r="BC225" s="31"/>
      <c r="BD225" s="16">
        <f t="shared" si="33"/>
        <v>0</v>
      </c>
      <c r="BE225" s="31"/>
      <c r="BF225" s="31"/>
      <c r="BG225" s="31"/>
      <c r="BH225" s="31"/>
      <c r="BI225" s="16"/>
      <c r="BJ225" s="16"/>
      <c r="BK225" s="31"/>
      <c r="BL225" s="31"/>
      <c r="BM225" s="31"/>
      <c r="BN225" s="31"/>
      <c r="BO225" s="16"/>
      <c r="BP225" s="31"/>
      <c r="BQ225" s="31"/>
      <c r="BR225" s="31"/>
      <c r="BS225" s="31"/>
      <c r="BT225" s="16"/>
      <c r="BU225" s="16"/>
      <c r="BV225" s="16"/>
      <c r="BW225" s="16"/>
      <c r="BX225" s="16"/>
      <c r="BY225" s="16"/>
      <c r="BZ225" s="16"/>
      <c r="CA225" s="1"/>
      <c r="CB225" s="1"/>
      <c r="CC225" s="1"/>
    </row>
    <row r="226" spans="1:81" s="52" customFormat="1" ht="47.25" x14ac:dyDescent="0.25">
      <c r="A226" s="1">
        <v>1</v>
      </c>
      <c r="B226" s="13" t="s">
        <v>1746</v>
      </c>
      <c r="C226" s="588"/>
      <c r="D226" s="589"/>
      <c r="E226" s="10" t="s">
        <v>759</v>
      </c>
      <c r="F226" s="13" t="s">
        <v>760</v>
      </c>
      <c r="G226" s="588"/>
      <c r="H226" s="589"/>
      <c r="I226" s="10" t="s">
        <v>789</v>
      </c>
      <c r="J226" s="13" t="s">
        <v>790</v>
      </c>
      <c r="K226" s="572"/>
      <c r="L226" s="573"/>
      <c r="M226" s="23"/>
      <c r="N226" s="10" t="s">
        <v>809</v>
      </c>
      <c r="O226" s="13" t="s">
        <v>810</v>
      </c>
      <c r="P226" s="1" t="s">
        <v>55</v>
      </c>
      <c r="Q226" s="1">
        <v>46</v>
      </c>
      <c r="R226" s="1"/>
      <c r="S226" s="13" t="s">
        <v>811</v>
      </c>
      <c r="T226" s="13" t="s">
        <v>812</v>
      </c>
      <c r="U226" s="1" t="s">
        <v>55</v>
      </c>
      <c r="V226" s="10">
        <v>46</v>
      </c>
      <c r="W226" s="1" t="s">
        <v>49</v>
      </c>
      <c r="X226" s="1"/>
      <c r="Y226" s="1" t="s">
        <v>767</v>
      </c>
      <c r="Z226" s="1" t="s">
        <v>625</v>
      </c>
      <c r="AA226" s="24">
        <v>11</v>
      </c>
      <c r="AB226" s="10" t="s">
        <v>768</v>
      </c>
      <c r="AC226" s="162">
        <v>5</v>
      </c>
      <c r="AD226" s="156">
        <v>10</v>
      </c>
      <c r="AE226" s="156">
        <v>11</v>
      </c>
      <c r="AF226" s="156">
        <v>20</v>
      </c>
      <c r="AG226" s="377">
        <f t="shared" si="31"/>
        <v>46</v>
      </c>
      <c r="AH226" s="377" t="b">
        <f t="shared" si="28"/>
        <v>1</v>
      </c>
      <c r="AI226" s="139">
        <f>+AO226/V226</f>
        <v>0.54347826086956519</v>
      </c>
      <c r="AJ226" s="68">
        <v>5</v>
      </c>
      <c r="AK226" s="43">
        <v>25</v>
      </c>
      <c r="AL226" s="68">
        <v>25</v>
      </c>
      <c r="AM226" s="16">
        <f t="shared" si="29"/>
        <v>0.54347826086956519</v>
      </c>
      <c r="AN226" s="162">
        <v>5</v>
      </c>
      <c r="AO226" s="68">
        <v>25</v>
      </c>
      <c r="AP226" s="68">
        <v>5</v>
      </c>
      <c r="AQ226" s="68"/>
      <c r="AR226" s="322">
        <f>AL226</f>
        <v>25</v>
      </c>
      <c r="AS226" s="21">
        <v>1</v>
      </c>
      <c r="AT226" s="1">
        <f t="shared" si="32"/>
        <v>35</v>
      </c>
      <c r="AU226" s="31"/>
      <c r="AV226" s="31"/>
      <c r="AW226" s="31"/>
      <c r="AX226" s="16">
        <f t="shared" si="34"/>
        <v>0.76086956521739135</v>
      </c>
      <c r="AY226" s="156">
        <v>10</v>
      </c>
      <c r="AZ226" s="76">
        <v>10</v>
      </c>
      <c r="BA226" s="31"/>
      <c r="BB226" s="31"/>
      <c r="BC226" s="31"/>
      <c r="BD226" s="16">
        <f t="shared" si="33"/>
        <v>1</v>
      </c>
      <c r="BE226" s="31"/>
      <c r="BF226" s="31"/>
      <c r="BG226" s="31"/>
      <c r="BH226" s="31"/>
      <c r="BI226" s="16"/>
      <c r="BJ226" s="16"/>
      <c r="BK226" s="31"/>
      <c r="BL226" s="31"/>
      <c r="BM226" s="31"/>
      <c r="BN226" s="31"/>
      <c r="BO226" s="16"/>
      <c r="BP226" s="31"/>
      <c r="BQ226" s="31"/>
      <c r="BR226" s="31"/>
      <c r="BS226" s="31"/>
      <c r="BT226" s="16"/>
      <c r="BU226" s="16"/>
      <c r="BV226" s="16"/>
      <c r="BW226" s="16"/>
      <c r="BX226" s="16"/>
      <c r="BY226" s="16"/>
      <c r="BZ226" s="16"/>
      <c r="CA226" s="1"/>
      <c r="CB226" s="1"/>
      <c r="CC226" s="1"/>
    </row>
    <row r="227" spans="1:81" s="52" customFormat="1" ht="47.25" x14ac:dyDescent="0.25">
      <c r="A227" s="1">
        <v>1</v>
      </c>
      <c r="B227" s="13" t="s">
        <v>1746</v>
      </c>
      <c r="C227" s="588"/>
      <c r="D227" s="589"/>
      <c r="E227" s="10" t="s">
        <v>759</v>
      </c>
      <c r="F227" s="13" t="s">
        <v>760</v>
      </c>
      <c r="G227" s="588"/>
      <c r="H227" s="589"/>
      <c r="I227" s="10" t="s">
        <v>789</v>
      </c>
      <c r="J227" s="13" t="s">
        <v>790</v>
      </c>
      <c r="K227" s="572"/>
      <c r="L227" s="573"/>
      <c r="M227" s="23"/>
      <c r="N227" s="10" t="s">
        <v>813</v>
      </c>
      <c r="O227" s="13" t="s">
        <v>814</v>
      </c>
      <c r="P227" s="1">
        <v>1000</v>
      </c>
      <c r="Q227" s="1">
        <v>1500</v>
      </c>
      <c r="R227" s="1"/>
      <c r="S227" s="13" t="s">
        <v>815</v>
      </c>
      <c r="T227" s="13" t="s">
        <v>816</v>
      </c>
      <c r="U227" s="19">
        <v>1000</v>
      </c>
      <c r="V227" s="10">
        <v>1500</v>
      </c>
      <c r="W227" s="1" t="s">
        <v>49</v>
      </c>
      <c r="X227" s="1"/>
      <c r="Y227" s="1" t="s">
        <v>767</v>
      </c>
      <c r="Z227" s="1" t="s">
        <v>625</v>
      </c>
      <c r="AA227" s="24">
        <v>11</v>
      </c>
      <c r="AB227" s="10" t="s">
        <v>768</v>
      </c>
      <c r="AC227" s="162"/>
      <c r="AD227" s="156">
        <v>138</v>
      </c>
      <c r="AE227" s="156">
        <v>600</v>
      </c>
      <c r="AF227" s="156">
        <v>900</v>
      </c>
      <c r="AG227" s="377">
        <f t="shared" si="31"/>
        <v>1638</v>
      </c>
      <c r="AH227" s="377" t="b">
        <f t="shared" si="28"/>
        <v>0</v>
      </c>
      <c r="AI227" s="139"/>
      <c r="AJ227" s="141"/>
      <c r="AK227" s="141"/>
      <c r="AL227" s="141"/>
      <c r="AM227" s="16">
        <f t="shared" si="29"/>
        <v>0</v>
      </c>
      <c r="AN227" s="162"/>
      <c r="AO227" s="141"/>
      <c r="AP227" s="141"/>
      <c r="AQ227" s="141"/>
      <c r="AR227" s="141"/>
      <c r="AS227" s="21" t="s">
        <v>310</v>
      </c>
      <c r="AT227" s="1">
        <f t="shared" si="32"/>
        <v>138</v>
      </c>
      <c r="AU227" s="31"/>
      <c r="AV227" s="31"/>
      <c r="AW227" s="31"/>
      <c r="AX227" s="16">
        <f t="shared" si="34"/>
        <v>9.1999999999999998E-2</v>
      </c>
      <c r="AY227" s="156">
        <v>138</v>
      </c>
      <c r="AZ227" s="76">
        <v>138</v>
      </c>
      <c r="BA227" s="31"/>
      <c r="BB227" s="31"/>
      <c r="BC227" s="31"/>
      <c r="BD227" s="16">
        <f t="shared" si="33"/>
        <v>1</v>
      </c>
      <c r="BE227" s="31"/>
      <c r="BF227" s="31"/>
      <c r="BG227" s="31"/>
      <c r="BH227" s="31"/>
      <c r="BI227" s="16"/>
      <c r="BJ227" s="16"/>
      <c r="BK227" s="31"/>
      <c r="BL227" s="31"/>
      <c r="BM227" s="31"/>
      <c r="BN227" s="31"/>
      <c r="BO227" s="16"/>
      <c r="BP227" s="31"/>
      <c r="BQ227" s="31"/>
      <c r="BR227" s="31"/>
      <c r="BS227" s="31"/>
      <c r="BT227" s="16"/>
      <c r="BU227" s="16"/>
      <c r="BV227" s="16"/>
      <c r="BW227" s="16"/>
      <c r="BX227" s="16"/>
      <c r="BY227" s="16"/>
      <c r="BZ227" s="16"/>
      <c r="CA227" s="1"/>
      <c r="CB227" s="1"/>
      <c r="CC227" s="1"/>
    </row>
    <row r="228" spans="1:81" s="52" customFormat="1" ht="63" x14ac:dyDescent="0.25">
      <c r="A228" s="1">
        <v>1</v>
      </c>
      <c r="B228" s="13" t="s">
        <v>1746</v>
      </c>
      <c r="C228" s="588"/>
      <c r="D228" s="589"/>
      <c r="E228" s="10" t="s">
        <v>759</v>
      </c>
      <c r="F228" s="13" t="s">
        <v>760</v>
      </c>
      <c r="G228" s="588"/>
      <c r="H228" s="589"/>
      <c r="I228" s="10" t="s">
        <v>789</v>
      </c>
      <c r="J228" s="13" t="s">
        <v>790</v>
      </c>
      <c r="K228" s="572"/>
      <c r="L228" s="573"/>
      <c r="M228" s="23"/>
      <c r="N228" s="23" t="s">
        <v>817</v>
      </c>
      <c r="O228" s="13" t="s">
        <v>818</v>
      </c>
      <c r="P228" s="1">
        <v>19</v>
      </c>
      <c r="Q228" s="1">
        <v>20</v>
      </c>
      <c r="R228" s="1"/>
      <c r="S228" s="13" t="s">
        <v>819</v>
      </c>
      <c r="T228" s="13" t="s">
        <v>820</v>
      </c>
      <c r="U228" s="133">
        <v>15</v>
      </c>
      <c r="V228" s="133">
        <v>20</v>
      </c>
      <c r="W228" s="1" t="s">
        <v>49</v>
      </c>
      <c r="X228" s="1"/>
      <c r="Y228" s="1" t="s">
        <v>767</v>
      </c>
      <c r="Z228" s="1" t="s">
        <v>625</v>
      </c>
      <c r="AA228" s="24">
        <v>11</v>
      </c>
      <c r="AB228" s="133" t="s">
        <v>1826</v>
      </c>
      <c r="AC228" s="162">
        <v>2</v>
      </c>
      <c r="AD228" s="156">
        <v>5</v>
      </c>
      <c r="AE228" s="156">
        <v>5</v>
      </c>
      <c r="AF228" s="156">
        <v>8</v>
      </c>
      <c r="AG228" s="377">
        <f t="shared" si="31"/>
        <v>20</v>
      </c>
      <c r="AH228" s="377" t="b">
        <f t="shared" si="28"/>
        <v>1</v>
      </c>
      <c r="AI228" s="324">
        <v>5</v>
      </c>
      <c r="AJ228" s="325">
        <v>5</v>
      </c>
      <c r="AK228" s="325">
        <v>5</v>
      </c>
      <c r="AL228" s="325">
        <v>5</v>
      </c>
      <c r="AM228" s="16">
        <f t="shared" si="29"/>
        <v>0.25</v>
      </c>
      <c r="AN228" s="162">
        <v>2</v>
      </c>
      <c r="AO228" s="322">
        <f>AI228</f>
        <v>5</v>
      </c>
      <c r="AP228" s="322">
        <f>AJ228</f>
        <v>5</v>
      </c>
      <c r="AQ228" s="322"/>
      <c r="AR228" s="322">
        <f>AL228</f>
        <v>5</v>
      </c>
      <c r="AS228" s="21">
        <v>1</v>
      </c>
      <c r="AT228" s="1">
        <f t="shared" si="32"/>
        <v>7</v>
      </c>
      <c r="AU228" s="31"/>
      <c r="AV228" s="31"/>
      <c r="AW228" s="31"/>
      <c r="AX228" s="16">
        <f t="shared" si="34"/>
        <v>0.35</v>
      </c>
      <c r="AY228" s="156">
        <v>5</v>
      </c>
      <c r="AZ228" s="76">
        <v>2</v>
      </c>
      <c r="BA228" s="31"/>
      <c r="BB228" s="31"/>
      <c r="BC228" s="31"/>
      <c r="BD228" s="16">
        <f t="shared" si="33"/>
        <v>0.4</v>
      </c>
      <c r="BE228" s="31"/>
      <c r="BF228" s="31"/>
      <c r="BG228" s="31"/>
      <c r="BH228" s="31"/>
      <c r="BI228" s="16"/>
      <c r="BJ228" s="16"/>
      <c r="BK228" s="31"/>
      <c r="BL228" s="31"/>
      <c r="BM228" s="31"/>
      <c r="BN228" s="31"/>
      <c r="BO228" s="16"/>
      <c r="BP228" s="31"/>
      <c r="BQ228" s="31"/>
      <c r="BR228" s="31"/>
      <c r="BS228" s="31"/>
      <c r="BT228" s="16"/>
      <c r="BU228" s="16"/>
      <c r="BV228" s="16"/>
      <c r="BW228" s="16"/>
      <c r="BX228" s="16"/>
      <c r="BY228" s="16"/>
      <c r="BZ228" s="16"/>
      <c r="CA228" s="1"/>
      <c r="CB228" s="1"/>
      <c r="CC228" s="1"/>
    </row>
    <row r="229" spans="1:81" s="52" customFormat="1" ht="44.25" customHeight="1" x14ac:dyDescent="0.25">
      <c r="A229" s="1">
        <v>1</v>
      </c>
      <c r="B229" s="13" t="s">
        <v>1746</v>
      </c>
      <c r="C229" s="588"/>
      <c r="D229" s="589"/>
      <c r="E229" s="10" t="s">
        <v>759</v>
      </c>
      <c r="F229" s="13" t="s">
        <v>760</v>
      </c>
      <c r="G229" s="588"/>
      <c r="H229" s="589"/>
      <c r="I229" s="10" t="s">
        <v>2017</v>
      </c>
      <c r="J229" s="13" t="s">
        <v>790</v>
      </c>
      <c r="K229" s="572"/>
      <c r="L229" s="573"/>
      <c r="M229" s="436"/>
      <c r="N229" s="23" t="s">
        <v>817</v>
      </c>
      <c r="O229" s="437"/>
      <c r="P229" s="438"/>
      <c r="Q229" s="438"/>
      <c r="R229" s="438"/>
      <c r="S229" s="439" t="s">
        <v>1999</v>
      </c>
      <c r="T229" s="437" t="s">
        <v>2016</v>
      </c>
      <c r="U229" s="440">
        <v>1</v>
      </c>
      <c r="V229" s="440">
        <v>45</v>
      </c>
      <c r="W229" s="438" t="s">
        <v>49</v>
      </c>
      <c r="X229" s="438"/>
      <c r="Y229" s="438"/>
      <c r="Z229" s="438"/>
      <c r="AA229" s="441"/>
      <c r="AB229" s="440" t="s">
        <v>768</v>
      </c>
      <c r="AC229" s="162"/>
      <c r="AD229" s="428">
        <v>11</v>
      </c>
      <c r="AE229" s="156"/>
      <c r="AF229" s="156"/>
      <c r="AG229" s="377"/>
      <c r="AH229" s="377"/>
      <c r="AI229" s="324">
        <v>5</v>
      </c>
      <c r="AJ229" s="325">
        <v>5</v>
      </c>
      <c r="AK229" s="325">
        <v>5</v>
      </c>
      <c r="AL229" s="325">
        <v>5</v>
      </c>
      <c r="AM229" s="16">
        <f t="shared" si="29"/>
        <v>0.1111111111111111</v>
      </c>
      <c r="AN229" s="162"/>
      <c r="AO229" s="322"/>
      <c r="AP229" s="322"/>
      <c r="AQ229" s="322"/>
      <c r="AR229" s="429"/>
      <c r="AS229" s="430"/>
      <c r="AT229" s="1">
        <f t="shared" si="32"/>
        <v>16</v>
      </c>
      <c r="AU229" s="31"/>
      <c r="AV229" s="31"/>
      <c r="AW229" s="31"/>
      <c r="AX229" s="16">
        <f t="shared" si="34"/>
        <v>0.35555555555555557</v>
      </c>
      <c r="AY229" s="428">
        <v>11</v>
      </c>
      <c r="AZ229" s="428">
        <v>11</v>
      </c>
      <c r="BA229" s="31"/>
      <c r="BB229" s="31"/>
      <c r="BC229" s="31"/>
      <c r="BD229" s="16">
        <f t="shared" si="33"/>
        <v>1</v>
      </c>
      <c r="BE229" s="31"/>
      <c r="BF229" s="31"/>
      <c r="BG229" s="31"/>
      <c r="BH229" s="31"/>
      <c r="BI229" s="16"/>
      <c r="BJ229" s="16"/>
      <c r="BK229" s="31"/>
      <c r="BL229" s="31"/>
      <c r="BM229" s="31"/>
      <c r="BN229" s="31"/>
      <c r="BO229" s="16"/>
      <c r="BP229" s="31"/>
      <c r="BQ229" s="31"/>
      <c r="BR229" s="31"/>
      <c r="BS229" s="31"/>
      <c r="BT229" s="16"/>
      <c r="BU229" s="16"/>
      <c r="BV229" s="16"/>
      <c r="BW229" s="16"/>
      <c r="BX229" s="16"/>
      <c r="BY229" s="16"/>
      <c r="BZ229" s="16"/>
      <c r="CA229" s="1"/>
      <c r="CB229" s="1"/>
      <c r="CC229" s="1"/>
    </row>
    <row r="230" spans="1:81" s="52" customFormat="1" ht="47.25" x14ac:dyDescent="0.25">
      <c r="A230" s="1">
        <v>1</v>
      </c>
      <c r="B230" s="13" t="s">
        <v>1746</v>
      </c>
      <c r="C230" s="588"/>
      <c r="D230" s="589"/>
      <c r="E230" s="10" t="s">
        <v>759</v>
      </c>
      <c r="F230" s="13" t="s">
        <v>760</v>
      </c>
      <c r="G230" s="588"/>
      <c r="H230" s="589"/>
      <c r="I230" s="10" t="s">
        <v>789</v>
      </c>
      <c r="J230" s="13" t="s">
        <v>790</v>
      </c>
      <c r="K230" s="572"/>
      <c r="L230" s="573"/>
      <c r="M230" s="23"/>
      <c r="N230" s="10" t="s">
        <v>821</v>
      </c>
      <c r="O230" s="13" t="s">
        <v>822</v>
      </c>
      <c r="P230" s="1">
        <v>140</v>
      </c>
      <c r="Q230" s="1">
        <v>250</v>
      </c>
      <c r="R230" s="1"/>
      <c r="S230" s="13" t="s">
        <v>821</v>
      </c>
      <c r="T230" s="13" t="s">
        <v>823</v>
      </c>
      <c r="U230" s="1">
        <v>140</v>
      </c>
      <c r="V230" s="10">
        <v>250</v>
      </c>
      <c r="W230" s="1" t="s">
        <v>49</v>
      </c>
      <c r="X230" s="1"/>
      <c r="Y230" s="1" t="s">
        <v>767</v>
      </c>
      <c r="Z230" s="1" t="s">
        <v>625</v>
      </c>
      <c r="AA230" s="24">
        <v>11</v>
      </c>
      <c r="AB230" s="10" t="s">
        <v>768</v>
      </c>
      <c r="AC230" s="162">
        <v>50</v>
      </c>
      <c r="AD230" s="108">
        <v>102</v>
      </c>
      <c r="AE230" s="156">
        <v>67</v>
      </c>
      <c r="AF230" s="156">
        <v>66</v>
      </c>
      <c r="AG230" s="377">
        <f t="shared" si="31"/>
        <v>285</v>
      </c>
      <c r="AH230" s="377" t="b">
        <f t="shared" si="28"/>
        <v>0</v>
      </c>
      <c r="AI230" s="139">
        <f>+AO230/P230</f>
        <v>5.7142857142857143E-3</v>
      </c>
      <c r="AJ230" s="142">
        <v>165</v>
      </c>
      <c r="AK230" s="142">
        <v>250</v>
      </c>
      <c r="AL230" s="142">
        <v>250</v>
      </c>
      <c r="AM230" s="16">
        <f t="shared" si="29"/>
        <v>1</v>
      </c>
      <c r="AN230" s="162">
        <v>50</v>
      </c>
      <c r="AO230" s="141">
        <f>40/50</f>
        <v>0.8</v>
      </c>
      <c r="AP230" s="182">
        <v>165</v>
      </c>
      <c r="AQ230" s="182"/>
      <c r="AR230" s="322">
        <f t="shared" ref="AR230:AR238" si="35">AL230</f>
        <v>250</v>
      </c>
      <c r="AS230" s="21">
        <v>1</v>
      </c>
      <c r="AT230" s="1">
        <f t="shared" si="32"/>
        <v>352</v>
      </c>
      <c r="AU230" s="31"/>
      <c r="AV230" s="31"/>
      <c r="AW230" s="31"/>
      <c r="AX230" s="16">
        <f t="shared" si="34"/>
        <v>1</v>
      </c>
      <c r="AY230" s="108">
        <v>102</v>
      </c>
      <c r="AZ230" s="76">
        <v>102</v>
      </c>
      <c r="BA230" s="31"/>
      <c r="BB230" s="31"/>
      <c r="BC230" s="31"/>
      <c r="BD230" s="16">
        <f t="shared" si="33"/>
        <v>1</v>
      </c>
      <c r="BE230" s="31"/>
      <c r="BF230" s="31"/>
      <c r="BG230" s="31"/>
      <c r="BH230" s="31"/>
      <c r="BI230" s="16"/>
      <c r="BJ230" s="16"/>
      <c r="BK230" s="31"/>
      <c r="BL230" s="31"/>
      <c r="BM230" s="31"/>
      <c r="BN230" s="31"/>
      <c r="BO230" s="16"/>
      <c r="BP230" s="31"/>
      <c r="BQ230" s="31"/>
      <c r="BR230" s="31"/>
      <c r="BS230" s="31"/>
      <c r="BT230" s="16"/>
      <c r="BU230" s="16"/>
      <c r="BV230" s="16"/>
      <c r="BW230" s="16"/>
      <c r="BX230" s="16"/>
      <c r="BY230" s="16"/>
      <c r="BZ230" s="16"/>
      <c r="CA230" s="1"/>
      <c r="CB230" s="1"/>
      <c r="CC230" s="1"/>
    </row>
    <row r="231" spans="1:81" s="52" customFormat="1" ht="78.75" x14ac:dyDescent="0.25">
      <c r="A231" s="1">
        <v>1</v>
      </c>
      <c r="B231" s="13" t="s">
        <v>1746</v>
      </c>
      <c r="C231" s="588"/>
      <c r="D231" s="589"/>
      <c r="E231" s="10" t="s">
        <v>759</v>
      </c>
      <c r="F231" s="13" t="s">
        <v>760</v>
      </c>
      <c r="G231" s="588"/>
      <c r="H231" s="589"/>
      <c r="I231" s="10" t="s">
        <v>789</v>
      </c>
      <c r="J231" s="13" t="s">
        <v>790</v>
      </c>
      <c r="K231" s="572"/>
      <c r="L231" s="573"/>
      <c r="M231" s="23"/>
      <c r="N231" s="10" t="s">
        <v>824</v>
      </c>
      <c r="O231" s="13" t="s">
        <v>825</v>
      </c>
      <c r="P231" s="10" t="s">
        <v>55</v>
      </c>
      <c r="Q231" s="10">
        <v>200</v>
      </c>
      <c r="R231" s="10"/>
      <c r="S231" s="13" t="s">
        <v>826</v>
      </c>
      <c r="T231" s="13" t="s">
        <v>827</v>
      </c>
      <c r="U231" s="10" t="s">
        <v>55</v>
      </c>
      <c r="V231" s="10">
        <v>200</v>
      </c>
      <c r="W231" s="10" t="s">
        <v>49</v>
      </c>
      <c r="X231" s="1"/>
      <c r="Y231" s="10" t="s">
        <v>767</v>
      </c>
      <c r="Z231" s="10" t="s">
        <v>625</v>
      </c>
      <c r="AA231" s="13">
        <v>11</v>
      </c>
      <c r="AB231" s="10" t="s">
        <v>768</v>
      </c>
      <c r="AC231" s="162">
        <v>200</v>
      </c>
      <c r="AD231" s="156">
        <v>15</v>
      </c>
      <c r="AE231" s="156"/>
      <c r="AF231" s="156"/>
      <c r="AG231" s="377">
        <f t="shared" si="31"/>
        <v>215</v>
      </c>
      <c r="AH231" s="377" t="b">
        <f t="shared" si="28"/>
        <v>0</v>
      </c>
      <c r="AI231" s="139">
        <v>0.2</v>
      </c>
      <c r="AJ231" s="68">
        <v>200</v>
      </c>
      <c r="AK231" s="43">
        <v>200</v>
      </c>
      <c r="AL231" s="68">
        <v>200</v>
      </c>
      <c r="AM231" s="16">
        <f t="shared" si="29"/>
        <v>1</v>
      </c>
      <c r="AN231" s="162">
        <v>200</v>
      </c>
      <c r="AO231" s="68">
        <v>39</v>
      </c>
      <c r="AP231" s="180">
        <v>200</v>
      </c>
      <c r="AQ231" s="180"/>
      <c r="AR231" s="322">
        <f t="shared" si="35"/>
        <v>200</v>
      </c>
      <c r="AS231" s="21">
        <f>IFERROR(+AR231/AN231,0)</f>
        <v>1</v>
      </c>
      <c r="AT231" s="1">
        <f t="shared" si="32"/>
        <v>200</v>
      </c>
      <c r="AU231" s="31"/>
      <c r="AV231" s="31"/>
      <c r="AW231" s="31"/>
      <c r="AX231" s="16">
        <f t="shared" si="34"/>
        <v>1</v>
      </c>
      <c r="AY231" s="156">
        <v>15</v>
      </c>
      <c r="AZ231" s="76">
        <v>0</v>
      </c>
      <c r="BA231" s="31"/>
      <c r="BB231" s="31"/>
      <c r="BC231" s="31"/>
      <c r="BD231" s="16">
        <f t="shared" si="33"/>
        <v>0</v>
      </c>
      <c r="BE231" s="31"/>
      <c r="BF231" s="31"/>
      <c r="BG231" s="31"/>
      <c r="BH231" s="31"/>
      <c r="BI231" s="16"/>
      <c r="BJ231" s="16"/>
      <c r="BK231" s="31"/>
      <c r="BL231" s="31"/>
      <c r="BM231" s="31"/>
      <c r="BN231" s="31"/>
      <c r="BO231" s="16"/>
      <c r="BP231" s="31"/>
      <c r="BQ231" s="31"/>
      <c r="BR231" s="31"/>
      <c r="BS231" s="31"/>
      <c r="BT231" s="16"/>
      <c r="BU231" s="16"/>
      <c r="BV231" s="16"/>
      <c r="BW231" s="16"/>
      <c r="BX231" s="16"/>
      <c r="BY231" s="16"/>
      <c r="BZ231" s="16"/>
      <c r="CA231" s="1"/>
      <c r="CB231" s="1"/>
      <c r="CC231" s="1"/>
    </row>
    <row r="232" spans="1:81" s="52" customFormat="1" ht="135" customHeight="1" x14ac:dyDescent="0.25">
      <c r="A232" s="1">
        <v>1</v>
      </c>
      <c r="B232" s="13" t="s">
        <v>1746</v>
      </c>
      <c r="C232" s="588"/>
      <c r="D232" s="589"/>
      <c r="E232" s="10" t="s">
        <v>759</v>
      </c>
      <c r="F232" s="13" t="s">
        <v>760</v>
      </c>
      <c r="G232" s="588"/>
      <c r="H232" s="589"/>
      <c r="I232" s="10" t="s">
        <v>789</v>
      </c>
      <c r="J232" s="13" t="s">
        <v>790</v>
      </c>
      <c r="K232" s="568"/>
      <c r="L232" s="570"/>
      <c r="M232" s="23"/>
      <c r="N232" s="10" t="s">
        <v>828</v>
      </c>
      <c r="O232" s="13" t="s">
        <v>829</v>
      </c>
      <c r="P232" s="1" t="s">
        <v>55</v>
      </c>
      <c r="Q232" s="1">
        <v>4500</v>
      </c>
      <c r="R232" s="1"/>
      <c r="S232" s="13" t="s">
        <v>830</v>
      </c>
      <c r="T232" s="13" t="s">
        <v>831</v>
      </c>
      <c r="U232" s="10" t="s">
        <v>55</v>
      </c>
      <c r="V232" s="10">
        <v>4500</v>
      </c>
      <c r="W232" s="1" t="s">
        <v>49</v>
      </c>
      <c r="X232" s="1"/>
      <c r="Y232" s="1" t="s">
        <v>767</v>
      </c>
      <c r="Z232" s="1" t="s">
        <v>625</v>
      </c>
      <c r="AA232" s="24">
        <v>11</v>
      </c>
      <c r="AB232" s="10" t="s">
        <v>768</v>
      </c>
      <c r="AC232" s="162">
        <v>4500</v>
      </c>
      <c r="AD232" s="156"/>
      <c r="AE232" s="156"/>
      <c r="AF232" s="156"/>
      <c r="AG232" s="377">
        <f t="shared" si="31"/>
        <v>4500</v>
      </c>
      <c r="AH232" s="377" t="b">
        <f t="shared" si="28"/>
        <v>1</v>
      </c>
      <c r="AI232" s="139">
        <f>+AO232/V232</f>
        <v>1.040888888888889</v>
      </c>
      <c r="AJ232" s="71">
        <v>4500</v>
      </c>
      <c r="AK232" s="367">
        <v>4500</v>
      </c>
      <c r="AL232" s="71">
        <v>4500</v>
      </c>
      <c r="AM232" s="16">
        <f t="shared" si="29"/>
        <v>1</v>
      </c>
      <c r="AN232" s="162">
        <v>4500</v>
      </c>
      <c r="AO232" s="71">
        <v>4684</v>
      </c>
      <c r="AP232" s="183">
        <v>4500</v>
      </c>
      <c r="AQ232" s="183"/>
      <c r="AR232" s="322">
        <f t="shared" si="35"/>
        <v>4500</v>
      </c>
      <c r="AS232" s="21">
        <f>IFERROR(+AR232/AN232,0)</f>
        <v>1</v>
      </c>
      <c r="AT232" s="1">
        <f t="shared" si="32"/>
        <v>4500</v>
      </c>
      <c r="AU232" s="31"/>
      <c r="AV232" s="31"/>
      <c r="AW232" s="31"/>
      <c r="AX232" s="16">
        <f t="shared" si="34"/>
        <v>1</v>
      </c>
      <c r="AY232" s="156" t="s">
        <v>310</v>
      </c>
      <c r="AZ232" s="76"/>
      <c r="BA232" s="31"/>
      <c r="BB232" s="31"/>
      <c r="BC232" s="31"/>
      <c r="BD232" s="16" t="str">
        <f t="shared" si="33"/>
        <v>NP</v>
      </c>
      <c r="BE232" s="31"/>
      <c r="BF232" s="31"/>
      <c r="BG232" s="31"/>
      <c r="BH232" s="31"/>
      <c r="BI232" s="16"/>
      <c r="BJ232" s="16"/>
      <c r="BK232" s="31"/>
      <c r="BL232" s="31"/>
      <c r="BM232" s="31"/>
      <c r="BN232" s="31"/>
      <c r="BO232" s="16"/>
      <c r="BP232" s="31"/>
      <c r="BQ232" s="31"/>
      <c r="BR232" s="31"/>
      <c r="BS232" s="31"/>
      <c r="BT232" s="16"/>
      <c r="BU232" s="16"/>
      <c r="BV232" s="16"/>
      <c r="BW232" s="16"/>
      <c r="BX232" s="16"/>
      <c r="BY232" s="16"/>
      <c r="BZ232" s="16"/>
      <c r="CA232" s="1"/>
      <c r="CB232" s="1"/>
      <c r="CC232" s="1"/>
    </row>
    <row r="233" spans="1:81" s="52" customFormat="1" ht="136.15" customHeight="1" x14ac:dyDescent="0.25">
      <c r="A233" s="1">
        <v>2</v>
      </c>
      <c r="B233" s="13" t="s">
        <v>1747</v>
      </c>
      <c r="C233" s="567">
        <f>+AVERAGEIF(B14:B567,B300,AM14:AM567)</f>
        <v>0.15129017749188481</v>
      </c>
      <c r="D233" s="569">
        <f>+AVERAGEIF(B14:B567,B237,AS14:AS567)</f>
        <v>0.77936182336182347</v>
      </c>
      <c r="E233" s="10" t="s">
        <v>832</v>
      </c>
      <c r="F233" s="13" t="s">
        <v>833</v>
      </c>
      <c r="G233" s="588">
        <f>+AVERAGEIF(F14:F567,F233,AX14:AAX567)</f>
        <v>0.58333333333333337</v>
      </c>
      <c r="H233" s="589">
        <f>+AVERAGEIF(F14:F567,F233,BD14:BD567)</f>
        <v>0.4916666666666667</v>
      </c>
      <c r="I233" s="10" t="s">
        <v>834</v>
      </c>
      <c r="J233" s="13" t="s">
        <v>835</v>
      </c>
      <c r="K233" s="567">
        <f>AVERAGE(AX233:AX235)</f>
        <v>0.64444444444444449</v>
      </c>
      <c r="L233" s="569">
        <f>AVERAGE(BD233:BD235)</f>
        <v>0.48888888888888893</v>
      </c>
      <c r="M233" s="23"/>
      <c r="N233" s="13" t="s">
        <v>836</v>
      </c>
      <c r="O233" s="13" t="s">
        <v>837</v>
      </c>
      <c r="P233" s="1" t="s">
        <v>838</v>
      </c>
      <c r="Q233" s="10" t="s">
        <v>839</v>
      </c>
      <c r="R233" s="13"/>
      <c r="S233" s="13" t="s">
        <v>840</v>
      </c>
      <c r="T233" s="13" t="s">
        <v>841</v>
      </c>
      <c r="U233" s="1" t="s">
        <v>55</v>
      </c>
      <c r="V233" s="1">
        <v>60</v>
      </c>
      <c r="W233" s="1" t="s">
        <v>49</v>
      </c>
      <c r="X233" s="10" t="s">
        <v>842</v>
      </c>
      <c r="Y233" s="34" t="s">
        <v>843</v>
      </c>
      <c r="Z233" s="1">
        <v>24</v>
      </c>
      <c r="AA233" s="13" t="s">
        <v>844</v>
      </c>
      <c r="AB233" s="42" t="s">
        <v>1754</v>
      </c>
      <c r="AC233" s="372">
        <v>10</v>
      </c>
      <c r="AD233" s="156">
        <v>15</v>
      </c>
      <c r="AE233" s="371">
        <v>15</v>
      </c>
      <c r="AF233" s="371">
        <v>19</v>
      </c>
      <c r="AG233" s="377">
        <f t="shared" si="31"/>
        <v>59</v>
      </c>
      <c r="AH233" s="377" t="b">
        <f t="shared" si="28"/>
        <v>0</v>
      </c>
      <c r="AI233" s="76">
        <f>+AO233</f>
        <v>0</v>
      </c>
      <c r="AJ233" s="76">
        <v>9</v>
      </c>
      <c r="AK233" s="1">
        <v>11</v>
      </c>
      <c r="AL233" s="76">
        <v>11</v>
      </c>
      <c r="AM233" s="16">
        <f t="shared" si="29"/>
        <v>0.18333333333333332</v>
      </c>
      <c r="AN233" s="162">
        <v>10</v>
      </c>
      <c r="AO233" s="75">
        <v>0</v>
      </c>
      <c r="AP233" s="76">
        <v>9</v>
      </c>
      <c r="AQ233" s="76"/>
      <c r="AR233" s="76">
        <f t="shared" si="35"/>
        <v>11</v>
      </c>
      <c r="AS233" s="21">
        <v>1</v>
      </c>
      <c r="AT233" s="1">
        <f t="shared" si="32"/>
        <v>18</v>
      </c>
      <c r="AU233" s="31"/>
      <c r="AV233" s="31"/>
      <c r="AW233" s="31"/>
      <c r="AX233" s="16">
        <f t="shared" si="34"/>
        <v>0.3</v>
      </c>
      <c r="AY233" s="156">
        <v>15</v>
      </c>
      <c r="AZ233" s="76">
        <v>7</v>
      </c>
      <c r="BA233" s="31"/>
      <c r="BB233" s="31"/>
      <c r="BC233" s="31"/>
      <c r="BD233" s="16">
        <f t="shared" si="33"/>
        <v>0.46666666666666667</v>
      </c>
      <c r="BE233" s="31"/>
      <c r="BF233" s="31"/>
      <c r="BG233" s="31"/>
      <c r="BH233" s="31"/>
      <c r="BI233" s="16"/>
      <c r="BJ233" s="16"/>
      <c r="BK233" s="31"/>
      <c r="BL233" s="31"/>
      <c r="BM233" s="31"/>
      <c r="BN233" s="31"/>
      <c r="BO233" s="16"/>
      <c r="BP233" s="31"/>
      <c r="BQ233" s="31"/>
      <c r="BR233" s="31"/>
      <c r="BS233" s="31"/>
      <c r="BT233" s="16"/>
      <c r="BU233" s="16"/>
      <c r="BV233" s="16"/>
      <c r="BW233" s="16"/>
      <c r="BX233" s="16"/>
      <c r="BY233" s="16"/>
      <c r="BZ233" s="16"/>
      <c r="CA233" s="1"/>
      <c r="CB233" s="1"/>
      <c r="CC233" s="1"/>
    </row>
    <row r="234" spans="1:81" s="52" customFormat="1" ht="130.9" customHeight="1" x14ac:dyDescent="0.25">
      <c r="A234" s="1">
        <v>2</v>
      </c>
      <c r="B234" s="13" t="s">
        <v>1747</v>
      </c>
      <c r="C234" s="572"/>
      <c r="D234" s="573"/>
      <c r="E234" s="10" t="s">
        <v>832</v>
      </c>
      <c r="F234" s="13" t="s">
        <v>833</v>
      </c>
      <c r="G234" s="588"/>
      <c r="H234" s="589"/>
      <c r="I234" s="10" t="s">
        <v>834</v>
      </c>
      <c r="J234" s="13" t="s">
        <v>835</v>
      </c>
      <c r="K234" s="572"/>
      <c r="L234" s="573"/>
      <c r="M234" s="23"/>
      <c r="N234" s="13" t="s">
        <v>836</v>
      </c>
      <c r="O234" s="13" t="s">
        <v>837</v>
      </c>
      <c r="P234" s="1" t="s">
        <v>838</v>
      </c>
      <c r="Q234" s="10" t="s">
        <v>839</v>
      </c>
      <c r="R234" s="13"/>
      <c r="S234" s="13" t="s">
        <v>845</v>
      </c>
      <c r="T234" s="13" t="s">
        <v>846</v>
      </c>
      <c r="U234" s="1" t="s">
        <v>55</v>
      </c>
      <c r="V234" s="1">
        <v>5</v>
      </c>
      <c r="W234" s="1" t="s">
        <v>49</v>
      </c>
      <c r="X234" s="10" t="s">
        <v>847</v>
      </c>
      <c r="Y234" s="34" t="s">
        <v>843</v>
      </c>
      <c r="Z234" s="1">
        <v>24</v>
      </c>
      <c r="AA234" s="13" t="s">
        <v>844</v>
      </c>
      <c r="AB234" s="42" t="s">
        <v>1754</v>
      </c>
      <c r="AC234" s="372">
        <v>4</v>
      </c>
      <c r="AD234" s="156">
        <v>1</v>
      </c>
      <c r="AE234" s="156"/>
      <c r="AF234" s="156"/>
      <c r="AG234" s="377">
        <f t="shared" si="31"/>
        <v>5</v>
      </c>
      <c r="AH234" s="377" t="b">
        <f t="shared" si="28"/>
        <v>1</v>
      </c>
      <c r="AI234" s="76">
        <f>+AO234</f>
        <v>2</v>
      </c>
      <c r="AJ234" s="76">
        <v>3</v>
      </c>
      <c r="AK234" s="1">
        <v>4</v>
      </c>
      <c r="AL234" s="76">
        <v>4</v>
      </c>
      <c r="AM234" s="16">
        <f t="shared" si="29"/>
        <v>0.8</v>
      </c>
      <c r="AN234" s="162">
        <v>2</v>
      </c>
      <c r="AO234" s="75">
        <v>2</v>
      </c>
      <c r="AP234" s="76">
        <v>2</v>
      </c>
      <c r="AQ234" s="76"/>
      <c r="AR234" s="76">
        <f t="shared" si="35"/>
        <v>4</v>
      </c>
      <c r="AS234" s="21">
        <v>1</v>
      </c>
      <c r="AT234" s="1">
        <f t="shared" si="32"/>
        <v>4</v>
      </c>
      <c r="AU234" s="31"/>
      <c r="AV234" s="31"/>
      <c r="AW234" s="31"/>
      <c r="AX234" s="16">
        <f t="shared" si="34"/>
        <v>0.8</v>
      </c>
      <c r="AY234" s="156">
        <v>1</v>
      </c>
      <c r="AZ234" s="76">
        <v>0</v>
      </c>
      <c r="BA234" s="31"/>
      <c r="BB234" s="31"/>
      <c r="BC234" s="31"/>
      <c r="BD234" s="16">
        <f t="shared" si="33"/>
        <v>0</v>
      </c>
      <c r="BE234" s="31"/>
      <c r="BF234" s="31"/>
      <c r="BG234" s="31"/>
      <c r="BH234" s="31"/>
      <c r="BI234" s="16"/>
      <c r="BJ234" s="16"/>
      <c r="BK234" s="31"/>
      <c r="BL234" s="31"/>
      <c r="BM234" s="31"/>
      <c r="BN234" s="31"/>
      <c r="BO234" s="16"/>
      <c r="BP234" s="31"/>
      <c r="BQ234" s="31"/>
      <c r="BR234" s="31"/>
      <c r="BS234" s="31"/>
      <c r="BT234" s="16"/>
      <c r="BU234" s="16"/>
      <c r="BV234" s="16"/>
      <c r="BW234" s="16"/>
      <c r="BX234" s="16"/>
      <c r="BY234" s="16"/>
      <c r="BZ234" s="16"/>
      <c r="CA234" s="1"/>
      <c r="CB234" s="1"/>
      <c r="CC234" s="1"/>
    </row>
    <row r="235" spans="1:81" s="52" customFormat="1" ht="156.6" customHeight="1" x14ac:dyDescent="0.25">
      <c r="A235" s="1">
        <v>2</v>
      </c>
      <c r="B235" s="13" t="s">
        <v>1747</v>
      </c>
      <c r="C235" s="572"/>
      <c r="D235" s="573"/>
      <c r="E235" s="10" t="s">
        <v>832</v>
      </c>
      <c r="F235" s="13" t="s">
        <v>833</v>
      </c>
      <c r="G235" s="588"/>
      <c r="H235" s="589"/>
      <c r="I235" s="10" t="s">
        <v>834</v>
      </c>
      <c r="J235" s="13" t="s">
        <v>835</v>
      </c>
      <c r="K235" s="568"/>
      <c r="L235" s="570"/>
      <c r="M235" s="23"/>
      <c r="N235" s="13" t="s">
        <v>836</v>
      </c>
      <c r="O235" s="13" t="s">
        <v>837</v>
      </c>
      <c r="P235" s="1" t="s">
        <v>838</v>
      </c>
      <c r="Q235" s="10" t="s">
        <v>839</v>
      </c>
      <c r="R235" s="13"/>
      <c r="S235" s="13" t="s">
        <v>848</v>
      </c>
      <c r="T235" s="13" t="s">
        <v>849</v>
      </c>
      <c r="U235" s="1" t="s">
        <v>55</v>
      </c>
      <c r="V235" s="1">
        <v>12</v>
      </c>
      <c r="W235" s="1" t="s">
        <v>49</v>
      </c>
      <c r="X235" s="10" t="s">
        <v>850</v>
      </c>
      <c r="Y235" s="34" t="s">
        <v>843</v>
      </c>
      <c r="Z235" s="1">
        <v>24</v>
      </c>
      <c r="AA235" s="13" t="s">
        <v>844</v>
      </c>
      <c r="AB235" s="42" t="s">
        <v>1754</v>
      </c>
      <c r="AC235" s="162">
        <v>5</v>
      </c>
      <c r="AD235" s="156">
        <v>6</v>
      </c>
      <c r="AE235" s="156">
        <v>1</v>
      </c>
      <c r="AF235" s="156">
        <v>1</v>
      </c>
      <c r="AG235" s="377">
        <f t="shared" si="31"/>
        <v>13</v>
      </c>
      <c r="AH235" s="377" t="b">
        <f t="shared" si="28"/>
        <v>0</v>
      </c>
      <c r="AI235" s="76">
        <f>+AO235</f>
        <v>0</v>
      </c>
      <c r="AJ235" s="76">
        <v>0</v>
      </c>
      <c r="AK235" s="1">
        <v>4</v>
      </c>
      <c r="AL235" s="76">
        <v>4</v>
      </c>
      <c r="AM235" s="16">
        <f t="shared" si="29"/>
        <v>0.33333333333333331</v>
      </c>
      <c r="AN235" s="162">
        <v>5</v>
      </c>
      <c r="AO235" s="75">
        <v>0</v>
      </c>
      <c r="AP235" s="76">
        <v>0</v>
      </c>
      <c r="AQ235" s="76"/>
      <c r="AR235" s="76">
        <f t="shared" si="35"/>
        <v>4</v>
      </c>
      <c r="AS235" s="21">
        <f>IFERROR(+AR235/AN235,0)</f>
        <v>0.8</v>
      </c>
      <c r="AT235" s="1">
        <f t="shared" si="32"/>
        <v>10</v>
      </c>
      <c r="AU235" s="31"/>
      <c r="AV235" s="31"/>
      <c r="AW235" s="31"/>
      <c r="AX235" s="16">
        <f t="shared" si="34"/>
        <v>0.83333333333333337</v>
      </c>
      <c r="AY235" s="156">
        <v>6</v>
      </c>
      <c r="AZ235" s="76">
        <v>6</v>
      </c>
      <c r="BA235" s="31"/>
      <c r="BB235" s="31"/>
      <c r="BC235" s="31"/>
      <c r="BD235" s="16">
        <f t="shared" si="33"/>
        <v>1</v>
      </c>
      <c r="BE235" s="31"/>
      <c r="BF235" s="31"/>
      <c r="BG235" s="31"/>
      <c r="BH235" s="31"/>
      <c r="BI235" s="16"/>
      <c r="BJ235" s="16"/>
      <c r="BK235" s="31"/>
      <c r="BL235" s="31"/>
      <c r="BM235" s="31"/>
      <c r="BN235" s="31"/>
      <c r="BO235" s="16"/>
      <c r="BP235" s="31"/>
      <c r="BQ235" s="31"/>
      <c r="BR235" s="31"/>
      <c r="BS235" s="31"/>
      <c r="BT235" s="16"/>
      <c r="BU235" s="16"/>
      <c r="BV235" s="16"/>
      <c r="BW235" s="16"/>
      <c r="BX235" s="16"/>
      <c r="BY235" s="16"/>
      <c r="BZ235" s="16"/>
      <c r="CA235" s="1"/>
      <c r="CB235" s="1"/>
      <c r="CC235" s="1"/>
    </row>
    <row r="236" spans="1:81" s="52" customFormat="1" ht="138" customHeight="1" x14ac:dyDescent="0.25">
      <c r="A236" s="1">
        <v>2</v>
      </c>
      <c r="B236" s="13" t="s">
        <v>1747</v>
      </c>
      <c r="C236" s="572"/>
      <c r="D236" s="573"/>
      <c r="E236" s="10" t="s">
        <v>832</v>
      </c>
      <c r="F236" s="13" t="s">
        <v>833</v>
      </c>
      <c r="G236" s="588"/>
      <c r="H236" s="589"/>
      <c r="I236" s="10" t="s">
        <v>851</v>
      </c>
      <c r="J236" s="13" t="s">
        <v>852</v>
      </c>
      <c r="K236" s="143">
        <f>AVERAGE(AX236)</f>
        <v>0.4</v>
      </c>
      <c r="L236" s="144">
        <f>AVERAGE(BD236)</f>
        <v>0.5</v>
      </c>
      <c r="M236" s="23"/>
      <c r="N236" s="13" t="s">
        <v>836</v>
      </c>
      <c r="O236" s="13" t="s">
        <v>853</v>
      </c>
      <c r="P236" s="1" t="s">
        <v>55</v>
      </c>
      <c r="Q236" s="1" t="s">
        <v>854</v>
      </c>
      <c r="R236" s="24"/>
      <c r="S236" s="13" t="s">
        <v>1941</v>
      </c>
      <c r="T236" s="13" t="s">
        <v>855</v>
      </c>
      <c r="U236" s="1" t="s">
        <v>55</v>
      </c>
      <c r="V236" s="1">
        <v>10</v>
      </c>
      <c r="W236" s="1" t="s">
        <v>49</v>
      </c>
      <c r="X236" s="10" t="s">
        <v>856</v>
      </c>
      <c r="Y236" s="1" t="s">
        <v>843</v>
      </c>
      <c r="Z236" s="1">
        <v>24</v>
      </c>
      <c r="AA236" s="13" t="s">
        <v>857</v>
      </c>
      <c r="AB236" s="42" t="s">
        <v>1754</v>
      </c>
      <c r="AC236" s="372">
        <v>2</v>
      </c>
      <c r="AD236" s="156">
        <v>2</v>
      </c>
      <c r="AE236" s="371">
        <v>2</v>
      </c>
      <c r="AF236" s="371">
        <v>3</v>
      </c>
      <c r="AG236" s="377">
        <f t="shared" si="31"/>
        <v>9</v>
      </c>
      <c r="AH236" s="377" t="b">
        <f t="shared" si="28"/>
        <v>0</v>
      </c>
      <c r="AI236" s="76"/>
      <c r="AJ236" s="76">
        <v>1</v>
      </c>
      <c r="AK236" s="1">
        <v>3</v>
      </c>
      <c r="AL236" s="76">
        <v>3</v>
      </c>
      <c r="AM236" s="16">
        <f t="shared" si="29"/>
        <v>0.3</v>
      </c>
      <c r="AN236" s="162">
        <v>2</v>
      </c>
      <c r="AO236" s="75"/>
      <c r="AP236" s="76">
        <v>1</v>
      </c>
      <c r="AQ236" s="76"/>
      <c r="AR236" s="76">
        <f t="shared" si="35"/>
        <v>3</v>
      </c>
      <c r="AS236" s="21">
        <v>1</v>
      </c>
      <c r="AT236" s="1">
        <f t="shared" si="32"/>
        <v>4</v>
      </c>
      <c r="AU236" s="31"/>
      <c r="AV236" s="31"/>
      <c r="AW236" s="31"/>
      <c r="AX236" s="16">
        <f t="shared" si="34"/>
        <v>0.4</v>
      </c>
      <c r="AY236" s="156">
        <v>2</v>
      </c>
      <c r="AZ236" s="76">
        <v>1</v>
      </c>
      <c r="BA236" s="31"/>
      <c r="BB236" s="31"/>
      <c r="BC236" s="31"/>
      <c r="BD236" s="16">
        <f t="shared" si="33"/>
        <v>0.5</v>
      </c>
      <c r="BE236" s="31"/>
      <c r="BF236" s="31"/>
      <c r="BG236" s="31"/>
      <c r="BH236" s="31"/>
      <c r="BI236" s="16"/>
      <c r="BJ236" s="16"/>
      <c r="BK236" s="31"/>
      <c r="BL236" s="31"/>
      <c r="BM236" s="31"/>
      <c r="BN236" s="31"/>
      <c r="BO236" s="16"/>
      <c r="BP236" s="31"/>
      <c r="BQ236" s="31"/>
      <c r="BR236" s="31"/>
      <c r="BS236" s="31"/>
      <c r="BT236" s="16"/>
      <c r="BU236" s="16"/>
      <c r="BV236" s="16"/>
      <c r="BW236" s="16"/>
      <c r="BX236" s="16"/>
      <c r="BY236" s="16"/>
      <c r="BZ236" s="16"/>
      <c r="CA236" s="1"/>
      <c r="CB236" s="1"/>
      <c r="CC236" s="1"/>
    </row>
    <row r="237" spans="1:81" s="52" customFormat="1" ht="63" customHeight="1" x14ac:dyDescent="0.25">
      <c r="A237" s="1">
        <v>2</v>
      </c>
      <c r="B237" s="309" t="s">
        <v>1747</v>
      </c>
      <c r="C237" s="572"/>
      <c r="D237" s="573"/>
      <c r="E237" s="10" t="s">
        <v>858</v>
      </c>
      <c r="F237" s="13" t="s">
        <v>859</v>
      </c>
      <c r="G237" s="588">
        <f>+AVERAGEIF(F14:F567,F237,AX14:AX567)</f>
        <v>0.31020408163265312</v>
      </c>
      <c r="H237" s="589">
        <f>+AVERAGEIF(F14:F567,F237,BD14:BD567)</f>
        <v>0.2</v>
      </c>
      <c r="I237" s="10" t="s">
        <v>860</v>
      </c>
      <c r="J237" s="13" t="s">
        <v>861</v>
      </c>
      <c r="K237" s="567">
        <f>AVERAGE(AX237:AX241)</f>
        <v>0.43428571428571433</v>
      </c>
      <c r="L237" s="569">
        <f>AVERAGE(BD237:BD241)</f>
        <v>0.25</v>
      </c>
      <c r="M237" s="23"/>
      <c r="N237" s="23" t="s">
        <v>862</v>
      </c>
      <c r="O237" s="13" t="s">
        <v>862</v>
      </c>
      <c r="P237" s="10" t="s">
        <v>863</v>
      </c>
      <c r="Q237" s="10" t="s">
        <v>864</v>
      </c>
      <c r="R237" s="13"/>
      <c r="S237" s="13" t="s">
        <v>865</v>
      </c>
      <c r="T237" s="13" t="s">
        <v>865</v>
      </c>
      <c r="U237" s="10">
        <v>7</v>
      </c>
      <c r="V237" s="10">
        <v>14</v>
      </c>
      <c r="W237" s="10" t="s">
        <v>49</v>
      </c>
      <c r="X237" s="10"/>
      <c r="Y237" s="10"/>
      <c r="Z237" s="10"/>
      <c r="AA237" s="24"/>
      <c r="AB237" s="10" t="s">
        <v>1773</v>
      </c>
      <c r="AC237" s="162">
        <v>1</v>
      </c>
      <c r="AD237" s="156">
        <v>3</v>
      </c>
      <c r="AE237" s="156">
        <v>5</v>
      </c>
      <c r="AF237" s="156">
        <v>5</v>
      </c>
      <c r="AG237" s="377">
        <f t="shared" si="31"/>
        <v>14</v>
      </c>
      <c r="AH237" s="377" t="b">
        <f t="shared" si="28"/>
        <v>1</v>
      </c>
      <c r="AI237" s="19">
        <v>0</v>
      </c>
      <c r="AJ237" s="19">
        <v>1</v>
      </c>
      <c r="AK237" s="19">
        <v>1</v>
      </c>
      <c r="AL237" s="19">
        <v>1</v>
      </c>
      <c r="AM237" s="16">
        <f t="shared" si="29"/>
        <v>7.1428571428571425E-2</v>
      </c>
      <c r="AN237" s="162">
        <v>1</v>
      </c>
      <c r="AO237" s="10">
        <v>0</v>
      </c>
      <c r="AP237" s="19">
        <v>1</v>
      </c>
      <c r="AQ237" s="19"/>
      <c r="AR237" s="19">
        <f t="shared" si="35"/>
        <v>1</v>
      </c>
      <c r="AS237" s="21">
        <f>IFERROR(+AR237/AN237,0)</f>
        <v>1</v>
      </c>
      <c r="AT237" s="1">
        <f t="shared" si="32"/>
        <v>1</v>
      </c>
      <c r="AU237" s="31"/>
      <c r="AV237" s="31"/>
      <c r="AW237" s="31"/>
      <c r="AX237" s="16">
        <f t="shared" si="34"/>
        <v>7.1428571428571425E-2</v>
      </c>
      <c r="AY237" s="156">
        <v>3</v>
      </c>
      <c r="AZ237" s="76">
        <v>0</v>
      </c>
      <c r="BA237" s="31"/>
      <c r="BB237" s="31"/>
      <c r="BC237" s="31"/>
      <c r="BD237" s="16">
        <f t="shared" si="33"/>
        <v>0</v>
      </c>
      <c r="BE237" s="31"/>
      <c r="BF237" s="31"/>
      <c r="BG237" s="31"/>
      <c r="BH237" s="31"/>
      <c r="BI237" s="16"/>
      <c r="BJ237" s="16"/>
      <c r="BK237" s="31"/>
      <c r="BL237" s="31"/>
      <c r="BM237" s="31"/>
      <c r="BN237" s="31"/>
      <c r="BO237" s="16"/>
      <c r="BP237" s="31"/>
      <c r="BQ237" s="31"/>
      <c r="BR237" s="31"/>
      <c r="BS237" s="31"/>
      <c r="BT237" s="16"/>
      <c r="BU237" s="16"/>
      <c r="BV237" s="16"/>
      <c r="BW237" s="16"/>
      <c r="BX237" s="16"/>
      <c r="BY237" s="16"/>
      <c r="BZ237" s="16"/>
      <c r="CA237" s="1"/>
      <c r="CB237" s="1"/>
      <c r="CC237" s="1"/>
    </row>
    <row r="238" spans="1:81" s="52" customFormat="1" ht="63" customHeight="1" x14ac:dyDescent="0.25">
      <c r="A238" s="1">
        <v>2</v>
      </c>
      <c r="B238" s="309" t="s">
        <v>1747</v>
      </c>
      <c r="C238" s="572"/>
      <c r="D238" s="573"/>
      <c r="E238" s="10" t="s">
        <v>858</v>
      </c>
      <c r="F238" s="13" t="s">
        <v>859</v>
      </c>
      <c r="G238" s="588"/>
      <c r="H238" s="589"/>
      <c r="I238" s="10" t="s">
        <v>860</v>
      </c>
      <c r="J238" s="13" t="s">
        <v>861</v>
      </c>
      <c r="K238" s="572"/>
      <c r="L238" s="573"/>
      <c r="M238" s="23"/>
      <c r="N238" s="23" t="s">
        <v>862</v>
      </c>
      <c r="O238" s="13" t="s">
        <v>862</v>
      </c>
      <c r="P238" s="10" t="s">
        <v>863</v>
      </c>
      <c r="Q238" s="10" t="s">
        <v>864</v>
      </c>
      <c r="R238" s="13"/>
      <c r="S238" s="13" t="s">
        <v>866</v>
      </c>
      <c r="T238" s="13" t="s">
        <v>866</v>
      </c>
      <c r="U238" s="10">
        <v>2</v>
      </c>
      <c r="V238" s="10">
        <v>10</v>
      </c>
      <c r="W238" s="19" t="s">
        <v>49</v>
      </c>
      <c r="X238" s="10"/>
      <c r="Y238" s="10"/>
      <c r="Z238" s="10"/>
      <c r="AA238" s="24"/>
      <c r="AB238" s="10" t="s">
        <v>1773</v>
      </c>
      <c r="AC238" s="162">
        <v>1</v>
      </c>
      <c r="AD238" s="156">
        <v>2</v>
      </c>
      <c r="AE238" s="156">
        <v>3</v>
      </c>
      <c r="AF238" s="156">
        <v>4</v>
      </c>
      <c r="AG238" s="377">
        <f t="shared" si="31"/>
        <v>10</v>
      </c>
      <c r="AH238" s="377" t="b">
        <f t="shared" si="28"/>
        <v>1</v>
      </c>
      <c r="AI238" s="19"/>
      <c r="AJ238" s="19"/>
      <c r="AK238" s="19">
        <v>1</v>
      </c>
      <c r="AL238" s="19">
        <v>1</v>
      </c>
      <c r="AM238" s="16">
        <f t="shared" si="29"/>
        <v>0.1</v>
      </c>
      <c r="AN238" s="162">
        <v>1</v>
      </c>
      <c r="AO238" s="19"/>
      <c r="AP238" s="308"/>
      <c r="AQ238" s="308"/>
      <c r="AR238" s="19">
        <f t="shared" si="35"/>
        <v>1</v>
      </c>
      <c r="AS238" s="21">
        <f>IFERROR(+AR238/AN238,0)</f>
        <v>1</v>
      </c>
      <c r="AT238" s="1">
        <f t="shared" si="32"/>
        <v>1</v>
      </c>
      <c r="AU238" s="31"/>
      <c r="AV238" s="31"/>
      <c r="AW238" s="31"/>
      <c r="AX238" s="16">
        <f t="shared" si="34"/>
        <v>0.1</v>
      </c>
      <c r="AY238" s="156">
        <v>2</v>
      </c>
      <c r="AZ238" s="76">
        <v>0</v>
      </c>
      <c r="BA238" s="31"/>
      <c r="BB238" s="31"/>
      <c r="BC238" s="31"/>
      <c r="BD238" s="16">
        <f t="shared" si="33"/>
        <v>0</v>
      </c>
      <c r="BE238" s="31"/>
      <c r="BF238" s="31"/>
      <c r="BG238" s="31"/>
      <c r="BH238" s="31"/>
      <c r="BI238" s="16"/>
      <c r="BJ238" s="16"/>
      <c r="BK238" s="31"/>
      <c r="BL238" s="31"/>
      <c r="BM238" s="31"/>
      <c r="BN238" s="31"/>
      <c r="BO238" s="16"/>
      <c r="BP238" s="31"/>
      <c r="BQ238" s="31"/>
      <c r="BR238" s="31"/>
      <c r="BS238" s="31"/>
      <c r="BT238" s="16"/>
      <c r="BU238" s="16"/>
      <c r="BV238" s="16"/>
      <c r="BW238" s="16"/>
      <c r="BX238" s="16"/>
      <c r="BY238" s="16"/>
      <c r="BZ238" s="16"/>
      <c r="CA238" s="1"/>
      <c r="CB238" s="1"/>
      <c r="CC238" s="1"/>
    </row>
    <row r="239" spans="1:81" s="52" customFormat="1" ht="63" customHeight="1" x14ac:dyDescent="0.25">
      <c r="A239" s="1">
        <v>2</v>
      </c>
      <c r="B239" s="309" t="s">
        <v>1747</v>
      </c>
      <c r="C239" s="572"/>
      <c r="D239" s="573"/>
      <c r="E239" s="10" t="s">
        <v>858</v>
      </c>
      <c r="F239" s="13" t="s">
        <v>859</v>
      </c>
      <c r="G239" s="588"/>
      <c r="H239" s="589"/>
      <c r="I239" s="10" t="s">
        <v>860</v>
      </c>
      <c r="J239" s="13" t="s">
        <v>861</v>
      </c>
      <c r="K239" s="572"/>
      <c r="L239" s="573"/>
      <c r="M239" s="23"/>
      <c r="N239" s="23" t="s">
        <v>862</v>
      </c>
      <c r="O239" s="13" t="s">
        <v>862</v>
      </c>
      <c r="P239" s="10" t="s">
        <v>863</v>
      </c>
      <c r="Q239" s="10" t="s">
        <v>864</v>
      </c>
      <c r="R239" s="13"/>
      <c r="S239" s="13" t="s">
        <v>867</v>
      </c>
      <c r="T239" s="13" t="s">
        <v>867</v>
      </c>
      <c r="U239" s="10" t="s">
        <v>868</v>
      </c>
      <c r="V239" s="19">
        <v>1</v>
      </c>
      <c r="W239" s="19" t="s">
        <v>49</v>
      </c>
      <c r="X239" s="10"/>
      <c r="Y239" s="1"/>
      <c r="Z239" s="10"/>
      <c r="AA239" s="24"/>
      <c r="AB239" s="10" t="s">
        <v>1773</v>
      </c>
      <c r="AC239" s="162"/>
      <c r="AD239" s="156">
        <v>1</v>
      </c>
      <c r="AE239" s="156"/>
      <c r="AF239" s="156"/>
      <c r="AG239" s="377">
        <f t="shared" si="31"/>
        <v>1</v>
      </c>
      <c r="AH239" s="377" t="b">
        <f t="shared" si="28"/>
        <v>1</v>
      </c>
      <c r="AI239" s="19"/>
      <c r="AJ239" s="19"/>
      <c r="AK239" s="19"/>
      <c r="AL239" s="19"/>
      <c r="AM239" s="16">
        <f t="shared" si="29"/>
        <v>0</v>
      </c>
      <c r="AN239" s="162"/>
      <c r="AO239" s="19"/>
      <c r="AP239" s="19"/>
      <c r="AQ239" s="19"/>
      <c r="AR239" s="19"/>
      <c r="AS239" s="21" t="s">
        <v>310</v>
      </c>
      <c r="AT239" s="1">
        <f t="shared" si="32"/>
        <v>1</v>
      </c>
      <c r="AU239" s="31"/>
      <c r="AV239" s="31"/>
      <c r="AW239" s="31"/>
      <c r="AX239" s="16">
        <f t="shared" si="34"/>
        <v>1</v>
      </c>
      <c r="AY239" s="156">
        <v>1</v>
      </c>
      <c r="AZ239" s="76">
        <v>1</v>
      </c>
      <c r="BA239" s="31"/>
      <c r="BB239" s="31"/>
      <c r="BC239" s="31"/>
      <c r="BD239" s="16">
        <f t="shared" si="33"/>
        <v>1</v>
      </c>
      <c r="BE239" s="31"/>
      <c r="BF239" s="31"/>
      <c r="BG239" s="31"/>
      <c r="BH239" s="31"/>
      <c r="BI239" s="16"/>
      <c r="BJ239" s="16"/>
      <c r="BK239" s="31"/>
      <c r="BL239" s="31"/>
      <c r="BM239" s="31"/>
      <c r="BN239" s="31"/>
      <c r="BO239" s="16"/>
      <c r="BP239" s="31"/>
      <c r="BQ239" s="31"/>
      <c r="BR239" s="31"/>
      <c r="BS239" s="31"/>
      <c r="BT239" s="16"/>
      <c r="BU239" s="16"/>
      <c r="BV239" s="16"/>
      <c r="BW239" s="16"/>
      <c r="BX239" s="16"/>
      <c r="BY239" s="16"/>
      <c r="BZ239" s="16"/>
      <c r="CA239" s="1"/>
      <c r="CB239" s="1"/>
      <c r="CC239" s="1"/>
    </row>
    <row r="240" spans="1:81" s="52" customFormat="1" ht="63" customHeight="1" x14ac:dyDescent="0.25">
      <c r="A240" s="1">
        <v>2</v>
      </c>
      <c r="B240" s="309" t="s">
        <v>1747</v>
      </c>
      <c r="C240" s="572"/>
      <c r="D240" s="573"/>
      <c r="E240" s="10" t="s">
        <v>858</v>
      </c>
      <c r="F240" s="13" t="s">
        <v>859</v>
      </c>
      <c r="G240" s="588"/>
      <c r="H240" s="589"/>
      <c r="I240" s="10" t="s">
        <v>860</v>
      </c>
      <c r="J240" s="13" t="s">
        <v>861</v>
      </c>
      <c r="K240" s="572"/>
      <c r="L240" s="573"/>
      <c r="M240" s="23"/>
      <c r="N240" s="23" t="s">
        <v>862</v>
      </c>
      <c r="O240" s="13" t="s">
        <v>862</v>
      </c>
      <c r="P240" s="10" t="s">
        <v>863</v>
      </c>
      <c r="Q240" s="10" t="s">
        <v>864</v>
      </c>
      <c r="R240" s="13"/>
      <c r="S240" s="13" t="s">
        <v>869</v>
      </c>
      <c r="T240" s="13" t="s">
        <v>869</v>
      </c>
      <c r="U240" s="10" t="s">
        <v>868</v>
      </c>
      <c r="V240" s="10">
        <v>1</v>
      </c>
      <c r="W240" s="19" t="s">
        <v>49</v>
      </c>
      <c r="X240" s="10"/>
      <c r="Y240" s="1"/>
      <c r="Z240" s="10"/>
      <c r="AA240" s="24"/>
      <c r="AB240" s="10" t="s">
        <v>1773</v>
      </c>
      <c r="AC240" s="162">
        <v>1</v>
      </c>
      <c r="AD240" s="156"/>
      <c r="AE240" s="156"/>
      <c r="AF240" s="156"/>
      <c r="AG240" s="377">
        <f t="shared" si="31"/>
        <v>1</v>
      </c>
      <c r="AH240" s="377" t="b">
        <f t="shared" si="28"/>
        <v>1</v>
      </c>
      <c r="AI240" s="19">
        <v>0</v>
      </c>
      <c r="AJ240" s="19">
        <v>1</v>
      </c>
      <c r="AK240" s="19">
        <v>1</v>
      </c>
      <c r="AL240" s="19">
        <v>1</v>
      </c>
      <c r="AM240" s="16">
        <f t="shared" si="29"/>
        <v>1</v>
      </c>
      <c r="AN240" s="162">
        <v>1</v>
      </c>
      <c r="AO240" s="19">
        <v>0</v>
      </c>
      <c r="AP240" s="19">
        <v>1</v>
      </c>
      <c r="AQ240" s="19"/>
      <c r="AR240" s="19">
        <f>AL240</f>
        <v>1</v>
      </c>
      <c r="AS240" s="21">
        <f>IFERROR(+AR240/AN240,0)</f>
        <v>1</v>
      </c>
      <c r="AT240" s="1">
        <f t="shared" si="32"/>
        <v>1</v>
      </c>
      <c r="AU240" s="31"/>
      <c r="AV240" s="31"/>
      <c r="AW240" s="31"/>
      <c r="AX240" s="16">
        <f t="shared" si="34"/>
        <v>1</v>
      </c>
      <c r="AY240" s="156" t="s">
        <v>310</v>
      </c>
      <c r="AZ240" s="76"/>
      <c r="BA240" s="31"/>
      <c r="BB240" s="31"/>
      <c r="BC240" s="31"/>
      <c r="BD240" s="16" t="str">
        <f t="shared" si="33"/>
        <v>NP</v>
      </c>
      <c r="BE240" s="31"/>
      <c r="BF240" s="31"/>
      <c r="BG240" s="31"/>
      <c r="BH240" s="31"/>
      <c r="BI240" s="16"/>
      <c r="BJ240" s="16"/>
      <c r="BK240" s="31"/>
      <c r="BL240" s="31"/>
      <c r="BM240" s="31"/>
      <c r="BN240" s="31"/>
      <c r="BO240" s="16"/>
      <c r="BP240" s="31"/>
      <c r="BQ240" s="31"/>
      <c r="BR240" s="31"/>
      <c r="BS240" s="31"/>
      <c r="BT240" s="16"/>
      <c r="BU240" s="16"/>
      <c r="BV240" s="16"/>
      <c r="BW240" s="16"/>
      <c r="BX240" s="16"/>
      <c r="BY240" s="16"/>
      <c r="BZ240" s="16"/>
      <c r="CA240" s="1"/>
      <c r="CB240" s="1"/>
      <c r="CC240" s="1"/>
    </row>
    <row r="241" spans="1:81" s="52" customFormat="1" ht="63" customHeight="1" x14ac:dyDescent="0.25">
      <c r="A241" s="1">
        <v>2</v>
      </c>
      <c r="B241" s="309" t="s">
        <v>1747</v>
      </c>
      <c r="C241" s="572"/>
      <c r="D241" s="573"/>
      <c r="E241" s="10" t="s">
        <v>858</v>
      </c>
      <c r="F241" s="13" t="s">
        <v>859</v>
      </c>
      <c r="G241" s="588"/>
      <c r="H241" s="589"/>
      <c r="I241" s="10" t="s">
        <v>860</v>
      </c>
      <c r="J241" s="13" t="s">
        <v>861</v>
      </c>
      <c r="K241" s="568"/>
      <c r="L241" s="570"/>
      <c r="M241" s="23"/>
      <c r="N241" s="23" t="s">
        <v>862</v>
      </c>
      <c r="O241" s="13" t="s">
        <v>862</v>
      </c>
      <c r="P241" s="10" t="s">
        <v>863</v>
      </c>
      <c r="Q241" s="10" t="s">
        <v>864</v>
      </c>
      <c r="R241" s="13"/>
      <c r="S241" s="13" t="s">
        <v>870</v>
      </c>
      <c r="T241" s="13" t="s">
        <v>870</v>
      </c>
      <c r="U241" s="10" t="s">
        <v>868</v>
      </c>
      <c r="V241" s="19">
        <v>4</v>
      </c>
      <c r="W241" s="19" t="s">
        <v>49</v>
      </c>
      <c r="X241" s="10"/>
      <c r="Y241" s="1"/>
      <c r="Z241" s="10"/>
      <c r="AA241" s="24"/>
      <c r="AB241" s="10" t="s">
        <v>1773</v>
      </c>
      <c r="AC241" s="162"/>
      <c r="AD241" s="156">
        <v>1</v>
      </c>
      <c r="AE241" s="156">
        <v>2</v>
      </c>
      <c r="AF241" s="156">
        <v>1</v>
      </c>
      <c r="AG241" s="377">
        <f t="shared" si="31"/>
        <v>4</v>
      </c>
      <c r="AH241" s="377" t="b">
        <f t="shared" si="28"/>
        <v>1</v>
      </c>
      <c r="AI241" s="19"/>
      <c r="AJ241" s="19"/>
      <c r="AK241" s="19"/>
      <c r="AL241" s="19"/>
      <c r="AM241" s="16">
        <f t="shared" si="29"/>
        <v>0</v>
      </c>
      <c r="AN241" s="162"/>
      <c r="AO241" s="19"/>
      <c r="AP241" s="19"/>
      <c r="AQ241" s="19"/>
      <c r="AR241" s="19"/>
      <c r="AS241" s="21" t="s">
        <v>310</v>
      </c>
      <c r="AT241" s="1">
        <f t="shared" si="32"/>
        <v>0</v>
      </c>
      <c r="AU241" s="31"/>
      <c r="AV241" s="31"/>
      <c r="AW241" s="31"/>
      <c r="AX241" s="16">
        <f t="shared" si="34"/>
        <v>0</v>
      </c>
      <c r="AY241" s="156">
        <v>1</v>
      </c>
      <c r="AZ241" s="76">
        <v>0</v>
      </c>
      <c r="BA241" s="31"/>
      <c r="BB241" s="31"/>
      <c r="BC241" s="31"/>
      <c r="BD241" s="16">
        <f t="shared" si="33"/>
        <v>0</v>
      </c>
      <c r="BE241" s="31"/>
      <c r="BF241" s="31"/>
      <c r="BG241" s="31"/>
      <c r="BH241" s="31"/>
      <c r="BI241" s="16"/>
      <c r="BJ241" s="16"/>
      <c r="BK241" s="31"/>
      <c r="BL241" s="31"/>
      <c r="BM241" s="31"/>
      <c r="BN241" s="31"/>
      <c r="BO241" s="16"/>
      <c r="BP241" s="31"/>
      <c r="BQ241" s="31"/>
      <c r="BR241" s="31"/>
      <c r="BS241" s="31"/>
      <c r="BT241" s="16"/>
      <c r="BU241" s="16"/>
      <c r="BV241" s="16"/>
      <c r="BW241" s="16"/>
      <c r="BX241" s="16"/>
      <c r="BY241" s="16"/>
      <c r="BZ241" s="16"/>
      <c r="CA241" s="1"/>
      <c r="CB241" s="1"/>
      <c r="CC241" s="1"/>
    </row>
    <row r="242" spans="1:81" s="52" customFormat="1" ht="63" customHeight="1" x14ac:dyDescent="0.25">
      <c r="A242" s="1">
        <v>2</v>
      </c>
      <c r="B242" s="309" t="s">
        <v>1747</v>
      </c>
      <c r="C242" s="572"/>
      <c r="D242" s="573"/>
      <c r="E242" s="10" t="s">
        <v>858</v>
      </c>
      <c r="F242" s="13" t="s">
        <v>859</v>
      </c>
      <c r="G242" s="588"/>
      <c r="H242" s="589"/>
      <c r="I242" s="10" t="s">
        <v>871</v>
      </c>
      <c r="J242" s="13" t="s">
        <v>872</v>
      </c>
      <c r="K242" s="567">
        <f>AVERAGE(AX242:AX243)</f>
        <v>0</v>
      </c>
      <c r="L242" s="569">
        <f>AVERAGE(BD242:BD243)</f>
        <v>0</v>
      </c>
      <c r="M242" s="23"/>
      <c r="N242" s="23" t="s">
        <v>873</v>
      </c>
      <c r="O242" s="13" t="s">
        <v>873</v>
      </c>
      <c r="P242" s="10">
        <v>0</v>
      </c>
      <c r="Q242" s="10">
        <v>1</v>
      </c>
      <c r="R242" s="13"/>
      <c r="S242" s="13" t="s">
        <v>874</v>
      </c>
      <c r="T242" s="13" t="s">
        <v>874</v>
      </c>
      <c r="U242" s="10" t="s">
        <v>868</v>
      </c>
      <c r="V242" s="19">
        <v>1</v>
      </c>
      <c r="W242" s="19" t="s">
        <v>49</v>
      </c>
      <c r="X242" s="10"/>
      <c r="Y242" s="1"/>
      <c r="Z242" s="19"/>
      <c r="AA242" s="24"/>
      <c r="AB242" s="10" t="s">
        <v>1773</v>
      </c>
      <c r="AC242" s="162"/>
      <c r="AD242" s="156">
        <v>1</v>
      </c>
      <c r="AE242" s="156"/>
      <c r="AF242" s="156"/>
      <c r="AG242" s="377">
        <f t="shared" si="31"/>
        <v>1</v>
      </c>
      <c r="AH242" s="377" t="b">
        <f t="shared" si="28"/>
        <v>1</v>
      </c>
      <c r="AI242" s="19"/>
      <c r="AJ242" s="19"/>
      <c r="AK242" s="19"/>
      <c r="AL242" s="19"/>
      <c r="AM242" s="16">
        <f t="shared" si="29"/>
        <v>0</v>
      </c>
      <c r="AN242" s="162"/>
      <c r="AO242" s="19"/>
      <c r="AP242" s="19"/>
      <c r="AQ242" s="19"/>
      <c r="AR242" s="19"/>
      <c r="AS242" s="21" t="s">
        <v>310</v>
      </c>
      <c r="AT242" s="1">
        <f t="shared" si="32"/>
        <v>0</v>
      </c>
      <c r="AU242" s="31"/>
      <c r="AV242" s="31"/>
      <c r="AW242" s="31"/>
      <c r="AX242" s="16">
        <f t="shared" si="34"/>
        <v>0</v>
      </c>
      <c r="AY242" s="156">
        <v>1</v>
      </c>
      <c r="AZ242" s="76">
        <v>0</v>
      </c>
      <c r="BA242" s="31"/>
      <c r="BB242" s="31"/>
      <c r="BC242" s="31"/>
      <c r="BD242" s="16">
        <f t="shared" si="33"/>
        <v>0</v>
      </c>
      <c r="BE242" s="31"/>
      <c r="BF242" s="31"/>
      <c r="BG242" s="31"/>
      <c r="BH242" s="31"/>
      <c r="BI242" s="16"/>
      <c r="BJ242" s="16"/>
      <c r="BK242" s="31"/>
      <c r="BL242" s="31"/>
      <c r="BM242" s="31"/>
      <c r="BN242" s="31"/>
      <c r="BO242" s="16"/>
      <c r="BP242" s="31"/>
      <c r="BQ242" s="31"/>
      <c r="BR242" s="31"/>
      <c r="BS242" s="31"/>
      <c r="BT242" s="16"/>
      <c r="BU242" s="16"/>
      <c r="BV242" s="16"/>
      <c r="BW242" s="16"/>
      <c r="BX242" s="16"/>
      <c r="BY242" s="16"/>
      <c r="BZ242" s="16"/>
      <c r="CA242" s="1"/>
      <c r="CB242" s="1"/>
      <c r="CC242" s="1"/>
    </row>
    <row r="243" spans="1:81" s="52" customFormat="1" ht="63" customHeight="1" x14ac:dyDescent="0.25">
      <c r="A243" s="1">
        <v>2</v>
      </c>
      <c r="B243" s="309" t="s">
        <v>1747</v>
      </c>
      <c r="C243" s="572"/>
      <c r="D243" s="573"/>
      <c r="E243" s="10" t="s">
        <v>858</v>
      </c>
      <c r="F243" s="13" t="s">
        <v>859</v>
      </c>
      <c r="G243" s="588"/>
      <c r="H243" s="589"/>
      <c r="I243" s="10" t="s">
        <v>871</v>
      </c>
      <c r="J243" s="13" t="s">
        <v>872</v>
      </c>
      <c r="K243" s="568"/>
      <c r="L243" s="570"/>
      <c r="M243" s="23"/>
      <c r="N243" s="23" t="s">
        <v>873</v>
      </c>
      <c r="O243" s="13" t="s">
        <v>873</v>
      </c>
      <c r="P243" s="10">
        <v>2</v>
      </c>
      <c r="Q243" s="10">
        <v>1</v>
      </c>
      <c r="R243" s="13"/>
      <c r="S243" s="13" t="s">
        <v>875</v>
      </c>
      <c r="T243" s="13" t="s">
        <v>875</v>
      </c>
      <c r="U243" s="19">
        <v>2</v>
      </c>
      <c r="V243" s="19">
        <v>1</v>
      </c>
      <c r="W243" s="19" t="s">
        <v>49</v>
      </c>
      <c r="X243" s="10"/>
      <c r="Y243" s="1"/>
      <c r="Z243" s="19"/>
      <c r="AA243" s="24"/>
      <c r="AB243" s="10" t="s">
        <v>1773</v>
      </c>
      <c r="AC243" s="162"/>
      <c r="AD243" s="156"/>
      <c r="AE243" s="156">
        <v>1</v>
      </c>
      <c r="AF243" s="156"/>
      <c r="AG243" s="377">
        <f t="shared" si="31"/>
        <v>1</v>
      </c>
      <c r="AH243" s="377" t="b">
        <f t="shared" si="28"/>
        <v>1</v>
      </c>
      <c r="AI243" s="19">
        <v>0</v>
      </c>
      <c r="AJ243" s="19">
        <v>0</v>
      </c>
      <c r="AK243" s="19"/>
      <c r="AL243" s="19"/>
      <c r="AM243" s="16">
        <f t="shared" si="29"/>
        <v>0</v>
      </c>
      <c r="AN243" s="162"/>
      <c r="AO243" s="19"/>
      <c r="AP243" s="19"/>
      <c r="AQ243" s="19"/>
      <c r="AR243" s="19"/>
      <c r="AS243" s="21" t="s">
        <v>310</v>
      </c>
      <c r="AT243" s="1">
        <f t="shared" si="32"/>
        <v>0</v>
      </c>
      <c r="AU243" s="31"/>
      <c r="AV243" s="31"/>
      <c r="AW243" s="31"/>
      <c r="AX243" s="16">
        <f t="shared" si="34"/>
        <v>0</v>
      </c>
      <c r="AY243" s="156" t="s">
        <v>310</v>
      </c>
      <c r="AZ243" s="76"/>
      <c r="BA243" s="31"/>
      <c r="BB243" s="31"/>
      <c r="BC243" s="31"/>
      <c r="BD243" s="16" t="str">
        <f t="shared" si="33"/>
        <v>NP</v>
      </c>
      <c r="BE243" s="31"/>
      <c r="BF243" s="31"/>
      <c r="BG243" s="31"/>
      <c r="BH243" s="31"/>
      <c r="BI243" s="16"/>
      <c r="BJ243" s="16"/>
      <c r="BK243" s="31"/>
      <c r="BL243" s="31"/>
      <c r="BM243" s="31"/>
      <c r="BN243" s="31"/>
      <c r="BO243" s="16"/>
      <c r="BP243" s="31"/>
      <c r="BQ243" s="31"/>
      <c r="BR243" s="31"/>
      <c r="BS243" s="31"/>
      <c r="BT243" s="16"/>
      <c r="BU243" s="16"/>
      <c r="BV243" s="16"/>
      <c r="BW243" s="16"/>
      <c r="BX243" s="16"/>
      <c r="BY243" s="16"/>
      <c r="BZ243" s="16"/>
      <c r="CA243" s="1"/>
      <c r="CB243" s="1"/>
      <c r="CC243" s="1"/>
    </row>
    <row r="244" spans="1:81" s="52" customFormat="1" ht="78.75" x14ac:dyDescent="0.25">
      <c r="A244" s="1">
        <v>2</v>
      </c>
      <c r="B244" s="13" t="s">
        <v>1747</v>
      </c>
      <c r="C244" s="572"/>
      <c r="D244" s="573"/>
      <c r="E244" s="10" t="s">
        <v>876</v>
      </c>
      <c r="F244" s="13" t="s">
        <v>877</v>
      </c>
      <c r="G244" s="588">
        <f>+AVERAGEIF(F14:F567,F244,AX14:AX567)</f>
        <v>0.33750000000000002</v>
      </c>
      <c r="H244" s="569">
        <f>+AVERAGEIF(F14:F567,F244,BD14:BD567)</f>
        <v>0.10625000000000001</v>
      </c>
      <c r="I244" s="10" t="s">
        <v>878</v>
      </c>
      <c r="J244" s="13" t="s">
        <v>879</v>
      </c>
      <c r="K244" s="567">
        <f>AVERAGE(AX244:AX247)</f>
        <v>0.33750000000000002</v>
      </c>
      <c r="L244" s="569">
        <f>IFERROR(AVERAGE(BD244:BD247),"NP")</f>
        <v>0.10625000000000001</v>
      </c>
      <c r="M244" s="23"/>
      <c r="N244" s="23" t="s">
        <v>880</v>
      </c>
      <c r="O244" s="23" t="s">
        <v>880</v>
      </c>
      <c r="P244" s="36">
        <v>18</v>
      </c>
      <c r="Q244" s="36">
        <v>12</v>
      </c>
      <c r="R244" s="35"/>
      <c r="S244" s="13" t="s">
        <v>881</v>
      </c>
      <c r="T244" s="13" t="s">
        <v>881</v>
      </c>
      <c r="U244" s="10">
        <v>15</v>
      </c>
      <c r="V244" s="10">
        <v>15</v>
      </c>
      <c r="W244" s="1" t="s">
        <v>78</v>
      </c>
      <c r="X244" s="1"/>
      <c r="Y244" s="1"/>
      <c r="Z244" s="1">
        <v>15</v>
      </c>
      <c r="AA244" s="24"/>
      <c r="AB244" s="10" t="s">
        <v>1763</v>
      </c>
      <c r="AC244" s="162"/>
      <c r="AD244" s="156">
        <v>15</v>
      </c>
      <c r="AE244" s="156">
        <v>15</v>
      </c>
      <c r="AF244" s="156">
        <v>15</v>
      </c>
      <c r="AG244" s="377">
        <f t="shared" si="31"/>
        <v>45</v>
      </c>
      <c r="AH244" s="377" t="b">
        <f t="shared" si="28"/>
        <v>0</v>
      </c>
      <c r="AI244" s="1"/>
      <c r="AJ244" s="1"/>
      <c r="AK244" s="1"/>
      <c r="AL244" s="1"/>
      <c r="AM244" s="16">
        <f t="shared" si="29"/>
        <v>0</v>
      </c>
      <c r="AN244" s="162"/>
      <c r="AO244" s="1"/>
      <c r="AP244" s="1"/>
      <c r="AQ244" s="1"/>
      <c r="AR244" s="1"/>
      <c r="AS244" s="21" t="s">
        <v>310</v>
      </c>
      <c r="AT244" s="1">
        <f t="shared" si="32"/>
        <v>0.75</v>
      </c>
      <c r="AU244" s="31"/>
      <c r="AV244" s="31"/>
      <c r="AW244" s="31"/>
      <c r="AX244" s="16">
        <f t="shared" si="34"/>
        <v>0.05</v>
      </c>
      <c r="AY244" s="156">
        <v>15</v>
      </c>
      <c r="AZ244" s="76">
        <v>3</v>
      </c>
      <c r="BA244" s="31"/>
      <c r="BB244" s="31"/>
      <c r="BC244" s="31"/>
      <c r="BD244" s="16">
        <f t="shared" si="33"/>
        <v>0.2</v>
      </c>
      <c r="BE244" s="31"/>
      <c r="BF244" s="31"/>
      <c r="BG244" s="31"/>
      <c r="BH244" s="31"/>
      <c r="BI244" s="16"/>
      <c r="BJ244" s="16"/>
      <c r="BK244" s="31"/>
      <c r="BL244" s="31"/>
      <c r="BM244" s="31"/>
      <c r="BN244" s="31"/>
      <c r="BO244" s="16"/>
      <c r="BP244" s="31"/>
      <c r="BQ244" s="31"/>
      <c r="BR244" s="31"/>
      <c r="BS244" s="31"/>
      <c r="BT244" s="16"/>
      <c r="BU244" s="16"/>
      <c r="BV244" s="16"/>
      <c r="BW244" s="16"/>
      <c r="BX244" s="16"/>
      <c r="BY244" s="16"/>
      <c r="BZ244" s="16"/>
      <c r="CA244" s="1"/>
      <c r="CB244" s="1"/>
      <c r="CC244" s="1"/>
    </row>
    <row r="245" spans="1:81" s="52" customFormat="1" ht="47.25" x14ac:dyDescent="0.25">
      <c r="A245" s="1">
        <v>2</v>
      </c>
      <c r="B245" s="13" t="s">
        <v>1747</v>
      </c>
      <c r="C245" s="572"/>
      <c r="D245" s="573"/>
      <c r="E245" s="10" t="s">
        <v>876</v>
      </c>
      <c r="F245" s="13" t="s">
        <v>877</v>
      </c>
      <c r="G245" s="588"/>
      <c r="H245" s="573"/>
      <c r="I245" s="10" t="s">
        <v>878</v>
      </c>
      <c r="J245" s="13" t="s">
        <v>879</v>
      </c>
      <c r="K245" s="572"/>
      <c r="L245" s="573"/>
      <c r="M245" s="23"/>
      <c r="N245" s="23" t="s">
        <v>882</v>
      </c>
      <c r="O245" s="23" t="s">
        <v>882</v>
      </c>
      <c r="P245" s="36">
        <v>15</v>
      </c>
      <c r="Q245" s="36">
        <v>10</v>
      </c>
      <c r="R245" s="35"/>
      <c r="S245" s="312" t="s">
        <v>881</v>
      </c>
      <c r="T245" s="13" t="s">
        <v>881</v>
      </c>
      <c r="U245" s="133">
        <v>15</v>
      </c>
      <c r="V245" s="133">
        <v>15</v>
      </c>
      <c r="W245" s="108" t="s">
        <v>78</v>
      </c>
      <c r="X245" s="1"/>
      <c r="Y245" s="1"/>
      <c r="Z245" s="1">
        <v>15</v>
      </c>
      <c r="AA245" s="24"/>
      <c r="AB245" s="133" t="s">
        <v>1763</v>
      </c>
      <c r="AC245" s="162"/>
      <c r="AD245" s="156">
        <v>15</v>
      </c>
      <c r="AE245" s="156">
        <v>15</v>
      </c>
      <c r="AF245" s="156">
        <v>15</v>
      </c>
      <c r="AG245" s="377">
        <f t="shared" si="31"/>
        <v>45</v>
      </c>
      <c r="AH245" s="377" t="b">
        <f t="shared" si="28"/>
        <v>0</v>
      </c>
      <c r="AI245" s="1"/>
      <c r="AJ245" s="1"/>
      <c r="AK245" s="1"/>
      <c r="AL245" s="1"/>
      <c r="AM245" s="16">
        <f t="shared" si="29"/>
        <v>0</v>
      </c>
      <c r="AN245" s="162"/>
      <c r="AO245" s="1"/>
      <c r="AP245" s="1"/>
      <c r="AQ245" s="1"/>
      <c r="AR245" s="108"/>
      <c r="AS245" s="191" t="s">
        <v>310</v>
      </c>
      <c r="AT245" s="1">
        <f t="shared" si="32"/>
        <v>0</v>
      </c>
      <c r="AU245" s="31"/>
      <c r="AV245" s="31"/>
      <c r="AW245" s="31"/>
      <c r="AX245" s="16">
        <f t="shared" si="34"/>
        <v>0</v>
      </c>
      <c r="AY245" s="156">
        <v>15</v>
      </c>
      <c r="AZ245" s="76"/>
      <c r="BA245" s="31"/>
      <c r="BB245" s="31"/>
      <c r="BC245" s="31"/>
      <c r="BD245" s="16">
        <f t="shared" si="33"/>
        <v>0</v>
      </c>
      <c r="BE245" s="31"/>
      <c r="BF245" s="31"/>
      <c r="BG245" s="31"/>
      <c r="BH245" s="31"/>
      <c r="BI245" s="16"/>
      <c r="BJ245" s="16"/>
      <c r="BK245" s="31"/>
      <c r="BL245" s="31"/>
      <c r="BM245" s="31"/>
      <c r="BN245" s="31"/>
      <c r="BO245" s="16"/>
      <c r="BP245" s="31"/>
      <c r="BQ245" s="31"/>
      <c r="BR245" s="31"/>
      <c r="BS245" s="31"/>
      <c r="BT245" s="16"/>
      <c r="BU245" s="16"/>
      <c r="BV245" s="16"/>
      <c r="BW245" s="16"/>
      <c r="BX245" s="16"/>
      <c r="BY245" s="16"/>
      <c r="BZ245" s="16"/>
      <c r="CA245" s="1"/>
      <c r="CB245" s="1"/>
      <c r="CC245" s="1"/>
    </row>
    <row r="246" spans="1:81" s="52" customFormat="1" ht="47.25" x14ac:dyDescent="0.25">
      <c r="A246" s="1">
        <v>2</v>
      </c>
      <c r="B246" s="13" t="s">
        <v>1747</v>
      </c>
      <c r="C246" s="572"/>
      <c r="D246" s="573"/>
      <c r="E246" s="10" t="s">
        <v>876</v>
      </c>
      <c r="F246" s="13" t="s">
        <v>877</v>
      </c>
      <c r="G246" s="588"/>
      <c r="H246" s="573"/>
      <c r="I246" s="10" t="s">
        <v>878</v>
      </c>
      <c r="J246" s="13" t="s">
        <v>879</v>
      </c>
      <c r="K246" s="572"/>
      <c r="L246" s="573"/>
      <c r="M246" s="23"/>
      <c r="N246" s="23" t="s">
        <v>883</v>
      </c>
      <c r="O246" s="23" t="s">
        <v>883</v>
      </c>
      <c r="P246" s="449">
        <v>0.95599999999999996</v>
      </c>
      <c r="Q246" s="18">
        <v>0.97</v>
      </c>
      <c r="R246" s="20"/>
      <c r="S246" s="13" t="s">
        <v>884</v>
      </c>
      <c r="T246" s="13" t="s">
        <v>884</v>
      </c>
      <c r="U246" s="10" t="s">
        <v>55</v>
      </c>
      <c r="V246" s="18">
        <v>0.2</v>
      </c>
      <c r="W246" s="19" t="s">
        <v>49</v>
      </c>
      <c r="X246" s="1"/>
      <c r="Y246" s="1"/>
      <c r="Z246" s="1">
        <v>4</v>
      </c>
      <c r="AA246" s="24"/>
      <c r="AB246" s="10" t="s">
        <v>1763</v>
      </c>
      <c r="AC246" s="162"/>
      <c r="AD246" s="156">
        <v>8</v>
      </c>
      <c r="AE246" s="156">
        <v>8</v>
      </c>
      <c r="AF246" s="156">
        <v>4</v>
      </c>
      <c r="AG246" s="377">
        <f t="shared" si="31"/>
        <v>20</v>
      </c>
      <c r="AH246" s="377" t="b">
        <f t="shared" si="28"/>
        <v>0</v>
      </c>
      <c r="AI246" s="1"/>
      <c r="AJ246" s="1"/>
      <c r="AK246" s="1"/>
      <c r="AL246" s="1"/>
      <c r="AM246" s="16">
        <f t="shared" si="29"/>
        <v>0</v>
      </c>
      <c r="AN246" s="162"/>
      <c r="AO246" s="1"/>
      <c r="AP246" s="1"/>
      <c r="AQ246" s="1"/>
      <c r="AR246" s="1"/>
      <c r="AS246" s="21" t="s">
        <v>310</v>
      </c>
      <c r="AT246" s="1">
        <f t="shared" si="32"/>
        <v>0.2</v>
      </c>
      <c r="AU246" s="31"/>
      <c r="AV246" s="31"/>
      <c r="AW246" s="31"/>
      <c r="AX246" s="16">
        <f t="shared" si="34"/>
        <v>1</v>
      </c>
      <c r="AY246" s="156">
        <v>8</v>
      </c>
      <c r="AZ246" s="76">
        <v>0.2</v>
      </c>
      <c r="BA246" s="31"/>
      <c r="BB246" s="31"/>
      <c r="BC246" s="31"/>
      <c r="BD246" s="16">
        <f t="shared" si="33"/>
        <v>2.5000000000000001E-2</v>
      </c>
      <c r="BE246" s="31"/>
      <c r="BF246" s="31"/>
      <c r="BG246" s="31"/>
      <c r="BH246" s="31"/>
      <c r="BI246" s="16"/>
      <c r="BJ246" s="16"/>
      <c r="BK246" s="31"/>
      <c r="BL246" s="31"/>
      <c r="BM246" s="31"/>
      <c r="BN246" s="31"/>
      <c r="BO246" s="16"/>
      <c r="BP246" s="31"/>
      <c r="BQ246" s="31"/>
      <c r="BR246" s="31"/>
      <c r="BS246" s="31"/>
      <c r="BT246" s="16"/>
      <c r="BU246" s="16"/>
      <c r="BV246" s="16"/>
      <c r="BW246" s="16"/>
      <c r="BX246" s="16"/>
      <c r="BY246" s="16"/>
      <c r="BZ246" s="16"/>
      <c r="CA246" s="1"/>
      <c r="CB246" s="1"/>
      <c r="CC246" s="1"/>
    </row>
    <row r="247" spans="1:81" s="52" customFormat="1" ht="47.25" x14ac:dyDescent="0.25">
      <c r="A247" s="1">
        <v>2</v>
      </c>
      <c r="B247" s="13" t="s">
        <v>1747</v>
      </c>
      <c r="C247" s="572"/>
      <c r="D247" s="573"/>
      <c r="E247" s="10" t="s">
        <v>876</v>
      </c>
      <c r="F247" s="13" t="s">
        <v>877</v>
      </c>
      <c r="G247" s="588"/>
      <c r="H247" s="570"/>
      <c r="I247" s="10" t="s">
        <v>878</v>
      </c>
      <c r="J247" s="13" t="s">
        <v>879</v>
      </c>
      <c r="K247" s="568"/>
      <c r="L247" s="570"/>
      <c r="M247" s="23"/>
      <c r="N247" s="23" t="s">
        <v>885</v>
      </c>
      <c r="O247" s="23" t="s">
        <v>885</v>
      </c>
      <c r="P247" s="18">
        <v>0.05</v>
      </c>
      <c r="Q247" s="18">
        <v>0.1</v>
      </c>
      <c r="R247" s="20"/>
      <c r="S247" s="13" t="s">
        <v>886</v>
      </c>
      <c r="T247" s="13" t="s">
        <v>886</v>
      </c>
      <c r="U247" s="293" t="s">
        <v>55</v>
      </c>
      <c r="V247" s="293">
        <v>50</v>
      </c>
      <c r="W247" s="19" t="s">
        <v>49</v>
      </c>
      <c r="X247" s="1"/>
      <c r="Y247" s="1"/>
      <c r="Z247" s="1">
        <v>15</v>
      </c>
      <c r="AA247" s="24"/>
      <c r="AB247" s="10" t="s">
        <v>1763</v>
      </c>
      <c r="AC247" s="162">
        <v>12</v>
      </c>
      <c r="AD247" s="156">
        <v>15</v>
      </c>
      <c r="AE247" s="156">
        <v>20</v>
      </c>
      <c r="AF247" s="156">
        <v>15</v>
      </c>
      <c r="AG247" s="377">
        <f t="shared" si="31"/>
        <v>62</v>
      </c>
      <c r="AH247" s="377" t="b">
        <f t="shared" si="28"/>
        <v>0</v>
      </c>
      <c r="AI247" s="294">
        <v>12</v>
      </c>
      <c r="AJ247" s="294">
        <v>12</v>
      </c>
      <c r="AK247" s="294">
        <v>12</v>
      </c>
      <c r="AL247" s="294">
        <v>12</v>
      </c>
      <c r="AM247" s="16">
        <f t="shared" si="29"/>
        <v>0.24</v>
      </c>
      <c r="AN247" s="162">
        <v>12</v>
      </c>
      <c r="AO247" s="294">
        <v>12</v>
      </c>
      <c r="AP247" s="294">
        <v>12</v>
      </c>
      <c r="AQ247" s="294"/>
      <c r="AR247" s="1">
        <f>AL247</f>
        <v>12</v>
      </c>
      <c r="AS247" s="295">
        <f>IFERROR(+AP247/AN247,0)</f>
        <v>1</v>
      </c>
      <c r="AT247" s="1">
        <f t="shared" si="32"/>
        <v>15</v>
      </c>
      <c r="AU247" s="31"/>
      <c r="AV247" s="31"/>
      <c r="AW247" s="31"/>
      <c r="AX247" s="16">
        <f t="shared" si="34"/>
        <v>0.3</v>
      </c>
      <c r="AY247" s="156">
        <v>15</v>
      </c>
      <c r="AZ247" s="76">
        <v>3</v>
      </c>
      <c r="BA247" s="31"/>
      <c r="BB247" s="31"/>
      <c r="BC247" s="31"/>
      <c r="BD247" s="16">
        <f t="shared" si="33"/>
        <v>0.2</v>
      </c>
      <c r="BE247" s="31"/>
      <c r="BF247" s="31"/>
      <c r="BG247" s="31"/>
      <c r="BH247" s="31"/>
      <c r="BI247" s="16"/>
      <c r="BJ247" s="16"/>
      <c r="BK247" s="31"/>
      <c r="BL247" s="31"/>
      <c r="BM247" s="31"/>
      <c r="BN247" s="31"/>
      <c r="BO247" s="16"/>
      <c r="BP247" s="31"/>
      <c r="BQ247" s="31"/>
      <c r="BR247" s="31"/>
      <c r="BS247" s="31"/>
      <c r="BT247" s="16"/>
      <c r="BU247" s="16"/>
      <c r="BV247" s="16"/>
      <c r="BW247" s="16"/>
      <c r="BX247" s="16"/>
      <c r="BY247" s="16"/>
      <c r="BZ247" s="16"/>
      <c r="CA247" s="1"/>
      <c r="CB247" s="1"/>
      <c r="CC247" s="1"/>
    </row>
    <row r="248" spans="1:81" s="52" customFormat="1" ht="63" customHeight="1" x14ac:dyDescent="0.25">
      <c r="A248" s="1">
        <v>2</v>
      </c>
      <c r="B248" s="13" t="s">
        <v>1747</v>
      </c>
      <c r="C248" s="572"/>
      <c r="D248" s="573"/>
      <c r="E248" s="10" t="s">
        <v>887</v>
      </c>
      <c r="F248" s="13" t="s">
        <v>888</v>
      </c>
      <c r="G248" s="567">
        <f>+AVERAGEIF(F14:F567,F248,AX14:AX567)</f>
        <v>0.26984126984126983</v>
      </c>
      <c r="H248" s="569">
        <f>+AVERAGEIF(F14:F567,F248,BD14:BD567)</f>
        <v>0.42857142857142855</v>
      </c>
      <c r="I248" s="10" t="s">
        <v>889</v>
      </c>
      <c r="J248" s="13" t="s">
        <v>896</v>
      </c>
      <c r="K248" s="567">
        <f>AVERAGE(AX248:AX251)</f>
        <v>0.19166666666666665</v>
      </c>
      <c r="L248" s="569">
        <f>AVERAGE(BD248:BD251)</f>
        <v>0.25</v>
      </c>
      <c r="M248" s="13"/>
      <c r="N248" s="13" t="s">
        <v>890</v>
      </c>
      <c r="O248" s="13" t="s">
        <v>890</v>
      </c>
      <c r="P248" s="36">
        <v>67</v>
      </c>
      <c r="Q248" s="36">
        <v>60</v>
      </c>
      <c r="R248" s="35"/>
      <c r="S248" s="13" t="s">
        <v>891</v>
      </c>
      <c r="T248" s="526" t="s">
        <v>891</v>
      </c>
      <c r="U248" s="36">
        <v>1</v>
      </c>
      <c r="V248" s="36">
        <v>3</v>
      </c>
      <c r="W248" s="1" t="s">
        <v>203</v>
      </c>
      <c r="X248" s="10" t="s">
        <v>892</v>
      </c>
      <c r="Y248" s="1" t="s">
        <v>893</v>
      </c>
      <c r="Z248" s="1" t="s">
        <v>894</v>
      </c>
      <c r="AA248" s="13" t="s">
        <v>895</v>
      </c>
      <c r="AB248" s="10" t="s">
        <v>1763</v>
      </c>
      <c r="AC248" s="162">
        <v>1</v>
      </c>
      <c r="AD248" s="156">
        <v>1</v>
      </c>
      <c r="AE248" s="156">
        <v>1</v>
      </c>
      <c r="AF248" s="156">
        <v>0</v>
      </c>
      <c r="AG248" s="377">
        <f t="shared" si="31"/>
        <v>3</v>
      </c>
      <c r="AH248" s="377" t="b">
        <f t="shared" si="28"/>
        <v>1</v>
      </c>
      <c r="AI248" s="36">
        <v>1</v>
      </c>
      <c r="AJ248" s="10">
        <v>1</v>
      </c>
      <c r="AK248" s="10">
        <v>1</v>
      </c>
      <c r="AL248" s="10">
        <v>1</v>
      </c>
      <c r="AM248" s="16">
        <f t="shared" si="29"/>
        <v>0.33333333333333331</v>
      </c>
      <c r="AN248" s="162">
        <v>1</v>
      </c>
      <c r="AO248" s="1">
        <v>1</v>
      </c>
      <c r="AP248" s="1">
        <v>1</v>
      </c>
      <c r="AQ248" s="1"/>
      <c r="AR248" s="1">
        <f>AL248</f>
        <v>1</v>
      </c>
      <c r="AS248" s="21">
        <f>IFERROR(+AR248/AN248,0)</f>
        <v>1</v>
      </c>
      <c r="AT248" s="1">
        <f t="shared" si="32"/>
        <v>2</v>
      </c>
      <c r="AU248" s="31"/>
      <c r="AV248" s="31"/>
      <c r="AW248" s="31"/>
      <c r="AX248" s="16">
        <f t="shared" si="34"/>
        <v>0.66666666666666663</v>
      </c>
      <c r="AY248" s="156">
        <v>1</v>
      </c>
      <c r="AZ248" s="525">
        <v>1</v>
      </c>
      <c r="BA248" s="31"/>
      <c r="BB248" s="31"/>
      <c r="BC248" s="31"/>
      <c r="BD248" s="16">
        <f t="shared" si="33"/>
        <v>1</v>
      </c>
      <c r="BE248" s="31"/>
      <c r="BF248" s="31"/>
      <c r="BG248" s="31"/>
      <c r="BH248" s="31"/>
      <c r="BI248" s="16"/>
      <c r="BJ248" s="16"/>
      <c r="BK248" s="31"/>
      <c r="BL248" s="31"/>
      <c r="BM248" s="31"/>
      <c r="BN248" s="31"/>
      <c r="BO248" s="16"/>
      <c r="BP248" s="31"/>
      <c r="BQ248" s="31"/>
      <c r="BR248" s="31"/>
      <c r="BS248" s="31"/>
      <c r="BT248" s="16"/>
      <c r="BU248" s="16"/>
      <c r="BV248" s="16"/>
      <c r="BW248" s="16"/>
      <c r="BX248" s="16"/>
      <c r="BY248" s="16"/>
      <c r="BZ248" s="16"/>
      <c r="CA248" s="1"/>
      <c r="CB248" s="1"/>
      <c r="CC248" s="1"/>
    </row>
    <row r="249" spans="1:81" s="52" customFormat="1" ht="58.5" customHeight="1" x14ac:dyDescent="0.25">
      <c r="A249" s="1">
        <v>2</v>
      </c>
      <c r="B249" s="13" t="s">
        <v>1747</v>
      </c>
      <c r="C249" s="572"/>
      <c r="D249" s="573"/>
      <c r="E249" s="10" t="s">
        <v>887</v>
      </c>
      <c r="F249" s="13" t="s">
        <v>888</v>
      </c>
      <c r="G249" s="572"/>
      <c r="H249" s="573"/>
      <c r="I249" s="10" t="s">
        <v>889</v>
      </c>
      <c r="J249" s="13" t="s">
        <v>896</v>
      </c>
      <c r="K249" s="572"/>
      <c r="L249" s="573"/>
      <c r="M249" s="13"/>
      <c r="N249" s="13" t="s">
        <v>890</v>
      </c>
      <c r="O249" s="13" t="s">
        <v>890</v>
      </c>
      <c r="P249" s="36">
        <v>67</v>
      </c>
      <c r="Q249" s="36">
        <v>60</v>
      </c>
      <c r="R249" s="35"/>
      <c r="S249" s="13" t="s">
        <v>897</v>
      </c>
      <c r="T249" s="526" t="s">
        <v>897</v>
      </c>
      <c r="U249" s="36">
        <v>67</v>
      </c>
      <c r="V249" s="36">
        <v>60</v>
      </c>
      <c r="W249" s="1" t="s">
        <v>203</v>
      </c>
      <c r="X249" s="1" t="s">
        <v>898</v>
      </c>
      <c r="Y249" s="1" t="s">
        <v>899</v>
      </c>
      <c r="Z249" s="1" t="s">
        <v>893</v>
      </c>
      <c r="AA249" s="24" t="s">
        <v>894</v>
      </c>
      <c r="AB249" s="10" t="s">
        <v>1763</v>
      </c>
      <c r="AC249" s="162">
        <v>10</v>
      </c>
      <c r="AD249" s="156">
        <v>10</v>
      </c>
      <c r="AE249" s="156">
        <v>30</v>
      </c>
      <c r="AF249" s="156">
        <v>10</v>
      </c>
      <c r="AG249" s="377">
        <f t="shared" si="31"/>
        <v>60</v>
      </c>
      <c r="AH249" s="377" t="b">
        <f t="shared" si="28"/>
        <v>1</v>
      </c>
      <c r="AI249" s="36">
        <v>1</v>
      </c>
      <c r="AJ249" s="10">
        <v>4</v>
      </c>
      <c r="AK249" s="10">
        <v>6</v>
      </c>
      <c r="AL249" s="10">
        <v>6</v>
      </c>
      <c r="AM249" s="16">
        <f t="shared" si="29"/>
        <v>0.1</v>
      </c>
      <c r="AN249" s="162">
        <v>10</v>
      </c>
      <c r="AO249" s="1">
        <v>1</v>
      </c>
      <c r="AP249" s="1">
        <v>4</v>
      </c>
      <c r="AQ249" s="1"/>
      <c r="AR249" s="1">
        <f>AL249</f>
        <v>6</v>
      </c>
      <c r="AS249" s="21">
        <f>IFERROR(+AR249/AN249,0)</f>
        <v>0.6</v>
      </c>
      <c r="AT249" s="1">
        <f t="shared" si="32"/>
        <v>6</v>
      </c>
      <c r="AU249" s="31"/>
      <c r="AV249" s="31"/>
      <c r="AW249" s="31"/>
      <c r="AX249" s="16">
        <f t="shared" si="34"/>
        <v>0.1</v>
      </c>
      <c r="AY249" s="156">
        <v>10</v>
      </c>
      <c r="AZ249" s="525"/>
      <c r="BA249" s="31"/>
      <c r="BB249" s="31"/>
      <c r="BC249" s="31"/>
      <c r="BD249" s="16">
        <f t="shared" si="33"/>
        <v>0</v>
      </c>
      <c r="BE249" s="31"/>
      <c r="BF249" s="31"/>
      <c r="BG249" s="31"/>
      <c r="BH249" s="31"/>
      <c r="BI249" s="16"/>
      <c r="BJ249" s="16"/>
      <c r="BK249" s="31"/>
      <c r="BL249" s="31"/>
      <c r="BM249" s="31"/>
      <c r="BN249" s="31"/>
      <c r="BO249" s="16"/>
      <c r="BP249" s="31"/>
      <c r="BQ249" s="31"/>
      <c r="BR249" s="31"/>
      <c r="BS249" s="31"/>
      <c r="BT249" s="16"/>
      <c r="BU249" s="16"/>
      <c r="BV249" s="16"/>
      <c r="BW249" s="16"/>
      <c r="BX249" s="16"/>
      <c r="BY249" s="16"/>
      <c r="BZ249" s="16"/>
      <c r="CA249" s="10"/>
      <c r="CB249" s="1"/>
      <c r="CC249" s="1"/>
    </row>
    <row r="250" spans="1:81" s="52" customFormat="1" ht="63" x14ac:dyDescent="0.25">
      <c r="A250" s="1">
        <v>2</v>
      </c>
      <c r="B250" s="13" t="s">
        <v>1747</v>
      </c>
      <c r="C250" s="572"/>
      <c r="D250" s="573"/>
      <c r="E250" s="10" t="s">
        <v>887</v>
      </c>
      <c r="F250" s="13" t="s">
        <v>888</v>
      </c>
      <c r="G250" s="572"/>
      <c r="H250" s="573"/>
      <c r="I250" s="10" t="s">
        <v>889</v>
      </c>
      <c r="J250" s="13" t="s">
        <v>896</v>
      </c>
      <c r="K250" s="572"/>
      <c r="L250" s="573"/>
      <c r="M250" s="23"/>
      <c r="N250" s="23" t="s">
        <v>890</v>
      </c>
      <c r="O250" s="23" t="s">
        <v>890</v>
      </c>
      <c r="P250" s="36">
        <v>67</v>
      </c>
      <c r="Q250" s="36">
        <v>60</v>
      </c>
      <c r="R250" s="35"/>
      <c r="S250" s="312" t="s">
        <v>900</v>
      </c>
      <c r="T250" s="526" t="s">
        <v>900</v>
      </c>
      <c r="U250" s="427">
        <v>0</v>
      </c>
      <c r="V250" s="427">
        <v>1</v>
      </c>
      <c r="W250" s="108" t="s">
        <v>203</v>
      </c>
      <c r="X250" s="1">
        <v>1</v>
      </c>
      <c r="Y250" s="1">
        <v>0</v>
      </c>
      <c r="Z250" s="1">
        <v>0</v>
      </c>
      <c r="AA250" s="24"/>
      <c r="AB250" s="133" t="s">
        <v>1763</v>
      </c>
      <c r="AC250" s="162"/>
      <c r="AD250" s="108">
        <v>1</v>
      </c>
      <c r="AE250" s="156"/>
      <c r="AF250" s="156"/>
      <c r="AG250" s="377">
        <f t="shared" si="31"/>
        <v>1</v>
      </c>
      <c r="AH250" s="377" t="b">
        <f t="shared" si="28"/>
        <v>1</v>
      </c>
      <c r="AI250" s="1"/>
      <c r="AJ250" s="1"/>
      <c r="AK250" s="1"/>
      <c r="AL250" s="1"/>
      <c r="AM250" s="16">
        <f t="shared" si="29"/>
        <v>0</v>
      </c>
      <c r="AN250" s="162"/>
      <c r="AO250" s="1"/>
      <c r="AP250" s="1"/>
      <c r="AQ250" s="1"/>
      <c r="AR250" s="108"/>
      <c r="AS250" s="191" t="s">
        <v>310</v>
      </c>
      <c r="AT250" s="1">
        <f t="shared" si="32"/>
        <v>0</v>
      </c>
      <c r="AU250" s="31"/>
      <c r="AV250" s="31"/>
      <c r="AW250" s="31"/>
      <c r="AX250" s="16">
        <f>IF(AT250/V250&gt;100%,100%,(AT250/V250))</f>
        <v>0</v>
      </c>
      <c r="AY250" s="108">
        <v>1</v>
      </c>
      <c r="AZ250" s="525"/>
      <c r="BA250" s="191"/>
      <c r="BB250" s="31"/>
      <c r="BC250" s="31"/>
      <c r="BD250" s="16">
        <f t="shared" si="33"/>
        <v>0</v>
      </c>
      <c r="BE250" s="31"/>
      <c r="BF250" s="31"/>
      <c r="BG250" s="31"/>
      <c r="BH250" s="31"/>
      <c r="BI250" s="16"/>
      <c r="BJ250" s="16"/>
      <c r="BK250" s="31"/>
      <c r="BL250" s="31"/>
      <c r="BM250" s="31"/>
      <c r="BN250" s="31"/>
      <c r="BO250" s="16"/>
      <c r="BP250" s="31"/>
      <c r="BQ250" s="31"/>
      <c r="BR250" s="31"/>
      <c r="BS250" s="31"/>
      <c r="BT250" s="16"/>
      <c r="BU250" s="16"/>
      <c r="BV250" s="16"/>
      <c r="BW250" s="16"/>
      <c r="BX250" s="16"/>
      <c r="BY250" s="16"/>
      <c r="BZ250" s="16"/>
      <c r="CA250" s="1"/>
      <c r="CB250" s="1"/>
      <c r="CC250" s="1"/>
    </row>
    <row r="251" spans="1:81" s="52" customFormat="1" ht="63" x14ac:dyDescent="0.25">
      <c r="A251" s="1">
        <v>2</v>
      </c>
      <c r="B251" s="13" t="s">
        <v>1747</v>
      </c>
      <c r="C251" s="572"/>
      <c r="D251" s="573"/>
      <c r="E251" s="10" t="s">
        <v>887</v>
      </c>
      <c r="F251" s="13" t="s">
        <v>888</v>
      </c>
      <c r="G251" s="572"/>
      <c r="H251" s="573"/>
      <c r="I251" s="10" t="s">
        <v>889</v>
      </c>
      <c r="J251" s="13" t="s">
        <v>896</v>
      </c>
      <c r="K251" s="568"/>
      <c r="L251" s="570"/>
      <c r="M251" s="23"/>
      <c r="N251" s="23" t="s">
        <v>890</v>
      </c>
      <c r="O251" s="23" t="s">
        <v>890</v>
      </c>
      <c r="P251" s="36">
        <v>67</v>
      </c>
      <c r="Q251" s="36">
        <v>60</v>
      </c>
      <c r="R251" s="35"/>
      <c r="S251" s="13" t="s">
        <v>901</v>
      </c>
      <c r="T251" s="526" t="s">
        <v>901</v>
      </c>
      <c r="U251" s="36">
        <v>0</v>
      </c>
      <c r="V251" s="36">
        <v>1</v>
      </c>
      <c r="W251" s="1" t="s">
        <v>203</v>
      </c>
      <c r="X251" s="1">
        <v>1</v>
      </c>
      <c r="Y251" s="1">
        <v>0</v>
      </c>
      <c r="Z251" s="1">
        <v>0</v>
      </c>
      <c r="AA251" s="24"/>
      <c r="AB251" s="10" t="s">
        <v>1763</v>
      </c>
      <c r="AC251" s="162"/>
      <c r="AD251" s="156">
        <v>1</v>
      </c>
      <c r="AE251" s="156"/>
      <c r="AF251" s="156"/>
      <c r="AG251" s="377">
        <f t="shared" si="31"/>
        <v>1</v>
      </c>
      <c r="AH251" s="377" t="b">
        <f t="shared" si="28"/>
        <v>1</v>
      </c>
      <c r="AI251" s="1"/>
      <c r="AJ251" s="1"/>
      <c r="AK251" s="1"/>
      <c r="AL251" s="1"/>
      <c r="AM251" s="16">
        <f t="shared" si="29"/>
        <v>0</v>
      </c>
      <c r="AN251" s="162"/>
      <c r="AO251" s="1"/>
      <c r="AP251" s="1"/>
      <c r="AQ251" s="1"/>
      <c r="AR251" s="1"/>
      <c r="AS251" s="21" t="s">
        <v>310</v>
      </c>
      <c r="AT251" s="1">
        <f t="shared" si="32"/>
        <v>0</v>
      </c>
      <c r="AU251" s="31"/>
      <c r="AV251" s="31"/>
      <c r="AW251" s="31"/>
      <c r="AX251" s="16">
        <f>IF(AT251/V251&gt;100%,100%,(AT251/V251))</f>
        <v>0</v>
      </c>
      <c r="AY251" s="156">
        <v>1</v>
      </c>
      <c r="AZ251" s="525">
        <v>0</v>
      </c>
      <c r="BA251" s="31"/>
      <c r="BB251" s="31"/>
      <c r="BC251" s="31"/>
      <c r="BD251" s="16">
        <f t="shared" si="33"/>
        <v>0</v>
      </c>
      <c r="BE251" s="31"/>
      <c r="BF251" s="31"/>
      <c r="BG251" s="31"/>
      <c r="BH251" s="31"/>
      <c r="BI251" s="16"/>
      <c r="BJ251" s="16"/>
      <c r="BK251" s="31"/>
      <c r="BL251" s="31"/>
      <c r="BM251" s="31"/>
      <c r="BN251" s="31"/>
      <c r="BO251" s="16"/>
      <c r="BP251" s="31"/>
      <c r="BQ251" s="31"/>
      <c r="BR251" s="31"/>
      <c r="BS251" s="31"/>
      <c r="BT251" s="16"/>
      <c r="BU251" s="16"/>
      <c r="BV251" s="16"/>
      <c r="BW251" s="16"/>
      <c r="BX251" s="16"/>
      <c r="BY251" s="16"/>
      <c r="BZ251" s="16"/>
      <c r="CA251" s="1"/>
      <c r="CB251" s="1"/>
      <c r="CC251" s="1"/>
    </row>
    <row r="252" spans="1:81" s="52" customFormat="1" ht="63" x14ac:dyDescent="0.25">
      <c r="A252" s="1">
        <v>2</v>
      </c>
      <c r="B252" s="13" t="s">
        <v>1747</v>
      </c>
      <c r="C252" s="572"/>
      <c r="D252" s="573"/>
      <c r="E252" s="10" t="s">
        <v>887</v>
      </c>
      <c r="F252" s="13" t="s">
        <v>888</v>
      </c>
      <c r="G252" s="572"/>
      <c r="H252" s="573"/>
      <c r="I252" s="10" t="s">
        <v>902</v>
      </c>
      <c r="J252" s="13" t="s">
        <v>903</v>
      </c>
      <c r="K252" s="567">
        <f>AVERAGE(AX252:AX254)</f>
        <v>0.37407407407407406</v>
      </c>
      <c r="L252" s="569">
        <f>AVERAGE(BD252:BD254)</f>
        <v>0.66666666666666663</v>
      </c>
      <c r="M252" s="23"/>
      <c r="N252" s="23" t="s">
        <v>904</v>
      </c>
      <c r="O252" s="23" t="s">
        <v>904</v>
      </c>
      <c r="P252" s="36">
        <v>0</v>
      </c>
      <c r="Q252" s="36">
        <v>1</v>
      </c>
      <c r="R252" s="35"/>
      <c r="S252" s="13" t="s">
        <v>905</v>
      </c>
      <c r="T252" s="13" t="s">
        <v>905</v>
      </c>
      <c r="U252" s="10">
        <v>0</v>
      </c>
      <c r="V252" s="10">
        <v>3</v>
      </c>
      <c r="W252" s="1" t="s">
        <v>203</v>
      </c>
      <c r="X252" s="1">
        <v>1</v>
      </c>
      <c r="Y252" s="1">
        <v>0</v>
      </c>
      <c r="Z252" s="1">
        <v>0</v>
      </c>
      <c r="AA252" s="24"/>
      <c r="AB252" s="10" t="s">
        <v>1763</v>
      </c>
      <c r="AC252" s="162"/>
      <c r="AD252" s="156">
        <v>1</v>
      </c>
      <c r="AE252" s="156"/>
      <c r="AF252" s="156"/>
      <c r="AG252" s="377">
        <f t="shared" si="31"/>
        <v>1</v>
      </c>
      <c r="AH252" s="377" t="b">
        <f t="shared" si="28"/>
        <v>0</v>
      </c>
      <c r="AI252" s="1"/>
      <c r="AJ252" s="1"/>
      <c r="AK252" s="1"/>
      <c r="AL252" s="1"/>
      <c r="AM252" s="16">
        <f t="shared" si="29"/>
        <v>0</v>
      </c>
      <c r="AN252" s="162"/>
      <c r="AO252" s="1"/>
      <c r="AP252" s="1"/>
      <c r="AQ252" s="1"/>
      <c r="AR252" s="1"/>
      <c r="AS252" s="21" t="s">
        <v>310</v>
      </c>
      <c r="AT252" s="1">
        <f t="shared" si="32"/>
        <v>1</v>
      </c>
      <c r="AU252" s="31"/>
      <c r="AV252" s="31"/>
      <c r="AW252" s="31"/>
      <c r="AX252" s="16">
        <f t="shared" ref="AX252:AX314" si="36">IF(AT252/V252&gt;100%,100%,(AT252/V252))</f>
        <v>0.33333333333333331</v>
      </c>
      <c r="AY252" s="156">
        <v>1</v>
      </c>
      <c r="AZ252" s="76">
        <v>1</v>
      </c>
      <c r="BA252" s="31"/>
      <c r="BB252" s="31"/>
      <c r="BC252" s="31"/>
      <c r="BD252" s="16">
        <f t="shared" si="33"/>
        <v>1</v>
      </c>
      <c r="BE252" s="31"/>
      <c r="BF252" s="31"/>
      <c r="BG252" s="31"/>
      <c r="BH252" s="31"/>
      <c r="BI252" s="16"/>
      <c r="BJ252" s="16"/>
      <c r="BK252" s="31"/>
      <c r="BL252" s="31"/>
      <c r="BM252" s="31"/>
      <c r="BN252" s="31"/>
      <c r="BO252" s="16"/>
      <c r="BP252" s="31"/>
      <c r="BQ252" s="31"/>
      <c r="BR252" s="31"/>
      <c r="BS252" s="31"/>
      <c r="BT252" s="16"/>
      <c r="BU252" s="16"/>
      <c r="BV252" s="16"/>
      <c r="BW252" s="16"/>
      <c r="BX252" s="16"/>
      <c r="BY252" s="16"/>
      <c r="BZ252" s="16"/>
      <c r="CA252" s="1"/>
      <c r="CB252" s="1"/>
      <c r="CC252" s="1"/>
    </row>
    <row r="253" spans="1:81" s="52" customFormat="1" ht="72" customHeight="1" x14ac:dyDescent="0.25">
      <c r="A253" s="1">
        <v>2</v>
      </c>
      <c r="B253" s="13" t="s">
        <v>1747</v>
      </c>
      <c r="C253" s="572"/>
      <c r="D253" s="573"/>
      <c r="E253" s="10" t="s">
        <v>887</v>
      </c>
      <c r="F253" s="13" t="s">
        <v>888</v>
      </c>
      <c r="G253" s="572"/>
      <c r="H253" s="573"/>
      <c r="I253" s="10" t="s">
        <v>902</v>
      </c>
      <c r="J253" s="13" t="s">
        <v>903</v>
      </c>
      <c r="K253" s="572"/>
      <c r="L253" s="573"/>
      <c r="M253" s="13"/>
      <c r="N253" s="13" t="s">
        <v>904</v>
      </c>
      <c r="O253" s="13" t="s">
        <v>904</v>
      </c>
      <c r="P253" s="36">
        <v>0</v>
      </c>
      <c r="Q253" s="36">
        <v>1</v>
      </c>
      <c r="R253" s="35"/>
      <c r="S253" s="13" t="s">
        <v>906</v>
      </c>
      <c r="T253" s="13" t="s">
        <v>906</v>
      </c>
      <c r="U253" s="10">
        <v>0</v>
      </c>
      <c r="V253" s="10">
        <v>90</v>
      </c>
      <c r="W253" s="1" t="s">
        <v>203</v>
      </c>
      <c r="X253" s="10" t="s">
        <v>907</v>
      </c>
      <c r="Y253" s="1" t="s">
        <v>893</v>
      </c>
      <c r="Z253" s="1" t="s">
        <v>894</v>
      </c>
      <c r="AA253" s="13" t="s">
        <v>895</v>
      </c>
      <c r="AB253" s="10" t="s">
        <v>1763</v>
      </c>
      <c r="AC253" s="162">
        <v>10</v>
      </c>
      <c r="AD253" s="156">
        <v>30</v>
      </c>
      <c r="AE253" s="156">
        <v>30</v>
      </c>
      <c r="AF253" s="156">
        <v>20</v>
      </c>
      <c r="AG253" s="377">
        <f t="shared" si="31"/>
        <v>90</v>
      </c>
      <c r="AH253" s="377" t="b">
        <f t="shared" si="28"/>
        <v>1</v>
      </c>
      <c r="AI253" s="10">
        <v>5</v>
      </c>
      <c r="AJ253" s="10">
        <v>6</v>
      </c>
      <c r="AK253" s="10">
        <v>10</v>
      </c>
      <c r="AL253" s="10">
        <v>10</v>
      </c>
      <c r="AM253" s="16">
        <f t="shared" si="29"/>
        <v>0.1111111111111111</v>
      </c>
      <c r="AN253" s="162">
        <v>10</v>
      </c>
      <c r="AO253" s="1">
        <v>5</v>
      </c>
      <c r="AP253" s="1">
        <v>6</v>
      </c>
      <c r="AQ253" s="1"/>
      <c r="AR253" s="1">
        <f>AL253</f>
        <v>10</v>
      </c>
      <c r="AS253" s="21">
        <f>IFERROR(+AR253/AN253,0)</f>
        <v>1</v>
      </c>
      <c r="AT253" s="1">
        <f t="shared" si="32"/>
        <v>71</v>
      </c>
      <c r="AU253" s="31"/>
      <c r="AV253" s="31"/>
      <c r="AW253" s="31"/>
      <c r="AX253" s="16">
        <f t="shared" si="36"/>
        <v>0.78888888888888886</v>
      </c>
      <c r="AY253" s="156">
        <v>30</v>
      </c>
      <c r="AZ253" s="76">
        <v>61</v>
      </c>
      <c r="BA253" s="422"/>
      <c r="BB253" s="31"/>
      <c r="BC253" s="31"/>
      <c r="BD253" s="16">
        <f t="shared" si="33"/>
        <v>1</v>
      </c>
      <c r="BE253" s="31"/>
      <c r="BF253" s="31"/>
      <c r="BG253" s="31"/>
      <c r="BH253" s="31"/>
      <c r="BI253" s="16"/>
      <c r="BJ253" s="16"/>
      <c r="BK253" s="31"/>
      <c r="BL253" s="31"/>
      <c r="BM253" s="31"/>
      <c r="BN253" s="31"/>
      <c r="BO253" s="16"/>
      <c r="BP253" s="31"/>
      <c r="BQ253" s="31"/>
      <c r="BR253" s="31"/>
      <c r="BS253" s="31"/>
      <c r="BT253" s="16"/>
      <c r="BU253" s="16"/>
      <c r="BV253" s="16"/>
      <c r="BW253" s="16"/>
      <c r="BX253" s="16"/>
      <c r="BY253" s="16"/>
      <c r="BZ253" s="16"/>
      <c r="CA253" s="1"/>
      <c r="CB253" s="1"/>
      <c r="CC253" s="1"/>
    </row>
    <row r="254" spans="1:81" s="52" customFormat="1" ht="63" x14ac:dyDescent="0.25">
      <c r="A254" s="1">
        <v>2</v>
      </c>
      <c r="B254" s="13" t="s">
        <v>1747</v>
      </c>
      <c r="C254" s="572"/>
      <c r="D254" s="573"/>
      <c r="E254" s="10" t="s">
        <v>887</v>
      </c>
      <c r="F254" s="13" t="s">
        <v>888</v>
      </c>
      <c r="G254" s="568"/>
      <c r="H254" s="570"/>
      <c r="I254" s="10" t="s">
        <v>902</v>
      </c>
      <c r="J254" s="13" t="s">
        <v>903</v>
      </c>
      <c r="K254" s="568"/>
      <c r="L254" s="570"/>
      <c r="M254" s="23"/>
      <c r="N254" s="23" t="s">
        <v>904</v>
      </c>
      <c r="O254" s="23" t="s">
        <v>904</v>
      </c>
      <c r="P254" s="36">
        <v>0</v>
      </c>
      <c r="Q254" s="36">
        <v>1</v>
      </c>
      <c r="R254" s="35"/>
      <c r="S254" s="312" t="s">
        <v>908</v>
      </c>
      <c r="T254" s="13" t="s">
        <v>908</v>
      </c>
      <c r="U254" s="133">
        <v>0</v>
      </c>
      <c r="V254" s="133">
        <v>1</v>
      </c>
      <c r="W254" s="108" t="s">
        <v>203</v>
      </c>
      <c r="X254" s="1"/>
      <c r="Y254" s="1"/>
      <c r="Z254" s="1">
        <v>1</v>
      </c>
      <c r="AA254" s="24">
        <v>0</v>
      </c>
      <c r="AB254" s="133" t="s">
        <v>1763</v>
      </c>
      <c r="AC254" s="162"/>
      <c r="AD254" s="108">
        <v>1</v>
      </c>
      <c r="AE254" s="156"/>
      <c r="AF254" s="156"/>
      <c r="AG254" s="377">
        <f t="shared" si="31"/>
        <v>1</v>
      </c>
      <c r="AH254" s="377" t="b">
        <f t="shared" si="28"/>
        <v>1</v>
      </c>
      <c r="AI254" s="1"/>
      <c r="AJ254" s="1"/>
      <c r="AK254" s="1"/>
      <c r="AL254" s="1"/>
      <c r="AM254" s="16">
        <f t="shared" si="29"/>
        <v>0</v>
      </c>
      <c r="AN254" s="162"/>
      <c r="AO254" s="1"/>
      <c r="AP254" s="1"/>
      <c r="AQ254" s="1"/>
      <c r="AR254" s="108"/>
      <c r="AS254" s="191" t="s">
        <v>310</v>
      </c>
      <c r="AT254" s="1">
        <f t="shared" si="32"/>
        <v>0</v>
      </c>
      <c r="AU254" s="31"/>
      <c r="AV254" s="31"/>
      <c r="AW254" s="31"/>
      <c r="AX254" s="16">
        <f t="shared" si="36"/>
        <v>0</v>
      </c>
      <c r="AY254" s="108">
        <v>1</v>
      </c>
      <c r="AZ254" s="108"/>
      <c r="BA254" s="191"/>
      <c r="BB254" s="31"/>
      <c r="BC254" s="31"/>
      <c r="BD254" s="16">
        <f t="shared" si="33"/>
        <v>0</v>
      </c>
      <c r="BE254" s="31"/>
      <c r="BF254" s="31"/>
      <c r="BG254" s="31"/>
      <c r="BH254" s="31"/>
      <c r="BI254" s="16"/>
      <c r="BJ254" s="16"/>
      <c r="BK254" s="31"/>
      <c r="BL254" s="31"/>
      <c r="BM254" s="31"/>
      <c r="BN254" s="31"/>
      <c r="BO254" s="16"/>
      <c r="BP254" s="31"/>
      <c r="BQ254" s="31"/>
      <c r="BR254" s="31"/>
      <c r="BS254" s="31"/>
      <c r="BT254" s="16"/>
      <c r="BU254" s="16"/>
      <c r="BV254" s="16"/>
      <c r="BW254" s="16"/>
      <c r="BX254" s="16"/>
      <c r="BY254" s="16"/>
      <c r="BZ254" s="16"/>
      <c r="CA254" s="1"/>
      <c r="CB254" s="1"/>
      <c r="CC254" s="1"/>
    </row>
    <row r="255" spans="1:81" s="52" customFormat="1" ht="98.25" customHeight="1" x14ac:dyDescent="0.25">
      <c r="A255" s="1">
        <v>2</v>
      </c>
      <c r="B255" s="13" t="s">
        <v>1747</v>
      </c>
      <c r="C255" s="572"/>
      <c r="D255" s="573"/>
      <c r="E255" s="10" t="s">
        <v>909</v>
      </c>
      <c r="F255" s="13" t="s">
        <v>910</v>
      </c>
      <c r="G255" s="567">
        <f>+AVERAGEIF(F14:F567,F255,AX14:AX567)</f>
        <v>0.22017976969301467</v>
      </c>
      <c r="H255" s="569">
        <f>+AVERAGEIF(F14:F567,F255,BD14:BD567)</f>
        <v>0.37503049785364378</v>
      </c>
      <c r="I255" s="10" t="s">
        <v>911</v>
      </c>
      <c r="J255" s="13" t="s">
        <v>912</v>
      </c>
      <c r="K255" s="143">
        <f>AVERAGE(AX255)</f>
        <v>2.032520325203252E-2</v>
      </c>
      <c r="L255" s="144">
        <f>AVERAGE(BD255)</f>
        <v>0.1360544217687075</v>
      </c>
      <c r="M255" s="23"/>
      <c r="N255" s="23" t="s">
        <v>913</v>
      </c>
      <c r="O255" s="13" t="s">
        <v>914</v>
      </c>
      <c r="P255" s="10">
        <v>1.4E-2</v>
      </c>
      <c r="Q255" s="10">
        <v>0.02</v>
      </c>
      <c r="R255" s="13"/>
      <c r="S255" s="13" t="s">
        <v>915</v>
      </c>
      <c r="T255" s="13" t="s">
        <v>916</v>
      </c>
      <c r="U255" s="19">
        <v>6900</v>
      </c>
      <c r="V255" s="19">
        <v>9840</v>
      </c>
      <c r="W255" s="19" t="s">
        <v>49</v>
      </c>
      <c r="X255" s="10" t="s">
        <v>917</v>
      </c>
      <c r="Y255" s="10" t="s">
        <v>918</v>
      </c>
      <c r="Z255" s="1"/>
      <c r="AA255" s="13" t="s">
        <v>919</v>
      </c>
      <c r="AB255" s="10" t="s">
        <v>1768</v>
      </c>
      <c r="AC255" s="372">
        <v>735</v>
      </c>
      <c r="AD255" s="156">
        <v>1470</v>
      </c>
      <c r="AE255" s="371">
        <v>735</v>
      </c>
      <c r="AF255" s="371">
        <v>735</v>
      </c>
      <c r="AG255" s="377">
        <f t="shared" si="31"/>
        <v>3675</v>
      </c>
      <c r="AH255" s="377" t="b">
        <f t="shared" si="28"/>
        <v>0</v>
      </c>
      <c r="AI255" s="19">
        <v>0</v>
      </c>
      <c r="AJ255" s="19">
        <f>0+AI255</f>
        <v>0</v>
      </c>
      <c r="AK255" s="19">
        <v>0</v>
      </c>
      <c r="AL255" s="19">
        <v>0</v>
      </c>
      <c r="AM255" s="16">
        <f t="shared" si="29"/>
        <v>0</v>
      </c>
      <c r="AN255" s="162">
        <v>735</v>
      </c>
      <c r="AO255" s="19">
        <v>0</v>
      </c>
      <c r="AP255" s="19">
        <f>0+AO255</f>
        <v>0</v>
      </c>
      <c r="AQ255" s="19"/>
      <c r="AR255" s="19">
        <f>AL255</f>
        <v>0</v>
      </c>
      <c r="AS255" s="21">
        <f>IFERROR(+AR255/AN255,0)</f>
        <v>0</v>
      </c>
      <c r="AT255" s="1">
        <f t="shared" si="32"/>
        <v>200</v>
      </c>
      <c r="AU255" s="31"/>
      <c r="AV255" s="31"/>
      <c r="AW255" s="31"/>
      <c r="AX255" s="16">
        <f t="shared" si="36"/>
        <v>2.032520325203252E-2</v>
      </c>
      <c r="AY255" s="156">
        <v>1470</v>
      </c>
      <c r="AZ255" s="76">
        <v>200</v>
      </c>
      <c r="BA255" s="31"/>
      <c r="BB255" s="31"/>
      <c r="BC255" s="31"/>
      <c r="BD255" s="16">
        <f t="shared" si="33"/>
        <v>0.1360544217687075</v>
      </c>
      <c r="BE255" s="31"/>
      <c r="BF255" s="31"/>
      <c r="BG255" s="31"/>
      <c r="BH255" s="31"/>
      <c r="BI255" s="16"/>
      <c r="BJ255" s="16"/>
      <c r="BK255" s="31"/>
      <c r="BL255" s="31"/>
      <c r="BM255" s="31"/>
      <c r="BN255" s="31"/>
      <c r="BO255" s="16"/>
      <c r="BP255" s="31"/>
      <c r="BQ255" s="31"/>
      <c r="BR255" s="31"/>
      <c r="BS255" s="31"/>
      <c r="BT255" s="16"/>
      <c r="BU255" s="16"/>
      <c r="BV255" s="16"/>
      <c r="BW255" s="16"/>
      <c r="BX255" s="16"/>
      <c r="BY255" s="16"/>
      <c r="BZ255" s="16"/>
      <c r="CA255" s="1"/>
      <c r="CB255" s="1"/>
      <c r="CC255" s="1"/>
    </row>
    <row r="256" spans="1:81" s="52" customFormat="1" ht="98.25" customHeight="1" x14ac:dyDescent="0.25">
      <c r="A256" s="1">
        <v>2</v>
      </c>
      <c r="B256" s="13" t="s">
        <v>1747</v>
      </c>
      <c r="C256" s="572"/>
      <c r="D256" s="573"/>
      <c r="E256" s="10" t="s">
        <v>909</v>
      </c>
      <c r="F256" s="13" t="s">
        <v>910</v>
      </c>
      <c r="G256" s="572"/>
      <c r="H256" s="573"/>
      <c r="I256" s="10" t="s">
        <v>920</v>
      </c>
      <c r="J256" s="13" t="s">
        <v>921</v>
      </c>
      <c r="K256" s="143">
        <f>AVERAGE(AX256)</f>
        <v>6.6559999999999994E-2</v>
      </c>
      <c r="L256" s="144">
        <f>AVERAGE(BD256)</f>
        <v>2.8307508939213348E-2</v>
      </c>
      <c r="M256" s="10"/>
      <c r="N256" s="23" t="s">
        <v>922</v>
      </c>
      <c r="O256" s="23" t="s">
        <v>923</v>
      </c>
      <c r="P256" s="18">
        <v>0.11</v>
      </c>
      <c r="Q256" s="18">
        <v>0.5</v>
      </c>
      <c r="R256" s="20"/>
      <c r="S256" s="23" t="s">
        <v>924</v>
      </c>
      <c r="T256" s="23" t="s">
        <v>925</v>
      </c>
      <c r="U256" s="19">
        <v>5552</v>
      </c>
      <c r="V256" s="19">
        <v>25000</v>
      </c>
      <c r="W256" s="19" t="s">
        <v>49</v>
      </c>
      <c r="X256" s="10"/>
      <c r="Y256" s="10" t="s">
        <v>918</v>
      </c>
      <c r="Z256" s="1"/>
      <c r="AA256" s="13" t="s">
        <v>919</v>
      </c>
      <c r="AB256" s="10" t="s">
        <v>1768</v>
      </c>
      <c r="AC256" s="372">
        <v>1200</v>
      </c>
      <c r="AD256" s="156">
        <v>6712</v>
      </c>
      <c r="AE256" s="371">
        <v>6152</v>
      </c>
      <c r="AF256" s="371">
        <v>6304</v>
      </c>
      <c r="AG256" s="377">
        <f t="shared" si="31"/>
        <v>20368</v>
      </c>
      <c r="AH256" s="377" t="b">
        <f t="shared" si="28"/>
        <v>0</v>
      </c>
      <c r="AI256" s="19">
        <v>140</v>
      </c>
      <c r="AJ256" s="19">
        <v>640</v>
      </c>
      <c r="AK256" s="19">
        <v>640</v>
      </c>
      <c r="AL256" s="339">
        <v>1474</v>
      </c>
      <c r="AM256" s="16">
        <f>+AL256/V256</f>
        <v>5.8959999999999999E-2</v>
      </c>
      <c r="AN256" s="162">
        <v>1200</v>
      </c>
      <c r="AO256" s="19">
        <v>140</v>
      </c>
      <c r="AP256" s="19">
        <v>640</v>
      </c>
      <c r="AQ256" s="19"/>
      <c r="AR256" s="19">
        <f t="shared" ref="AR256:AR261" si="37">AL256</f>
        <v>1474</v>
      </c>
      <c r="AS256" s="21">
        <v>1</v>
      </c>
      <c r="AT256" s="1">
        <f t="shared" si="32"/>
        <v>1664</v>
      </c>
      <c r="AU256" s="31"/>
      <c r="AV256" s="31"/>
      <c r="AW256" s="31"/>
      <c r="AX256" s="16">
        <f t="shared" si="36"/>
        <v>6.6559999999999994E-2</v>
      </c>
      <c r="AY256" s="156">
        <v>6712</v>
      </c>
      <c r="AZ256" s="76">
        <v>190</v>
      </c>
      <c r="BA256" s="31"/>
      <c r="BB256" s="31"/>
      <c r="BC256" s="31"/>
      <c r="BD256" s="16">
        <f t="shared" si="33"/>
        <v>2.8307508939213348E-2</v>
      </c>
      <c r="BE256" s="31"/>
      <c r="BF256" s="31"/>
      <c r="BG256" s="31"/>
      <c r="BH256" s="31"/>
      <c r="BI256" s="16"/>
      <c r="BJ256" s="16"/>
      <c r="BK256" s="31"/>
      <c r="BL256" s="31"/>
      <c r="BM256" s="31"/>
      <c r="BN256" s="31"/>
      <c r="BO256" s="16"/>
      <c r="BP256" s="31"/>
      <c r="BQ256" s="31"/>
      <c r="BR256" s="31"/>
      <c r="BS256" s="31"/>
      <c r="BT256" s="16"/>
      <c r="BU256" s="16"/>
      <c r="BV256" s="16"/>
      <c r="BW256" s="16"/>
      <c r="BX256" s="16"/>
      <c r="BY256" s="16"/>
      <c r="BZ256" s="16"/>
      <c r="CA256" s="1"/>
      <c r="CB256" s="1"/>
      <c r="CC256" s="1"/>
    </row>
    <row r="257" spans="1:81" s="52" customFormat="1" ht="121.5" customHeight="1" x14ac:dyDescent="0.25">
      <c r="A257" s="1">
        <v>2</v>
      </c>
      <c r="B257" s="13" t="s">
        <v>1747</v>
      </c>
      <c r="C257" s="572"/>
      <c r="D257" s="573"/>
      <c r="E257" s="10" t="s">
        <v>909</v>
      </c>
      <c r="F257" s="13" t="s">
        <v>910</v>
      </c>
      <c r="G257" s="572"/>
      <c r="H257" s="573"/>
      <c r="I257" s="10" t="s">
        <v>926</v>
      </c>
      <c r="J257" s="13" t="s">
        <v>927</v>
      </c>
      <c r="K257" s="567">
        <f>AVERAGE(AX257:AX259)</f>
        <v>0.10006837606837608</v>
      </c>
      <c r="L257" s="569">
        <f>AVERAGE(BD257:BD259)</f>
        <v>0.54842975206611566</v>
      </c>
      <c r="M257" s="23"/>
      <c r="N257" s="23" t="s">
        <v>928</v>
      </c>
      <c r="O257" s="23" t="s">
        <v>929</v>
      </c>
      <c r="P257" s="18">
        <v>0.15</v>
      </c>
      <c r="Q257" s="18">
        <v>0.39</v>
      </c>
      <c r="R257" s="12"/>
      <c r="S257" s="23" t="s">
        <v>930</v>
      </c>
      <c r="T257" s="23" t="s">
        <v>931</v>
      </c>
      <c r="U257" s="19">
        <v>7400</v>
      </c>
      <c r="V257" s="19">
        <v>19500</v>
      </c>
      <c r="W257" s="19" t="s">
        <v>49</v>
      </c>
      <c r="X257" s="10" t="s">
        <v>932</v>
      </c>
      <c r="Y257" s="10" t="s">
        <v>918</v>
      </c>
      <c r="Z257" s="10"/>
      <c r="AA257" s="13" t="s">
        <v>919</v>
      </c>
      <c r="AB257" s="10" t="s">
        <v>1768</v>
      </c>
      <c r="AC257" s="373">
        <v>3025</v>
      </c>
      <c r="AD257" s="156">
        <v>3025</v>
      </c>
      <c r="AE257" s="373">
        <v>3025</v>
      </c>
      <c r="AF257" s="373">
        <v>3025</v>
      </c>
      <c r="AG257" s="377">
        <f t="shared" si="31"/>
        <v>12100</v>
      </c>
      <c r="AH257" s="377" t="b">
        <f t="shared" si="28"/>
        <v>0</v>
      </c>
      <c r="AI257" s="19">
        <v>0</v>
      </c>
      <c r="AJ257" s="19">
        <v>2250</v>
      </c>
      <c r="AK257" s="19">
        <v>2250</v>
      </c>
      <c r="AL257" s="339">
        <v>3025</v>
      </c>
      <c r="AM257" s="16">
        <f t="shared" si="29"/>
        <v>0.15512820512820513</v>
      </c>
      <c r="AN257" s="163">
        <v>3025</v>
      </c>
      <c r="AO257" s="19">
        <v>0</v>
      </c>
      <c r="AP257" s="19">
        <v>2250</v>
      </c>
      <c r="AQ257" s="19"/>
      <c r="AR257" s="19">
        <f t="shared" si="37"/>
        <v>3025</v>
      </c>
      <c r="AS257" s="21">
        <f>IFERROR(+AR257/AN257,0)</f>
        <v>1</v>
      </c>
      <c r="AT257" s="1">
        <f t="shared" si="32"/>
        <v>4684</v>
      </c>
      <c r="AU257" s="31"/>
      <c r="AV257" s="31"/>
      <c r="AW257" s="31"/>
      <c r="AX257" s="16">
        <f t="shared" si="36"/>
        <v>0.24020512820512821</v>
      </c>
      <c r="AY257" s="156">
        <v>3025</v>
      </c>
      <c r="AZ257" s="76">
        <v>1659</v>
      </c>
      <c r="BA257" s="31"/>
      <c r="BB257" s="31"/>
      <c r="BC257" s="31"/>
      <c r="BD257" s="16">
        <f t="shared" si="33"/>
        <v>0.54842975206611566</v>
      </c>
      <c r="BE257" s="31"/>
      <c r="BF257" s="31"/>
      <c r="BG257" s="31"/>
      <c r="BH257" s="31"/>
      <c r="BI257" s="16"/>
      <c r="BJ257" s="16"/>
      <c r="BK257" s="31"/>
      <c r="BL257" s="31"/>
      <c r="BM257" s="31"/>
      <c r="BN257" s="31"/>
      <c r="BO257" s="16"/>
      <c r="BP257" s="31"/>
      <c r="BQ257" s="31"/>
      <c r="BR257" s="31"/>
      <c r="BS257" s="31"/>
      <c r="BT257" s="16"/>
      <c r="BU257" s="16"/>
      <c r="BV257" s="16"/>
      <c r="BW257" s="16"/>
      <c r="BX257" s="16"/>
      <c r="BY257" s="16"/>
      <c r="BZ257" s="16"/>
      <c r="CA257" s="1"/>
      <c r="CB257" s="1"/>
      <c r="CC257" s="1"/>
    </row>
    <row r="258" spans="1:81" s="52" customFormat="1" ht="82.15" customHeight="1" x14ac:dyDescent="0.25">
      <c r="A258" s="1">
        <v>2</v>
      </c>
      <c r="B258" s="13" t="s">
        <v>1747</v>
      </c>
      <c r="C258" s="572"/>
      <c r="D258" s="573"/>
      <c r="E258" s="10" t="s">
        <v>909</v>
      </c>
      <c r="F258" s="13" t="s">
        <v>910</v>
      </c>
      <c r="G258" s="572"/>
      <c r="H258" s="573"/>
      <c r="I258" s="10" t="s">
        <v>926</v>
      </c>
      <c r="J258" s="13" t="s">
        <v>927</v>
      </c>
      <c r="K258" s="572"/>
      <c r="L258" s="573"/>
      <c r="M258" s="23"/>
      <c r="N258" s="10" t="s">
        <v>933</v>
      </c>
      <c r="O258" s="13" t="s">
        <v>934</v>
      </c>
      <c r="P258" s="18">
        <v>0</v>
      </c>
      <c r="Q258" s="18">
        <v>1</v>
      </c>
      <c r="R258" s="20"/>
      <c r="S258" s="13" t="s">
        <v>935</v>
      </c>
      <c r="T258" s="13" t="s">
        <v>936</v>
      </c>
      <c r="U258" s="19">
        <v>0</v>
      </c>
      <c r="V258" s="19">
        <v>2</v>
      </c>
      <c r="W258" s="19" t="s">
        <v>49</v>
      </c>
      <c r="X258" s="1"/>
      <c r="Y258" s="1"/>
      <c r="Z258" s="1"/>
      <c r="AA258" s="13" t="s">
        <v>919</v>
      </c>
      <c r="AB258" s="10" t="s">
        <v>1768</v>
      </c>
      <c r="AC258" s="163"/>
      <c r="AD258" s="156"/>
      <c r="AE258" s="156">
        <v>1</v>
      </c>
      <c r="AF258" s="156">
        <v>1</v>
      </c>
      <c r="AG258" s="377">
        <f t="shared" si="31"/>
        <v>2</v>
      </c>
      <c r="AH258" s="377" t="b">
        <f t="shared" si="28"/>
        <v>1</v>
      </c>
      <c r="AI258" s="19"/>
      <c r="AJ258" s="19"/>
      <c r="AK258" s="19">
        <v>0</v>
      </c>
      <c r="AL258" s="19">
        <v>0</v>
      </c>
      <c r="AM258" s="16">
        <f t="shared" si="29"/>
        <v>0</v>
      </c>
      <c r="AN258" s="163"/>
      <c r="AO258" s="19"/>
      <c r="AP258" s="19"/>
      <c r="AQ258" s="19"/>
      <c r="AR258" s="19"/>
      <c r="AS258" s="21" t="s">
        <v>310</v>
      </c>
      <c r="AT258" s="1">
        <f t="shared" si="32"/>
        <v>0</v>
      </c>
      <c r="AU258" s="31"/>
      <c r="AV258" s="31"/>
      <c r="AW258" s="31"/>
      <c r="AX258" s="16">
        <f t="shared" si="36"/>
        <v>0</v>
      </c>
      <c r="AY258" s="156" t="s">
        <v>310</v>
      </c>
      <c r="AZ258" s="76"/>
      <c r="BA258" s="31"/>
      <c r="BB258" s="31"/>
      <c r="BC258" s="31"/>
      <c r="BD258" s="16" t="str">
        <f t="shared" si="33"/>
        <v>NP</v>
      </c>
      <c r="BE258" s="31"/>
      <c r="BF258" s="31"/>
      <c r="BG258" s="31"/>
      <c r="BH258" s="31"/>
      <c r="BI258" s="16"/>
      <c r="BJ258" s="16"/>
      <c r="BK258" s="31"/>
      <c r="BL258" s="31"/>
      <c r="BM258" s="31"/>
      <c r="BN258" s="31"/>
      <c r="BO258" s="16"/>
      <c r="BP258" s="31"/>
      <c r="BQ258" s="31"/>
      <c r="BR258" s="31"/>
      <c r="BS258" s="31"/>
      <c r="BT258" s="16"/>
      <c r="BU258" s="16"/>
      <c r="BV258" s="16"/>
      <c r="BW258" s="16"/>
      <c r="BX258" s="16"/>
      <c r="BY258" s="16"/>
      <c r="BZ258" s="16"/>
      <c r="CA258" s="1"/>
      <c r="CB258" s="1"/>
      <c r="CC258" s="1"/>
    </row>
    <row r="259" spans="1:81" s="52" customFormat="1" ht="98.25" customHeight="1" x14ac:dyDescent="0.25">
      <c r="A259" s="1">
        <v>2</v>
      </c>
      <c r="B259" s="13" t="s">
        <v>1747</v>
      </c>
      <c r="C259" s="572"/>
      <c r="D259" s="573"/>
      <c r="E259" s="10" t="s">
        <v>909</v>
      </c>
      <c r="F259" s="13" t="s">
        <v>910</v>
      </c>
      <c r="G259" s="572"/>
      <c r="H259" s="573"/>
      <c r="I259" s="10" t="s">
        <v>926</v>
      </c>
      <c r="J259" s="13" t="s">
        <v>927</v>
      </c>
      <c r="K259" s="568"/>
      <c r="L259" s="570"/>
      <c r="M259" s="23"/>
      <c r="N259" s="10" t="s">
        <v>937</v>
      </c>
      <c r="O259" s="13" t="s">
        <v>938</v>
      </c>
      <c r="P259" s="18">
        <v>0.34</v>
      </c>
      <c r="Q259" s="18">
        <v>1</v>
      </c>
      <c r="R259" s="20"/>
      <c r="S259" s="13" t="s">
        <v>939</v>
      </c>
      <c r="T259" s="13" t="s">
        <v>940</v>
      </c>
      <c r="U259" s="19">
        <v>3</v>
      </c>
      <c r="V259" s="19">
        <v>5</v>
      </c>
      <c r="W259" s="19" t="s">
        <v>49</v>
      </c>
      <c r="X259" s="10" t="s">
        <v>941</v>
      </c>
      <c r="Y259" s="10" t="s">
        <v>942</v>
      </c>
      <c r="Z259" s="1"/>
      <c r="AA259" s="13" t="s">
        <v>919</v>
      </c>
      <c r="AB259" s="10" t="s">
        <v>1768</v>
      </c>
      <c r="AC259" s="163">
        <v>1</v>
      </c>
      <c r="AD259" s="156"/>
      <c r="AE259" s="156">
        <v>1</v>
      </c>
      <c r="AF259" s="156">
        <v>1</v>
      </c>
      <c r="AG259" s="377">
        <f t="shared" si="31"/>
        <v>3</v>
      </c>
      <c r="AH259" s="377" t="b">
        <f t="shared" si="28"/>
        <v>0</v>
      </c>
      <c r="AI259" s="19">
        <v>0</v>
      </c>
      <c r="AJ259" s="296">
        <v>0.3</v>
      </c>
      <c r="AK259" s="296">
        <v>0.3</v>
      </c>
      <c r="AL259" s="296">
        <v>0.3</v>
      </c>
      <c r="AM259" s="16">
        <f t="shared" si="29"/>
        <v>0.06</v>
      </c>
      <c r="AN259" s="163">
        <v>1</v>
      </c>
      <c r="AO259" s="19">
        <v>0</v>
      </c>
      <c r="AP259" s="296">
        <v>0.3</v>
      </c>
      <c r="AQ259" s="296"/>
      <c r="AR259" s="19">
        <f t="shared" si="37"/>
        <v>0.3</v>
      </c>
      <c r="AS259" s="21">
        <f>IFERROR(+AR259/AN259,0)</f>
        <v>0.3</v>
      </c>
      <c r="AT259" s="1">
        <f t="shared" si="32"/>
        <v>0.3</v>
      </c>
      <c r="AU259" s="31"/>
      <c r="AV259" s="31"/>
      <c r="AW259" s="31"/>
      <c r="AX259" s="16">
        <f t="shared" si="36"/>
        <v>0.06</v>
      </c>
      <c r="AY259" s="156" t="s">
        <v>310</v>
      </c>
      <c r="AZ259" s="76"/>
      <c r="BA259" s="31"/>
      <c r="BB259" s="31"/>
      <c r="BC259" s="31"/>
      <c r="BD259" s="16" t="str">
        <f t="shared" si="33"/>
        <v>NP</v>
      </c>
      <c r="BE259" s="31"/>
      <c r="BF259" s="31"/>
      <c r="BG259" s="31"/>
      <c r="BH259" s="31"/>
      <c r="BI259" s="16"/>
      <c r="BJ259" s="16"/>
      <c r="BK259" s="31"/>
      <c r="BL259" s="31"/>
      <c r="BM259" s="31"/>
      <c r="BN259" s="31"/>
      <c r="BO259" s="16"/>
      <c r="BP259" s="31"/>
      <c r="BQ259" s="31"/>
      <c r="BR259" s="31"/>
      <c r="BS259" s="31"/>
      <c r="BT259" s="16"/>
      <c r="BU259" s="16"/>
      <c r="BV259" s="16"/>
      <c r="BW259" s="16"/>
      <c r="BX259" s="16"/>
      <c r="BY259" s="16"/>
      <c r="BZ259" s="16"/>
      <c r="CA259" s="1"/>
      <c r="CB259" s="1"/>
      <c r="CC259" s="1"/>
    </row>
    <row r="260" spans="1:81" s="52" customFormat="1" ht="98.25" customHeight="1" x14ac:dyDescent="0.25">
      <c r="A260" s="1">
        <v>2</v>
      </c>
      <c r="B260" s="13" t="s">
        <v>1747</v>
      </c>
      <c r="C260" s="572"/>
      <c r="D260" s="573"/>
      <c r="E260" s="10" t="s">
        <v>909</v>
      </c>
      <c r="F260" s="13" t="s">
        <v>910</v>
      </c>
      <c r="G260" s="572"/>
      <c r="H260" s="573"/>
      <c r="I260" s="10" t="s">
        <v>943</v>
      </c>
      <c r="J260" s="13" t="s">
        <v>944</v>
      </c>
      <c r="K260" s="143">
        <f>AVERAGE(AX260)</f>
        <v>0.30434782608695654</v>
      </c>
      <c r="L260" s="144">
        <f>AVERAGE(BD260)</f>
        <v>0.21739130434782608</v>
      </c>
      <c r="M260" s="23"/>
      <c r="N260" s="23" t="s">
        <v>945</v>
      </c>
      <c r="O260" s="13" t="s">
        <v>946</v>
      </c>
      <c r="P260" s="18">
        <v>0</v>
      </c>
      <c r="Q260" s="18">
        <v>1</v>
      </c>
      <c r="R260" s="20"/>
      <c r="S260" s="13" t="s">
        <v>945</v>
      </c>
      <c r="T260" s="13" t="s">
        <v>947</v>
      </c>
      <c r="U260" s="19">
        <v>0</v>
      </c>
      <c r="V260" s="19">
        <v>46</v>
      </c>
      <c r="W260" s="19" t="s">
        <v>78</v>
      </c>
      <c r="X260" s="10" t="s">
        <v>948</v>
      </c>
      <c r="Y260" s="10" t="s">
        <v>918</v>
      </c>
      <c r="Z260" s="1"/>
      <c r="AA260" s="13" t="s">
        <v>919</v>
      </c>
      <c r="AB260" s="10" t="s">
        <v>1768</v>
      </c>
      <c r="AC260" s="163">
        <v>46</v>
      </c>
      <c r="AD260" s="156">
        <v>46</v>
      </c>
      <c r="AE260" s="156">
        <v>46</v>
      </c>
      <c r="AF260" s="156">
        <v>46</v>
      </c>
      <c r="AG260" s="377">
        <f t="shared" si="31"/>
        <v>184</v>
      </c>
      <c r="AH260" s="377" t="b">
        <f t="shared" si="28"/>
        <v>0</v>
      </c>
      <c r="AI260" s="19">
        <v>0</v>
      </c>
      <c r="AJ260" s="19">
        <v>30</v>
      </c>
      <c r="AK260" s="19">
        <v>46</v>
      </c>
      <c r="AL260" s="19">
        <v>46</v>
      </c>
      <c r="AM260" s="16">
        <f t="shared" si="29"/>
        <v>1</v>
      </c>
      <c r="AN260" s="163">
        <v>46</v>
      </c>
      <c r="AO260" s="19">
        <v>0</v>
      </c>
      <c r="AP260" s="19">
        <v>30</v>
      </c>
      <c r="AQ260" s="19"/>
      <c r="AR260" s="19">
        <f t="shared" si="37"/>
        <v>46</v>
      </c>
      <c r="AS260" s="21">
        <f>IFERROR(+AR260/AN260,0)</f>
        <v>1</v>
      </c>
      <c r="AT260" s="1">
        <f t="shared" si="32"/>
        <v>14</v>
      </c>
      <c r="AU260" s="31"/>
      <c r="AV260" s="31"/>
      <c r="AW260" s="31"/>
      <c r="AX260" s="16">
        <f t="shared" si="36"/>
        <v>0.30434782608695654</v>
      </c>
      <c r="AY260" s="156">
        <v>46</v>
      </c>
      <c r="AZ260" s="76">
        <v>10</v>
      </c>
      <c r="BA260" s="31"/>
      <c r="BB260" s="31"/>
      <c r="BC260" s="31"/>
      <c r="BD260" s="16">
        <f t="shared" si="33"/>
        <v>0.21739130434782608</v>
      </c>
      <c r="BE260" s="31"/>
      <c r="BF260" s="31"/>
      <c r="BG260" s="31"/>
      <c r="BH260" s="31"/>
      <c r="BI260" s="16"/>
      <c r="BJ260" s="16"/>
      <c r="BK260" s="31"/>
      <c r="BL260" s="31"/>
      <c r="BM260" s="31"/>
      <c r="BN260" s="31"/>
      <c r="BO260" s="16"/>
      <c r="BP260" s="31"/>
      <c r="BQ260" s="31"/>
      <c r="BR260" s="31"/>
      <c r="BS260" s="31"/>
      <c r="BT260" s="16"/>
      <c r="BU260" s="16"/>
      <c r="BV260" s="16"/>
      <c r="BW260" s="16"/>
      <c r="BX260" s="16"/>
      <c r="BY260" s="16"/>
      <c r="BZ260" s="16"/>
      <c r="CA260" s="1"/>
      <c r="CB260" s="1"/>
      <c r="CC260" s="1"/>
    </row>
    <row r="261" spans="1:81" s="52" customFormat="1" ht="98.25" customHeight="1" x14ac:dyDescent="0.25">
      <c r="A261" s="1">
        <v>2</v>
      </c>
      <c r="B261" s="13" t="s">
        <v>1747</v>
      </c>
      <c r="C261" s="572"/>
      <c r="D261" s="573"/>
      <c r="E261" s="10" t="s">
        <v>909</v>
      </c>
      <c r="F261" s="13" t="s">
        <v>910</v>
      </c>
      <c r="G261" s="572"/>
      <c r="H261" s="573"/>
      <c r="I261" s="10" t="s">
        <v>949</v>
      </c>
      <c r="J261" s="13" t="s">
        <v>950</v>
      </c>
      <c r="K261" s="143">
        <f>AVERAGE(AX261)</f>
        <v>7.0000000000000007E-2</v>
      </c>
      <c r="L261" s="144">
        <f>AVERAGE(BD261)</f>
        <v>0.32</v>
      </c>
      <c r="M261" s="23"/>
      <c r="N261" s="23" t="s">
        <v>951</v>
      </c>
      <c r="O261" s="13" t="s">
        <v>952</v>
      </c>
      <c r="P261" s="18">
        <v>0.15</v>
      </c>
      <c r="Q261" s="18">
        <v>0.2</v>
      </c>
      <c r="R261" s="20"/>
      <c r="S261" s="13" t="s">
        <v>953</v>
      </c>
      <c r="T261" s="13" t="s">
        <v>954</v>
      </c>
      <c r="U261" s="19">
        <v>7501</v>
      </c>
      <c r="V261" s="19">
        <v>10000</v>
      </c>
      <c r="W261" s="1" t="s">
        <v>49</v>
      </c>
      <c r="X261" s="10" t="s">
        <v>955</v>
      </c>
      <c r="Y261" s="10" t="s">
        <v>918</v>
      </c>
      <c r="Z261" s="1"/>
      <c r="AA261" s="13" t="s">
        <v>919</v>
      </c>
      <c r="AB261" s="10" t="s">
        <v>1768</v>
      </c>
      <c r="AC261" s="373">
        <v>624</v>
      </c>
      <c r="AD261" s="156">
        <v>625</v>
      </c>
      <c r="AE261" s="371">
        <v>625</v>
      </c>
      <c r="AF261" s="371">
        <v>625</v>
      </c>
      <c r="AG261" s="377">
        <f t="shared" si="31"/>
        <v>2499</v>
      </c>
      <c r="AH261" s="377" t="b">
        <f t="shared" si="28"/>
        <v>0</v>
      </c>
      <c r="AI261" s="19">
        <v>0</v>
      </c>
      <c r="AJ261" s="19">
        <v>400</v>
      </c>
      <c r="AK261" s="19">
        <v>500</v>
      </c>
      <c r="AL261" s="19">
        <v>500</v>
      </c>
      <c r="AM261" s="16">
        <f t="shared" si="29"/>
        <v>0.05</v>
      </c>
      <c r="AN261" s="163">
        <v>624</v>
      </c>
      <c r="AO261" s="19">
        <v>0</v>
      </c>
      <c r="AP261" s="19">
        <v>400</v>
      </c>
      <c r="AQ261" s="19"/>
      <c r="AR261" s="19">
        <f t="shared" si="37"/>
        <v>500</v>
      </c>
      <c r="AS261" s="21">
        <f>IFERROR(+AR261/AN261,0)</f>
        <v>0.80128205128205132</v>
      </c>
      <c r="AT261" s="1">
        <f t="shared" si="32"/>
        <v>700</v>
      </c>
      <c r="AU261" s="31"/>
      <c r="AV261" s="31"/>
      <c r="AW261" s="31"/>
      <c r="AX261" s="16">
        <f t="shared" si="36"/>
        <v>7.0000000000000007E-2</v>
      </c>
      <c r="AY261" s="156">
        <v>625</v>
      </c>
      <c r="AZ261" s="76">
        <v>200</v>
      </c>
      <c r="BA261" s="31"/>
      <c r="BB261" s="31"/>
      <c r="BC261" s="31"/>
      <c r="BD261" s="16">
        <f t="shared" si="33"/>
        <v>0.32</v>
      </c>
      <c r="BE261" s="31"/>
      <c r="BF261" s="31"/>
      <c r="BG261" s="31"/>
      <c r="BH261" s="31"/>
      <c r="BI261" s="16"/>
      <c r="BJ261" s="16"/>
      <c r="BK261" s="31"/>
      <c r="BL261" s="31"/>
      <c r="BM261" s="31"/>
      <c r="BN261" s="31"/>
      <c r="BO261" s="16"/>
      <c r="BP261" s="31"/>
      <c r="BQ261" s="31"/>
      <c r="BR261" s="31"/>
      <c r="BS261" s="31"/>
      <c r="BT261" s="16"/>
      <c r="BU261" s="16"/>
      <c r="BV261" s="16"/>
      <c r="BW261" s="16"/>
      <c r="BX261" s="16"/>
      <c r="BY261" s="16"/>
      <c r="BZ261" s="16"/>
      <c r="CA261" s="1"/>
      <c r="CB261" s="1"/>
      <c r="CC261" s="1"/>
    </row>
    <row r="262" spans="1:81" s="52" customFormat="1" ht="98.25" customHeight="1" x14ac:dyDescent="0.25">
      <c r="A262" s="1">
        <v>2</v>
      </c>
      <c r="B262" s="13" t="s">
        <v>1747</v>
      </c>
      <c r="C262" s="572"/>
      <c r="D262" s="573"/>
      <c r="E262" s="10" t="s">
        <v>909</v>
      </c>
      <c r="F262" s="13" t="s">
        <v>910</v>
      </c>
      <c r="G262" s="568"/>
      <c r="H262" s="570"/>
      <c r="I262" s="10" t="s">
        <v>956</v>
      </c>
      <c r="J262" s="13" t="s">
        <v>957</v>
      </c>
      <c r="K262" s="143">
        <f>AVERAGE(AX262)</f>
        <v>1</v>
      </c>
      <c r="L262" s="144">
        <f>AVERAGE(BD262)</f>
        <v>1</v>
      </c>
      <c r="M262" s="23"/>
      <c r="N262" s="23" t="s">
        <v>958</v>
      </c>
      <c r="O262" s="13" t="s">
        <v>959</v>
      </c>
      <c r="P262" s="18">
        <v>0</v>
      </c>
      <c r="Q262" s="18">
        <v>1</v>
      </c>
      <c r="R262" s="20"/>
      <c r="S262" s="13" t="s">
        <v>960</v>
      </c>
      <c r="T262" s="13" t="s">
        <v>961</v>
      </c>
      <c r="U262" s="19">
        <v>1</v>
      </c>
      <c r="V262" s="19">
        <v>1</v>
      </c>
      <c r="W262" s="1" t="s">
        <v>49</v>
      </c>
      <c r="X262" s="10" t="s">
        <v>962</v>
      </c>
      <c r="Y262" s="1" t="s">
        <v>918</v>
      </c>
      <c r="Z262" s="1"/>
      <c r="AA262" s="24" t="s">
        <v>963</v>
      </c>
      <c r="AB262" s="10" t="s">
        <v>1768</v>
      </c>
      <c r="AC262" s="163"/>
      <c r="AD262" s="156">
        <v>1</v>
      </c>
      <c r="AE262" s="156"/>
      <c r="AF262" s="156"/>
      <c r="AG262" s="377">
        <f t="shared" si="31"/>
        <v>1</v>
      </c>
      <c r="AH262" s="377" t="b">
        <f t="shared" si="28"/>
        <v>1</v>
      </c>
      <c r="AI262" s="19"/>
      <c r="AJ262" s="19"/>
      <c r="AK262" s="19"/>
      <c r="AL262" s="19"/>
      <c r="AM262" s="16">
        <f t="shared" si="29"/>
        <v>0</v>
      </c>
      <c r="AN262" s="163"/>
      <c r="AO262" s="19"/>
      <c r="AP262" s="19"/>
      <c r="AQ262" s="19"/>
      <c r="AR262" s="19"/>
      <c r="AS262" s="21" t="s">
        <v>310</v>
      </c>
      <c r="AT262" s="1">
        <f t="shared" si="32"/>
        <v>1</v>
      </c>
      <c r="AU262" s="31"/>
      <c r="AV262" s="31"/>
      <c r="AW262" s="31"/>
      <c r="AX262" s="16">
        <f t="shared" si="36"/>
        <v>1</v>
      </c>
      <c r="AY262" s="156">
        <v>1</v>
      </c>
      <c r="AZ262" s="76">
        <v>1</v>
      </c>
      <c r="BA262" s="31"/>
      <c r="BB262" s="31"/>
      <c r="BC262" s="31"/>
      <c r="BD262" s="16">
        <f t="shared" si="33"/>
        <v>1</v>
      </c>
      <c r="BE262" s="31"/>
      <c r="BF262" s="31"/>
      <c r="BG262" s="31"/>
      <c r="BH262" s="31"/>
      <c r="BI262" s="16"/>
      <c r="BJ262" s="16"/>
      <c r="BK262" s="31"/>
      <c r="BL262" s="31"/>
      <c r="BM262" s="31"/>
      <c r="BN262" s="31"/>
      <c r="BO262" s="16"/>
      <c r="BP262" s="31"/>
      <c r="BQ262" s="31"/>
      <c r="BR262" s="31"/>
      <c r="BS262" s="31"/>
      <c r="BT262" s="16"/>
      <c r="BU262" s="16"/>
      <c r="BV262" s="16"/>
      <c r="BW262" s="16"/>
      <c r="BX262" s="16"/>
      <c r="BY262" s="16"/>
      <c r="BZ262" s="16"/>
      <c r="CA262" s="1"/>
      <c r="CB262" s="1"/>
      <c r="CC262" s="1"/>
    </row>
    <row r="263" spans="1:81" s="52" customFormat="1" ht="110.25" customHeight="1" x14ac:dyDescent="0.25">
      <c r="A263" s="1">
        <v>2</v>
      </c>
      <c r="B263" s="13" t="s">
        <v>1747</v>
      </c>
      <c r="C263" s="572"/>
      <c r="D263" s="573"/>
      <c r="E263" s="10" t="s">
        <v>964</v>
      </c>
      <c r="F263" s="13" t="s">
        <v>965</v>
      </c>
      <c r="G263" s="567">
        <f>+AVERAGEIF(F14:F567,F263,AX14:AX567)</f>
        <v>0.15088624338624337</v>
      </c>
      <c r="H263" s="569">
        <f>+AVERAGEIF(F14:F567,F263,BD14:BD567)</f>
        <v>0.35088383838383841</v>
      </c>
      <c r="I263" s="10" t="s">
        <v>966</v>
      </c>
      <c r="J263" s="13" t="s">
        <v>967</v>
      </c>
      <c r="K263" s="567">
        <f>AVERAGE(AX263:AX265)</f>
        <v>5.5555555555555552E-2</v>
      </c>
      <c r="L263" s="569">
        <f>IFERROR(AVERAGE(BD263:BD265),"NP")</f>
        <v>0.16666666666666666</v>
      </c>
      <c r="M263" s="23"/>
      <c r="N263" s="23" t="s">
        <v>968</v>
      </c>
      <c r="O263" s="23" t="s">
        <v>969</v>
      </c>
      <c r="P263" s="1">
        <v>372</v>
      </c>
      <c r="Q263" s="1">
        <v>120</v>
      </c>
      <c r="R263" s="24"/>
      <c r="S263" s="13" t="s">
        <v>970</v>
      </c>
      <c r="T263" s="13" t="s">
        <v>970</v>
      </c>
      <c r="U263" s="1">
        <v>0</v>
      </c>
      <c r="V263" s="1">
        <v>4000</v>
      </c>
      <c r="W263" s="1" t="s">
        <v>971</v>
      </c>
      <c r="X263" s="1"/>
      <c r="Y263" s="10" t="s">
        <v>972</v>
      </c>
      <c r="Z263" s="10">
        <v>21</v>
      </c>
      <c r="AA263" s="13" t="s">
        <v>973</v>
      </c>
      <c r="AB263" s="10" t="s">
        <v>1772</v>
      </c>
      <c r="AC263" s="156"/>
      <c r="AD263" s="156">
        <v>1000</v>
      </c>
      <c r="AE263" s="156">
        <v>1500</v>
      </c>
      <c r="AF263" s="156">
        <v>1500</v>
      </c>
      <c r="AG263" s="377">
        <f t="shared" si="31"/>
        <v>4000</v>
      </c>
      <c r="AH263" s="377" t="b">
        <f t="shared" si="28"/>
        <v>1</v>
      </c>
      <c r="AI263" s="1">
        <v>0</v>
      </c>
      <c r="AJ263" s="1">
        <v>0</v>
      </c>
      <c r="AK263" s="1"/>
      <c r="AL263" s="1"/>
      <c r="AM263" s="16">
        <f t="shared" si="29"/>
        <v>0</v>
      </c>
      <c r="AN263" s="156"/>
      <c r="AO263" s="31"/>
      <c r="AP263" s="31"/>
      <c r="AQ263" s="31"/>
      <c r="AR263" s="31"/>
      <c r="AS263" s="21" t="s">
        <v>310</v>
      </c>
      <c r="AT263" s="1">
        <f t="shared" si="32"/>
        <v>0</v>
      </c>
      <c r="AU263" s="31"/>
      <c r="AV263" s="31"/>
      <c r="AW263" s="31"/>
      <c r="AX263" s="16">
        <f t="shared" si="36"/>
        <v>0</v>
      </c>
      <c r="AY263" s="156">
        <v>1000</v>
      </c>
      <c r="AZ263" s="332">
        <v>0</v>
      </c>
      <c r="BA263" s="31"/>
      <c r="BB263" s="31"/>
      <c r="BC263" s="31"/>
      <c r="BD263" s="16">
        <f t="shared" si="33"/>
        <v>0</v>
      </c>
      <c r="BE263" s="31"/>
      <c r="BF263" s="31"/>
      <c r="BG263" s="31"/>
      <c r="BH263" s="31"/>
      <c r="BI263" s="16"/>
      <c r="BJ263" s="16"/>
      <c r="BK263" s="31"/>
      <c r="BL263" s="31"/>
      <c r="BM263" s="31"/>
      <c r="BN263" s="31"/>
      <c r="BO263" s="16"/>
      <c r="BP263" s="31"/>
      <c r="BQ263" s="31"/>
      <c r="BR263" s="31"/>
      <c r="BS263" s="31"/>
      <c r="BT263" s="16"/>
      <c r="BU263" s="16"/>
      <c r="BV263" s="16"/>
      <c r="BW263" s="16"/>
      <c r="BX263" s="16"/>
      <c r="BY263" s="16"/>
      <c r="BZ263" s="16"/>
      <c r="CA263" s="1"/>
      <c r="CB263" s="1"/>
      <c r="CC263" s="1"/>
    </row>
    <row r="264" spans="1:81" s="52" customFormat="1" ht="110.25" customHeight="1" x14ac:dyDescent="0.25">
      <c r="A264" s="1">
        <v>2</v>
      </c>
      <c r="B264" s="13" t="s">
        <v>1747</v>
      </c>
      <c r="C264" s="572"/>
      <c r="D264" s="573"/>
      <c r="E264" s="10" t="s">
        <v>964</v>
      </c>
      <c r="F264" s="13" t="s">
        <v>965</v>
      </c>
      <c r="G264" s="572"/>
      <c r="H264" s="573"/>
      <c r="I264" s="10" t="s">
        <v>966</v>
      </c>
      <c r="J264" s="13" t="s">
        <v>967</v>
      </c>
      <c r="K264" s="572"/>
      <c r="L264" s="573"/>
      <c r="M264" s="23"/>
      <c r="N264" s="23" t="s">
        <v>968</v>
      </c>
      <c r="O264" s="23" t="s">
        <v>969</v>
      </c>
      <c r="P264" s="1">
        <v>372</v>
      </c>
      <c r="Q264" s="1">
        <v>120</v>
      </c>
      <c r="R264" s="24"/>
      <c r="S264" s="13" t="s">
        <v>974</v>
      </c>
      <c r="T264" s="13" t="s">
        <v>974</v>
      </c>
      <c r="U264" s="1">
        <v>200</v>
      </c>
      <c r="V264" s="1">
        <v>1500</v>
      </c>
      <c r="W264" s="1" t="s">
        <v>49</v>
      </c>
      <c r="X264" s="1"/>
      <c r="Y264" s="10" t="s">
        <v>972</v>
      </c>
      <c r="Z264" s="10">
        <v>21</v>
      </c>
      <c r="AA264" s="13" t="s">
        <v>973</v>
      </c>
      <c r="AB264" s="10" t="s">
        <v>1772</v>
      </c>
      <c r="AC264" s="156"/>
      <c r="AD264" s="156">
        <v>300</v>
      </c>
      <c r="AE264" s="156">
        <v>500</v>
      </c>
      <c r="AF264" s="156">
        <v>500</v>
      </c>
      <c r="AG264" s="377">
        <f t="shared" si="31"/>
        <v>1300</v>
      </c>
      <c r="AH264" s="377" t="b">
        <f t="shared" si="28"/>
        <v>0</v>
      </c>
      <c r="AI264" s="1">
        <v>0</v>
      </c>
      <c r="AJ264" s="1">
        <v>0</v>
      </c>
      <c r="AK264" s="1"/>
      <c r="AL264" s="1"/>
      <c r="AM264" s="16">
        <f t="shared" si="29"/>
        <v>0</v>
      </c>
      <c r="AN264" s="156"/>
      <c r="AO264" s="31"/>
      <c r="AP264" s="31"/>
      <c r="AQ264" s="31"/>
      <c r="AR264" s="31"/>
      <c r="AS264" s="21" t="s">
        <v>310</v>
      </c>
      <c r="AT264" s="1">
        <f t="shared" si="32"/>
        <v>0</v>
      </c>
      <c r="AU264" s="31"/>
      <c r="AV264" s="31"/>
      <c r="AW264" s="31"/>
      <c r="AX264" s="16">
        <f t="shared" si="36"/>
        <v>0</v>
      </c>
      <c r="AY264" s="156">
        <v>300</v>
      </c>
      <c r="AZ264" s="332">
        <v>0</v>
      </c>
      <c r="BA264" s="31"/>
      <c r="BB264" s="31"/>
      <c r="BC264" s="31"/>
      <c r="BD264" s="16">
        <f t="shared" si="33"/>
        <v>0</v>
      </c>
      <c r="BE264" s="31"/>
      <c r="BF264" s="31"/>
      <c r="BG264" s="31"/>
      <c r="BH264" s="31"/>
      <c r="BI264" s="16"/>
      <c r="BJ264" s="16"/>
      <c r="BK264" s="31"/>
      <c r="BL264" s="31"/>
      <c r="BM264" s="31"/>
      <c r="BN264" s="31"/>
      <c r="BO264" s="16"/>
      <c r="BP264" s="31"/>
      <c r="BQ264" s="31"/>
      <c r="BR264" s="31"/>
      <c r="BS264" s="31"/>
      <c r="BT264" s="16"/>
      <c r="BU264" s="16"/>
      <c r="BV264" s="16"/>
      <c r="BW264" s="16"/>
      <c r="BX264" s="16"/>
      <c r="BY264" s="16"/>
      <c r="BZ264" s="16"/>
      <c r="CA264" s="1"/>
      <c r="CB264" s="1"/>
      <c r="CC264" s="1"/>
    </row>
    <row r="265" spans="1:81" s="52" customFormat="1" ht="110.25" customHeight="1" x14ac:dyDescent="0.25">
      <c r="A265" s="1">
        <v>2</v>
      </c>
      <c r="B265" s="13" t="s">
        <v>1747</v>
      </c>
      <c r="C265" s="572"/>
      <c r="D265" s="573"/>
      <c r="E265" s="10" t="s">
        <v>964</v>
      </c>
      <c r="F265" s="13" t="s">
        <v>965</v>
      </c>
      <c r="G265" s="572"/>
      <c r="H265" s="573"/>
      <c r="I265" s="10" t="s">
        <v>966</v>
      </c>
      <c r="J265" s="13" t="s">
        <v>967</v>
      </c>
      <c r="K265" s="568"/>
      <c r="L265" s="570"/>
      <c r="M265" s="23"/>
      <c r="N265" s="23" t="s">
        <v>968</v>
      </c>
      <c r="O265" s="23" t="s">
        <v>969</v>
      </c>
      <c r="P265" s="1">
        <v>372</v>
      </c>
      <c r="Q265" s="1">
        <v>120</v>
      </c>
      <c r="R265" s="24"/>
      <c r="S265" s="13" t="s">
        <v>975</v>
      </c>
      <c r="T265" s="13" t="s">
        <v>975</v>
      </c>
      <c r="U265" s="1">
        <v>0</v>
      </c>
      <c r="V265" s="1">
        <v>3</v>
      </c>
      <c r="W265" s="1" t="s">
        <v>49</v>
      </c>
      <c r="X265" s="1"/>
      <c r="Y265" s="10" t="s">
        <v>972</v>
      </c>
      <c r="Z265" s="10">
        <v>21</v>
      </c>
      <c r="AA265" s="13" t="s">
        <v>973</v>
      </c>
      <c r="AB265" s="10" t="s">
        <v>1772</v>
      </c>
      <c r="AC265" s="156"/>
      <c r="AD265" s="156">
        <v>1</v>
      </c>
      <c r="AE265" s="156">
        <v>1</v>
      </c>
      <c r="AF265" s="156">
        <v>1</v>
      </c>
      <c r="AG265" s="377">
        <f t="shared" si="31"/>
        <v>3</v>
      </c>
      <c r="AH265" s="377" t="b">
        <f t="shared" si="28"/>
        <v>1</v>
      </c>
      <c r="AI265" s="1">
        <v>0</v>
      </c>
      <c r="AJ265" s="1">
        <v>0</v>
      </c>
      <c r="AK265" s="1"/>
      <c r="AL265" s="1"/>
      <c r="AM265" s="16">
        <f t="shared" si="29"/>
        <v>0</v>
      </c>
      <c r="AN265" s="156"/>
      <c r="AO265" s="31"/>
      <c r="AP265" s="31"/>
      <c r="AQ265" s="31"/>
      <c r="AR265" s="31"/>
      <c r="AS265" s="21" t="s">
        <v>310</v>
      </c>
      <c r="AT265" s="1">
        <f t="shared" si="32"/>
        <v>0.5</v>
      </c>
      <c r="AU265" s="31"/>
      <c r="AV265" s="31"/>
      <c r="AW265" s="31"/>
      <c r="AX265" s="16">
        <f t="shared" si="36"/>
        <v>0.16666666666666666</v>
      </c>
      <c r="AY265" s="156">
        <v>1</v>
      </c>
      <c r="AZ265" s="332">
        <v>0.5</v>
      </c>
      <c r="BA265" s="31"/>
      <c r="BB265" s="31"/>
      <c r="BC265" s="31"/>
      <c r="BD265" s="16">
        <f t="shared" si="33"/>
        <v>0.5</v>
      </c>
      <c r="BE265" s="31"/>
      <c r="BF265" s="31"/>
      <c r="BG265" s="31"/>
      <c r="BH265" s="31"/>
      <c r="BI265" s="16"/>
      <c r="BJ265" s="16"/>
      <c r="BK265" s="31"/>
      <c r="BL265" s="31"/>
      <c r="BM265" s="31"/>
      <c r="BN265" s="31"/>
      <c r="BO265" s="16"/>
      <c r="BP265" s="31"/>
      <c r="BQ265" s="31"/>
      <c r="BR265" s="31"/>
      <c r="BS265" s="31"/>
      <c r="BT265" s="16"/>
      <c r="BU265" s="16"/>
      <c r="BV265" s="16"/>
      <c r="BW265" s="16"/>
      <c r="BX265" s="16"/>
      <c r="BY265" s="16"/>
      <c r="BZ265" s="16"/>
      <c r="CA265" s="1"/>
      <c r="CB265" s="1"/>
      <c r="CC265" s="1"/>
    </row>
    <row r="266" spans="1:81" s="52" customFormat="1" ht="110.25" customHeight="1" x14ac:dyDescent="0.25">
      <c r="A266" s="1">
        <v>2</v>
      </c>
      <c r="B266" s="13" t="s">
        <v>1747</v>
      </c>
      <c r="C266" s="572"/>
      <c r="D266" s="573"/>
      <c r="E266" s="10" t="s">
        <v>964</v>
      </c>
      <c r="F266" s="13" t="s">
        <v>965</v>
      </c>
      <c r="G266" s="572"/>
      <c r="H266" s="573"/>
      <c r="I266" s="10" t="s">
        <v>976</v>
      </c>
      <c r="J266" s="13" t="s">
        <v>977</v>
      </c>
      <c r="K266" s="567">
        <f>AVERAGE(AX266:AX269)</f>
        <v>0.17857142857142858</v>
      </c>
      <c r="L266" s="569">
        <f>AVERAGE(BD266:BD269)</f>
        <v>0.2</v>
      </c>
      <c r="M266" s="23"/>
      <c r="N266" s="23" t="s">
        <v>978</v>
      </c>
      <c r="O266" s="23" t="s">
        <v>979</v>
      </c>
      <c r="P266" s="1">
        <v>4216540</v>
      </c>
      <c r="Q266" s="1">
        <v>5500000</v>
      </c>
      <c r="R266" s="24"/>
      <c r="S266" s="13" t="s">
        <v>980</v>
      </c>
      <c r="T266" s="13" t="s">
        <v>980</v>
      </c>
      <c r="U266" s="1">
        <v>0</v>
      </c>
      <c r="V266" s="1">
        <v>2</v>
      </c>
      <c r="W266" s="1" t="s">
        <v>49</v>
      </c>
      <c r="X266" s="1"/>
      <c r="Y266" s="10" t="s">
        <v>972</v>
      </c>
      <c r="Z266" s="10">
        <v>21</v>
      </c>
      <c r="AA266" s="13" t="s">
        <v>981</v>
      </c>
      <c r="AB266" s="10" t="s">
        <v>1772</v>
      </c>
      <c r="AC266" s="156">
        <v>1</v>
      </c>
      <c r="AD266" s="156">
        <v>1</v>
      </c>
      <c r="AE266" s="156"/>
      <c r="AF266" s="156">
        <v>1</v>
      </c>
      <c r="AG266" s="377">
        <f t="shared" si="31"/>
        <v>3</v>
      </c>
      <c r="AH266" s="377" t="b">
        <f t="shared" ref="AH266:AH328" si="38">V266=AG266</f>
        <v>0</v>
      </c>
      <c r="AI266" s="1">
        <v>0</v>
      </c>
      <c r="AJ266" s="1">
        <v>0.2</v>
      </c>
      <c r="AK266" s="1">
        <v>0.25</v>
      </c>
      <c r="AL266" s="1">
        <v>0.25</v>
      </c>
      <c r="AM266" s="16">
        <f t="shared" ref="AM266:AM328" si="39">+AL266/V266</f>
        <v>0.125</v>
      </c>
      <c r="AN266" s="156">
        <v>1</v>
      </c>
      <c r="AO266" s="1">
        <v>0.5</v>
      </c>
      <c r="AP266" s="1">
        <v>0.2</v>
      </c>
      <c r="AQ266" s="1"/>
      <c r="AR266" s="1">
        <f>AL266</f>
        <v>0.25</v>
      </c>
      <c r="AS266" s="21">
        <f>IFERROR(+AR266/AN266,0)</f>
        <v>0.25</v>
      </c>
      <c r="AT266" s="1">
        <f t="shared" si="32"/>
        <v>0.4</v>
      </c>
      <c r="AU266" s="31"/>
      <c r="AV266" s="31"/>
      <c r="AW266" s="31"/>
      <c r="AX266" s="16">
        <f t="shared" si="36"/>
        <v>0.2</v>
      </c>
      <c r="AY266" s="156">
        <v>1</v>
      </c>
      <c r="AZ266" s="76">
        <v>0.15</v>
      </c>
      <c r="BA266" s="31"/>
      <c r="BB266" s="31"/>
      <c r="BC266" s="31"/>
      <c r="BD266" s="16">
        <f t="shared" si="33"/>
        <v>0.15</v>
      </c>
      <c r="BE266" s="31"/>
      <c r="BF266" s="31"/>
      <c r="BG266" s="31"/>
      <c r="BH266" s="31"/>
      <c r="BI266" s="16"/>
      <c r="BJ266" s="16"/>
      <c r="BK266" s="31"/>
      <c r="BL266" s="31"/>
      <c r="BM266" s="31"/>
      <c r="BN266" s="31"/>
      <c r="BO266" s="16"/>
      <c r="BP266" s="31"/>
      <c r="BQ266" s="31"/>
      <c r="BR266" s="31"/>
      <c r="BS266" s="31"/>
      <c r="BT266" s="16"/>
      <c r="BU266" s="16"/>
      <c r="BV266" s="16"/>
      <c r="BW266" s="16"/>
      <c r="BX266" s="16"/>
      <c r="BY266" s="16"/>
      <c r="BZ266" s="16"/>
      <c r="CA266" s="1"/>
      <c r="CB266" s="1"/>
      <c r="CC266" s="1"/>
    </row>
    <row r="267" spans="1:81" s="52" customFormat="1" ht="110.25" customHeight="1" x14ac:dyDescent="0.25">
      <c r="A267" s="1">
        <v>2</v>
      </c>
      <c r="B267" s="13" t="s">
        <v>1747</v>
      </c>
      <c r="C267" s="572"/>
      <c r="D267" s="573"/>
      <c r="E267" s="10" t="s">
        <v>964</v>
      </c>
      <c r="F267" s="13" t="s">
        <v>965</v>
      </c>
      <c r="G267" s="572"/>
      <c r="H267" s="573"/>
      <c r="I267" s="10" t="s">
        <v>976</v>
      </c>
      <c r="J267" s="13" t="s">
        <v>977</v>
      </c>
      <c r="K267" s="572"/>
      <c r="L267" s="573"/>
      <c r="M267" s="23"/>
      <c r="N267" s="23" t="s">
        <v>978</v>
      </c>
      <c r="O267" s="23" t="s">
        <v>979</v>
      </c>
      <c r="P267" s="1">
        <v>4216540</v>
      </c>
      <c r="Q267" s="1">
        <v>5500000</v>
      </c>
      <c r="R267" s="24"/>
      <c r="S267" s="13" t="s">
        <v>982</v>
      </c>
      <c r="T267" s="13" t="s">
        <v>982</v>
      </c>
      <c r="U267" s="1">
        <v>0</v>
      </c>
      <c r="V267" s="1">
        <v>1</v>
      </c>
      <c r="W267" s="1" t="s">
        <v>49</v>
      </c>
      <c r="X267" s="1"/>
      <c r="Y267" s="10" t="s">
        <v>972</v>
      </c>
      <c r="Z267" s="10">
        <v>21</v>
      </c>
      <c r="AA267" s="13" t="s">
        <v>981</v>
      </c>
      <c r="AB267" s="10" t="s">
        <v>1772</v>
      </c>
      <c r="AC267" s="156"/>
      <c r="AD267" s="156"/>
      <c r="AE267" s="156">
        <v>1</v>
      </c>
      <c r="AF267" s="156"/>
      <c r="AG267" s="377">
        <f t="shared" si="31"/>
        <v>1</v>
      </c>
      <c r="AH267" s="377" t="b">
        <f t="shared" si="38"/>
        <v>1</v>
      </c>
      <c r="AI267" s="1"/>
      <c r="AJ267" s="1"/>
      <c r="AK267" s="1"/>
      <c r="AL267" s="1"/>
      <c r="AM267" s="16">
        <f t="shared" si="39"/>
        <v>0</v>
      </c>
      <c r="AN267" s="156"/>
      <c r="AO267" s="31"/>
      <c r="AP267" s="31"/>
      <c r="AQ267" s="31"/>
      <c r="AR267" s="31"/>
      <c r="AS267" s="21" t="s">
        <v>310</v>
      </c>
      <c r="AT267" s="1">
        <f t="shared" si="32"/>
        <v>0</v>
      </c>
      <c r="AU267" s="31"/>
      <c r="AV267" s="31"/>
      <c r="AW267" s="31"/>
      <c r="AX267" s="16">
        <f t="shared" si="36"/>
        <v>0</v>
      </c>
      <c r="AY267" s="156" t="s">
        <v>310</v>
      </c>
      <c r="AZ267" s="76">
        <v>0</v>
      </c>
      <c r="BA267" s="31"/>
      <c r="BB267" s="31"/>
      <c r="BC267" s="31"/>
      <c r="BD267" s="16" t="str">
        <f t="shared" si="33"/>
        <v>NP</v>
      </c>
      <c r="BE267" s="31"/>
      <c r="BF267" s="31"/>
      <c r="BG267" s="31"/>
      <c r="BH267" s="31"/>
      <c r="BI267" s="16"/>
      <c r="BJ267" s="16"/>
      <c r="BK267" s="31"/>
      <c r="BL267" s="31"/>
      <c r="BM267" s="31"/>
      <c r="BN267" s="31"/>
      <c r="BO267" s="16"/>
      <c r="BP267" s="31"/>
      <c r="BQ267" s="31"/>
      <c r="BR267" s="31"/>
      <c r="BS267" s="31"/>
      <c r="BT267" s="16"/>
      <c r="BU267" s="16"/>
      <c r="BV267" s="16"/>
      <c r="BW267" s="16"/>
      <c r="BX267" s="16"/>
      <c r="BY267" s="16"/>
      <c r="BZ267" s="16"/>
      <c r="CA267" s="1"/>
      <c r="CB267" s="1"/>
      <c r="CC267" s="1"/>
    </row>
    <row r="268" spans="1:81" s="52" customFormat="1" ht="110.25" customHeight="1" x14ac:dyDescent="0.25">
      <c r="A268" s="1">
        <v>2</v>
      </c>
      <c r="B268" s="13" t="s">
        <v>1747</v>
      </c>
      <c r="C268" s="572"/>
      <c r="D268" s="573"/>
      <c r="E268" s="10" t="s">
        <v>964</v>
      </c>
      <c r="F268" s="13" t="s">
        <v>965</v>
      </c>
      <c r="G268" s="572"/>
      <c r="H268" s="573"/>
      <c r="I268" s="10" t="s">
        <v>976</v>
      </c>
      <c r="J268" s="13" t="s">
        <v>977</v>
      </c>
      <c r="K268" s="572"/>
      <c r="L268" s="573"/>
      <c r="M268" s="23"/>
      <c r="N268" s="23" t="s">
        <v>978</v>
      </c>
      <c r="O268" s="23" t="s">
        <v>979</v>
      </c>
      <c r="P268" s="1">
        <v>4216540</v>
      </c>
      <c r="Q268" s="1">
        <v>5500000</v>
      </c>
      <c r="R268" s="24"/>
      <c r="S268" s="13" t="s">
        <v>983</v>
      </c>
      <c r="T268" s="13" t="s">
        <v>983</v>
      </c>
      <c r="U268" s="1">
        <v>0</v>
      </c>
      <c r="V268" s="1">
        <v>1</v>
      </c>
      <c r="W268" s="1" t="s">
        <v>49</v>
      </c>
      <c r="X268" s="1"/>
      <c r="Y268" s="10" t="s">
        <v>972</v>
      </c>
      <c r="Z268" s="10">
        <v>21</v>
      </c>
      <c r="AA268" s="13" t="s">
        <v>981</v>
      </c>
      <c r="AB268" s="10" t="s">
        <v>1772</v>
      </c>
      <c r="AC268" s="156">
        <v>1</v>
      </c>
      <c r="AD268" s="156"/>
      <c r="AE268" s="371">
        <v>1</v>
      </c>
      <c r="AF268" s="156"/>
      <c r="AG268" s="377">
        <f t="shared" si="31"/>
        <v>2</v>
      </c>
      <c r="AH268" s="377" t="b">
        <f t="shared" si="38"/>
        <v>0</v>
      </c>
      <c r="AI268" s="1"/>
      <c r="AJ268" s="1">
        <v>0.3</v>
      </c>
      <c r="AK268" s="1">
        <v>0.3</v>
      </c>
      <c r="AL268" s="1">
        <v>0.3</v>
      </c>
      <c r="AM268" s="16">
        <f t="shared" si="39"/>
        <v>0.3</v>
      </c>
      <c r="AN268" s="156">
        <v>1</v>
      </c>
      <c r="AO268" s="31"/>
      <c r="AP268" s="1">
        <v>0.3</v>
      </c>
      <c r="AQ268" s="1"/>
      <c r="AR268" s="1">
        <f>AL268</f>
        <v>0.3</v>
      </c>
      <c r="AS268" s="21">
        <f>IFERROR(+AR268/AN268,0)</f>
        <v>0.3</v>
      </c>
      <c r="AT268" s="1">
        <f t="shared" si="32"/>
        <v>0.3</v>
      </c>
      <c r="AU268" s="31"/>
      <c r="AV268" s="31"/>
      <c r="AW268" s="31"/>
      <c r="AX268" s="16">
        <f t="shared" si="36"/>
        <v>0.3</v>
      </c>
      <c r="AY268" s="156" t="s">
        <v>310</v>
      </c>
      <c r="AZ268" s="76">
        <v>0</v>
      </c>
      <c r="BA268" s="31"/>
      <c r="BB268" s="31"/>
      <c r="BC268" s="31"/>
      <c r="BD268" s="16" t="str">
        <f t="shared" si="33"/>
        <v>NP</v>
      </c>
      <c r="BE268" s="31"/>
      <c r="BF268" s="31"/>
      <c r="BG268" s="31"/>
      <c r="BH268" s="31"/>
      <c r="BI268" s="16"/>
      <c r="BJ268" s="16"/>
      <c r="BK268" s="31"/>
      <c r="BL268" s="31"/>
      <c r="BM268" s="31"/>
      <c r="BN268" s="31"/>
      <c r="BO268" s="16"/>
      <c r="BP268" s="31"/>
      <c r="BQ268" s="31"/>
      <c r="BR268" s="31"/>
      <c r="BS268" s="31"/>
      <c r="BT268" s="16"/>
      <c r="BU268" s="16"/>
      <c r="BV268" s="16"/>
      <c r="BW268" s="16"/>
      <c r="BX268" s="16"/>
      <c r="BY268" s="16"/>
      <c r="BZ268" s="16"/>
      <c r="CA268" s="1"/>
      <c r="CB268" s="1"/>
      <c r="CC268" s="1"/>
    </row>
    <row r="269" spans="1:81" s="52" customFormat="1" ht="110.25" customHeight="1" x14ac:dyDescent="0.25">
      <c r="A269" s="1">
        <v>2</v>
      </c>
      <c r="B269" s="13" t="s">
        <v>1747</v>
      </c>
      <c r="C269" s="572"/>
      <c r="D269" s="573"/>
      <c r="E269" s="10" t="s">
        <v>964</v>
      </c>
      <c r="F269" s="13" t="s">
        <v>965</v>
      </c>
      <c r="G269" s="572"/>
      <c r="H269" s="573"/>
      <c r="I269" s="10" t="s">
        <v>976</v>
      </c>
      <c r="J269" s="13" t="s">
        <v>977</v>
      </c>
      <c r="K269" s="568"/>
      <c r="L269" s="570"/>
      <c r="M269" s="23"/>
      <c r="N269" s="23" t="s">
        <v>978</v>
      </c>
      <c r="O269" s="23" t="s">
        <v>979</v>
      </c>
      <c r="P269" s="1">
        <v>4216540</v>
      </c>
      <c r="Q269" s="1">
        <v>5500000</v>
      </c>
      <c r="R269" s="24"/>
      <c r="S269" s="13" t="s">
        <v>984</v>
      </c>
      <c r="T269" s="13" t="s">
        <v>984</v>
      </c>
      <c r="U269" s="1">
        <v>0</v>
      </c>
      <c r="V269" s="1">
        <v>7</v>
      </c>
      <c r="W269" s="1" t="s">
        <v>49</v>
      </c>
      <c r="X269" s="1"/>
      <c r="Y269" s="10" t="s">
        <v>972</v>
      </c>
      <c r="Z269" s="10">
        <v>21</v>
      </c>
      <c r="AA269" s="13" t="s">
        <v>985</v>
      </c>
      <c r="AB269" s="10" t="s">
        <v>1772</v>
      </c>
      <c r="AC269" s="156">
        <v>1</v>
      </c>
      <c r="AD269" s="156">
        <v>2</v>
      </c>
      <c r="AE269" s="156">
        <v>3</v>
      </c>
      <c r="AF269" s="156">
        <v>2</v>
      </c>
      <c r="AG269" s="377">
        <f t="shared" si="31"/>
        <v>8</v>
      </c>
      <c r="AH269" s="377" t="b">
        <f t="shared" si="38"/>
        <v>0</v>
      </c>
      <c r="AI269" s="1"/>
      <c r="AJ269" s="1">
        <v>0.15</v>
      </c>
      <c r="AK269" s="1">
        <v>1</v>
      </c>
      <c r="AL269" s="1">
        <v>1</v>
      </c>
      <c r="AM269" s="16">
        <f>+AL269/V269</f>
        <v>0.14285714285714285</v>
      </c>
      <c r="AN269" s="156">
        <v>1</v>
      </c>
      <c r="AO269" s="31"/>
      <c r="AP269" s="1">
        <v>0.15</v>
      </c>
      <c r="AQ269" s="1"/>
      <c r="AR269" s="1">
        <f>AL269</f>
        <v>1</v>
      </c>
      <c r="AS269" s="21">
        <f>IFERROR(+AR269/AN269,0)</f>
        <v>1</v>
      </c>
      <c r="AT269" s="1">
        <f t="shared" si="32"/>
        <v>1.5</v>
      </c>
      <c r="AU269" s="31"/>
      <c r="AV269" s="31"/>
      <c r="AW269" s="31"/>
      <c r="AX269" s="16">
        <f t="shared" si="36"/>
        <v>0.21428571428571427</v>
      </c>
      <c r="AY269" s="156">
        <v>2</v>
      </c>
      <c r="AZ269" s="332">
        <v>0.5</v>
      </c>
      <c r="BA269" s="31"/>
      <c r="BB269" s="31"/>
      <c r="BC269" s="31"/>
      <c r="BD269" s="16">
        <f t="shared" si="33"/>
        <v>0.25</v>
      </c>
      <c r="BE269" s="31"/>
      <c r="BF269" s="31"/>
      <c r="BG269" s="31"/>
      <c r="BH269" s="31"/>
      <c r="BI269" s="16"/>
      <c r="BJ269" s="16"/>
      <c r="BK269" s="31"/>
      <c r="BL269" s="31"/>
      <c r="BM269" s="31"/>
      <c r="BN269" s="31"/>
      <c r="BO269" s="16"/>
      <c r="BP269" s="31"/>
      <c r="BQ269" s="31"/>
      <c r="BR269" s="31"/>
      <c r="BS269" s="31"/>
      <c r="BT269" s="16"/>
      <c r="BU269" s="16"/>
      <c r="BV269" s="16"/>
      <c r="BW269" s="16"/>
      <c r="BX269" s="16"/>
      <c r="BY269" s="16"/>
      <c r="BZ269" s="16"/>
      <c r="CA269" s="1"/>
      <c r="CB269" s="1"/>
      <c r="CC269" s="1"/>
    </row>
    <row r="270" spans="1:81" s="52" customFormat="1" ht="110.25" customHeight="1" x14ac:dyDescent="0.25">
      <c r="A270" s="1">
        <v>2</v>
      </c>
      <c r="B270" s="13" t="s">
        <v>1747</v>
      </c>
      <c r="C270" s="572"/>
      <c r="D270" s="573"/>
      <c r="E270" s="10" t="s">
        <v>964</v>
      </c>
      <c r="F270" s="13" t="s">
        <v>965</v>
      </c>
      <c r="G270" s="572"/>
      <c r="H270" s="573"/>
      <c r="I270" s="10" t="s">
        <v>986</v>
      </c>
      <c r="J270" s="13" t="s">
        <v>987</v>
      </c>
      <c r="K270" s="567">
        <f>AVERAGE(AX270:AX274)</f>
        <v>0.155</v>
      </c>
      <c r="L270" s="569">
        <f>IFERROR(AVERAGE(BD74:BD270),"NP")</f>
        <v>0.2298008095849346</v>
      </c>
      <c r="M270" s="23"/>
      <c r="N270" s="23" t="s">
        <v>988</v>
      </c>
      <c r="O270" s="13" t="s">
        <v>989</v>
      </c>
      <c r="P270" s="1">
        <v>332</v>
      </c>
      <c r="Q270" s="1">
        <v>1500</v>
      </c>
      <c r="R270" s="24"/>
      <c r="S270" s="13" t="s">
        <v>990</v>
      </c>
      <c r="T270" s="13" t="s">
        <v>990</v>
      </c>
      <c r="U270" s="1">
        <v>332</v>
      </c>
      <c r="V270" s="1">
        <v>1500</v>
      </c>
      <c r="W270" s="1" t="s">
        <v>49</v>
      </c>
      <c r="X270" s="1"/>
      <c r="Y270" s="10" t="s">
        <v>972</v>
      </c>
      <c r="Z270" s="10">
        <v>21</v>
      </c>
      <c r="AA270" s="13" t="s">
        <v>991</v>
      </c>
      <c r="AB270" s="10" t="s">
        <v>1772</v>
      </c>
      <c r="AC270" s="156"/>
      <c r="AD270" s="156">
        <v>300</v>
      </c>
      <c r="AE270" s="156">
        <v>434</v>
      </c>
      <c r="AF270" s="156">
        <v>434</v>
      </c>
      <c r="AG270" s="377">
        <f t="shared" si="31"/>
        <v>1168</v>
      </c>
      <c r="AH270" s="377" t="b">
        <f t="shared" si="38"/>
        <v>0</v>
      </c>
      <c r="AI270" s="1"/>
      <c r="AJ270" s="1"/>
      <c r="AK270" s="1"/>
      <c r="AL270" s="1"/>
      <c r="AM270" s="16">
        <f t="shared" si="39"/>
        <v>0</v>
      </c>
      <c r="AN270" s="156"/>
      <c r="AO270" s="31"/>
      <c r="AP270" s="31"/>
      <c r="AQ270" s="31"/>
      <c r="AR270" s="31"/>
      <c r="AS270" s="21" t="s">
        <v>310</v>
      </c>
      <c r="AT270" s="1">
        <f t="shared" si="32"/>
        <v>0</v>
      </c>
      <c r="AU270" s="31"/>
      <c r="AV270" s="31"/>
      <c r="AW270" s="31"/>
      <c r="AX270" s="16">
        <f t="shared" si="36"/>
        <v>0</v>
      </c>
      <c r="AY270" s="156">
        <v>300</v>
      </c>
      <c r="AZ270" s="332">
        <v>0</v>
      </c>
      <c r="BA270" s="31"/>
      <c r="BB270" s="31"/>
      <c r="BC270" s="31"/>
      <c r="BD270" s="16">
        <f t="shared" si="33"/>
        <v>0</v>
      </c>
      <c r="BE270" s="31"/>
      <c r="BF270" s="31"/>
      <c r="BG270" s="31"/>
      <c r="BH270" s="31"/>
      <c r="BI270" s="16"/>
      <c r="BJ270" s="16"/>
      <c r="BK270" s="31"/>
      <c r="BL270" s="31"/>
      <c r="BM270" s="31"/>
      <c r="BN270" s="31"/>
      <c r="BO270" s="16"/>
      <c r="BP270" s="31"/>
      <c r="BQ270" s="31"/>
      <c r="BR270" s="31"/>
      <c r="BS270" s="31"/>
      <c r="BT270" s="16"/>
      <c r="BU270" s="16"/>
      <c r="BV270" s="16"/>
      <c r="BW270" s="16"/>
      <c r="BX270" s="16"/>
      <c r="BY270" s="16"/>
      <c r="BZ270" s="16"/>
      <c r="CA270" s="1"/>
      <c r="CB270" s="1"/>
      <c r="CC270" s="1"/>
    </row>
    <row r="271" spans="1:81" s="52" customFormat="1" ht="110.25" customHeight="1" x14ac:dyDescent="0.25">
      <c r="A271" s="1">
        <v>2</v>
      </c>
      <c r="B271" s="13" t="s">
        <v>1747</v>
      </c>
      <c r="C271" s="572"/>
      <c r="D271" s="573"/>
      <c r="E271" s="10" t="s">
        <v>964</v>
      </c>
      <c r="F271" s="13" t="s">
        <v>965</v>
      </c>
      <c r="G271" s="572"/>
      <c r="H271" s="573"/>
      <c r="I271" s="10" t="s">
        <v>986</v>
      </c>
      <c r="J271" s="13" t="s">
        <v>987</v>
      </c>
      <c r="K271" s="572"/>
      <c r="L271" s="573"/>
      <c r="M271" s="23"/>
      <c r="N271" s="23" t="s">
        <v>988</v>
      </c>
      <c r="O271" s="23" t="s">
        <v>992</v>
      </c>
      <c r="P271" s="10" t="s">
        <v>993</v>
      </c>
      <c r="Q271" s="1">
        <v>10</v>
      </c>
      <c r="R271" s="24"/>
      <c r="S271" s="13" t="s">
        <v>994</v>
      </c>
      <c r="T271" s="13" t="s">
        <v>994</v>
      </c>
      <c r="U271" s="1">
        <v>1</v>
      </c>
      <c r="V271" s="1">
        <v>1</v>
      </c>
      <c r="W271" s="1" t="s">
        <v>78</v>
      </c>
      <c r="X271" s="1"/>
      <c r="Y271" s="10" t="s">
        <v>972</v>
      </c>
      <c r="Z271" s="10">
        <v>21</v>
      </c>
      <c r="AA271" s="13" t="s">
        <v>981</v>
      </c>
      <c r="AB271" s="10" t="s">
        <v>1772</v>
      </c>
      <c r="AC271" s="156">
        <v>1</v>
      </c>
      <c r="AD271" s="156">
        <v>1</v>
      </c>
      <c r="AE271" s="156"/>
      <c r="AF271" s="156"/>
      <c r="AG271" s="377">
        <f t="shared" si="31"/>
        <v>2</v>
      </c>
      <c r="AH271" s="377" t="b">
        <f t="shared" si="38"/>
        <v>0</v>
      </c>
      <c r="AI271" s="1">
        <v>0</v>
      </c>
      <c r="AJ271" s="1">
        <v>0.5</v>
      </c>
      <c r="AK271" s="1">
        <v>0.1</v>
      </c>
      <c r="AL271" s="1">
        <v>0.1</v>
      </c>
      <c r="AM271" s="16">
        <f t="shared" si="39"/>
        <v>0.1</v>
      </c>
      <c r="AN271" s="156">
        <v>1</v>
      </c>
      <c r="AO271" s="31">
        <v>0</v>
      </c>
      <c r="AP271" s="1">
        <v>0.5</v>
      </c>
      <c r="AQ271" s="1"/>
      <c r="AR271" s="1">
        <f>AL271</f>
        <v>0.1</v>
      </c>
      <c r="AS271" s="21">
        <f>IFERROR(+AR271/AN271,0)</f>
        <v>0.1</v>
      </c>
      <c r="AT271" s="1">
        <f t="shared" ref="AT271:AT333" si="40">IF(W271="Mantenimiento",(AL271+AZ271)/4*100%,AL271+AZ271)</f>
        <v>7.5000000000000011E-2</v>
      </c>
      <c r="AU271" s="31"/>
      <c r="AV271" s="31"/>
      <c r="AW271" s="31"/>
      <c r="AX271" s="16">
        <f t="shared" si="36"/>
        <v>7.5000000000000011E-2</v>
      </c>
      <c r="AY271" s="156">
        <v>1</v>
      </c>
      <c r="AZ271" s="332">
        <v>0.2</v>
      </c>
      <c r="BA271" s="31"/>
      <c r="BB271" s="31"/>
      <c r="BC271" s="31"/>
      <c r="BD271" s="16">
        <f t="shared" si="33"/>
        <v>0.2</v>
      </c>
      <c r="BE271" s="31"/>
      <c r="BF271" s="31"/>
      <c r="BG271" s="31"/>
      <c r="BH271" s="31"/>
      <c r="BI271" s="16"/>
      <c r="BJ271" s="16"/>
      <c r="BK271" s="31"/>
      <c r="BL271" s="31"/>
      <c r="BM271" s="31"/>
      <c r="BN271" s="31"/>
      <c r="BO271" s="16"/>
      <c r="BP271" s="31"/>
      <c r="BQ271" s="31"/>
      <c r="BR271" s="31"/>
      <c r="BS271" s="31"/>
      <c r="BT271" s="16"/>
      <c r="BU271" s="16"/>
      <c r="BV271" s="16"/>
      <c r="BW271" s="16"/>
      <c r="BX271" s="16"/>
      <c r="BY271" s="16"/>
      <c r="BZ271" s="16"/>
      <c r="CA271" s="1"/>
      <c r="CB271" s="1"/>
      <c r="CC271" s="1"/>
    </row>
    <row r="272" spans="1:81" s="52" customFormat="1" ht="110.25" customHeight="1" x14ac:dyDescent="0.25">
      <c r="A272" s="1">
        <v>2</v>
      </c>
      <c r="B272" s="13" t="s">
        <v>1747</v>
      </c>
      <c r="C272" s="572"/>
      <c r="D272" s="573"/>
      <c r="E272" s="10" t="s">
        <v>964</v>
      </c>
      <c r="F272" s="13" t="s">
        <v>965</v>
      </c>
      <c r="G272" s="572"/>
      <c r="H272" s="573"/>
      <c r="I272" s="10" t="s">
        <v>986</v>
      </c>
      <c r="J272" s="13" t="s">
        <v>987</v>
      </c>
      <c r="K272" s="572"/>
      <c r="L272" s="573"/>
      <c r="M272" s="23"/>
      <c r="N272" s="23" t="s">
        <v>988</v>
      </c>
      <c r="O272" s="23" t="s">
        <v>992</v>
      </c>
      <c r="P272" s="10" t="s">
        <v>993</v>
      </c>
      <c r="Q272" s="1">
        <v>10</v>
      </c>
      <c r="R272" s="24"/>
      <c r="S272" s="13" t="s">
        <v>995</v>
      </c>
      <c r="T272" s="13" t="s">
        <v>995</v>
      </c>
      <c r="U272" s="1">
        <v>0</v>
      </c>
      <c r="V272" s="1">
        <v>1</v>
      </c>
      <c r="W272" s="1" t="s">
        <v>49</v>
      </c>
      <c r="X272" s="1"/>
      <c r="Y272" s="10" t="s">
        <v>972</v>
      </c>
      <c r="Z272" s="10">
        <v>21</v>
      </c>
      <c r="AA272" s="13" t="s">
        <v>981</v>
      </c>
      <c r="AB272" s="10" t="s">
        <v>1772</v>
      </c>
      <c r="AC272" s="156"/>
      <c r="AD272" s="156"/>
      <c r="AE272" s="156">
        <v>1</v>
      </c>
      <c r="AF272" s="156"/>
      <c r="AG272" s="377">
        <f t="shared" ref="AG272:AG335" si="41">SUBTOTAL(9,AC272:AF272)</f>
        <v>1</v>
      </c>
      <c r="AH272" s="377" t="b">
        <f t="shared" si="38"/>
        <v>1</v>
      </c>
      <c r="AI272" s="1"/>
      <c r="AJ272" s="1"/>
      <c r="AK272" s="1"/>
      <c r="AL272" s="1"/>
      <c r="AM272" s="16">
        <f t="shared" si="39"/>
        <v>0</v>
      </c>
      <c r="AN272" s="156"/>
      <c r="AO272" s="31"/>
      <c r="AP272" s="31"/>
      <c r="AQ272" s="31"/>
      <c r="AR272" s="31"/>
      <c r="AS272" s="21" t="s">
        <v>310</v>
      </c>
      <c r="AT272" s="1">
        <f t="shared" si="40"/>
        <v>0</v>
      </c>
      <c r="AU272" s="31"/>
      <c r="AV272" s="31"/>
      <c r="AW272" s="31"/>
      <c r="AX272" s="16">
        <f t="shared" si="36"/>
        <v>0</v>
      </c>
      <c r="AY272" s="156" t="s">
        <v>310</v>
      </c>
      <c r="AZ272" s="76">
        <v>0</v>
      </c>
      <c r="BA272" s="31"/>
      <c r="BB272" s="31"/>
      <c r="BC272" s="31"/>
      <c r="BD272" s="16" t="str">
        <f t="shared" ref="BD272:BD334" si="42">IFERROR(IF((+AZ272/AY272)&gt;100%,100%,(+AZ272/AY272)),"NP")</f>
        <v>NP</v>
      </c>
      <c r="BE272" s="31"/>
      <c r="BF272" s="31"/>
      <c r="BG272" s="31"/>
      <c r="BH272" s="31"/>
      <c r="BI272" s="16"/>
      <c r="BJ272" s="16"/>
      <c r="BK272" s="31"/>
      <c r="BL272" s="31"/>
      <c r="BM272" s="31"/>
      <c r="BN272" s="31"/>
      <c r="BO272" s="16"/>
      <c r="BP272" s="31"/>
      <c r="BQ272" s="31"/>
      <c r="BR272" s="31"/>
      <c r="BS272" s="31"/>
      <c r="BT272" s="16"/>
      <c r="BU272" s="16"/>
      <c r="BV272" s="16"/>
      <c r="BW272" s="16"/>
      <c r="BX272" s="16"/>
      <c r="BY272" s="16"/>
      <c r="BZ272" s="16"/>
      <c r="CA272" s="1"/>
      <c r="CB272" s="1"/>
      <c r="CC272" s="1"/>
    </row>
    <row r="273" spans="1:81" s="52" customFormat="1" ht="110.25" customHeight="1" x14ac:dyDescent="0.25">
      <c r="A273" s="1">
        <v>2</v>
      </c>
      <c r="B273" s="13" t="s">
        <v>1747</v>
      </c>
      <c r="C273" s="572"/>
      <c r="D273" s="573"/>
      <c r="E273" s="10" t="s">
        <v>964</v>
      </c>
      <c r="F273" s="13" t="s">
        <v>965</v>
      </c>
      <c r="G273" s="572"/>
      <c r="H273" s="573"/>
      <c r="I273" s="10" t="s">
        <v>986</v>
      </c>
      <c r="J273" s="13" t="s">
        <v>987</v>
      </c>
      <c r="K273" s="572"/>
      <c r="L273" s="573"/>
      <c r="M273" s="23"/>
      <c r="N273" s="23" t="s">
        <v>988</v>
      </c>
      <c r="O273" s="23" t="s">
        <v>996</v>
      </c>
      <c r="P273" s="1">
        <v>3</v>
      </c>
      <c r="Q273" s="1">
        <v>10</v>
      </c>
      <c r="R273" s="24"/>
      <c r="S273" s="13" t="s">
        <v>997</v>
      </c>
      <c r="T273" s="13" t="s">
        <v>997</v>
      </c>
      <c r="U273" s="1">
        <v>3</v>
      </c>
      <c r="V273" s="1">
        <v>10</v>
      </c>
      <c r="W273" s="1" t="s">
        <v>49</v>
      </c>
      <c r="X273" s="1"/>
      <c r="Y273" s="10" t="s">
        <v>972</v>
      </c>
      <c r="Z273" s="10">
        <v>21</v>
      </c>
      <c r="AA273" s="13" t="s">
        <v>981</v>
      </c>
      <c r="AB273" s="10" t="s">
        <v>1772</v>
      </c>
      <c r="AC273" s="156"/>
      <c r="AD273" s="156"/>
      <c r="AE273" s="156">
        <v>3</v>
      </c>
      <c r="AF273" s="156">
        <v>4</v>
      </c>
      <c r="AG273" s="377">
        <f t="shared" si="41"/>
        <v>7</v>
      </c>
      <c r="AH273" s="377" t="b">
        <f t="shared" si="38"/>
        <v>0</v>
      </c>
      <c r="AI273" s="1"/>
      <c r="AJ273" s="1"/>
      <c r="AK273" s="1"/>
      <c r="AL273" s="1"/>
      <c r="AM273" s="16">
        <f t="shared" si="39"/>
        <v>0</v>
      </c>
      <c r="AN273" s="156"/>
      <c r="AO273" s="31"/>
      <c r="AP273" s="31"/>
      <c r="AQ273" s="31"/>
      <c r="AR273" s="31"/>
      <c r="AS273" s="21" t="s">
        <v>310</v>
      </c>
      <c r="AT273" s="1">
        <f t="shared" si="40"/>
        <v>2</v>
      </c>
      <c r="AU273" s="31"/>
      <c r="AV273" s="31"/>
      <c r="AW273" s="31"/>
      <c r="AX273" s="16">
        <f t="shared" si="36"/>
        <v>0.2</v>
      </c>
      <c r="AY273" s="108">
        <v>2</v>
      </c>
      <c r="AZ273" s="332">
        <v>2</v>
      </c>
      <c r="BA273" s="31"/>
      <c r="BB273" s="31"/>
      <c r="BC273" s="31"/>
      <c r="BD273" s="16">
        <f t="shared" si="42"/>
        <v>1</v>
      </c>
      <c r="BE273" s="31"/>
      <c r="BF273" s="31"/>
      <c r="BG273" s="31"/>
      <c r="BH273" s="31"/>
      <c r="BI273" s="16"/>
      <c r="BJ273" s="16"/>
      <c r="BK273" s="31"/>
      <c r="BL273" s="31"/>
      <c r="BM273" s="31"/>
      <c r="BN273" s="31"/>
      <c r="BO273" s="16"/>
      <c r="BP273" s="31"/>
      <c r="BQ273" s="31"/>
      <c r="BR273" s="31"/>
      <c r="BS273" s="31"/>
      <c r="BT273" s="16"/>
      <c r="BU273" s="16"/>
      <c r="BV273" s="16"/>
      <c r="BW273" s="16"/>
      <c r="BX273" s="16"/>
      <c r="BY273" s="16"/>
      <c r="BZ273" s="16"/>
      <c r="CA273" s="1"/>
      <c r="CB273" s="1"/>
      <c r="CC273" s="1"/>
    </row>
    <row r="274" spans="1:81" s="52" customFormat="1" ht="110.25" customHeight="1" x14ac:dyDescent="0.25">
      <c r="A274" s="1">
        <v>2</v>
      </c>
      <c r="B274" s="13" t="s">
        <v>1747</v>
      </c>
      <c r="C274" s="572"/>
      <c r="D274" s="573"/>
      <c r="E274" s="10" t="s">
        <v>964</v>
      </c>
      <c r="F274" s="13" t="s">
        <v>965</v>
      </c>
      <c r="G274" s="572"/>
      <c r="H274" s="573"/>
      <c r="I274" s="10" t="s">
        <v>986</v>
      </c>
      <c r="J274" s="13" t="s">
        <v>987</v>
      </c>
      <c r="K274" s="568"/>
      <c r="L274" s="570"/>
      <c r="M274" s="23"/>
      <c r="N274" s="23" t="s">
        <v>988</v>
      </c>
      <c r="O274" s="23" t="s">
        <v>996</v>
      </c>
      <c r="P274" s="1">
        <v>3</v>
      </c>
      <c r="Q274" s="1">
        <v>10</v>
      </c>
      <c r="R274" s="24"/>
      <c r="S274" s="13" t="s">
        <v>998</v>
      </c>
      <c r="T274" s="13" t="s">
        <v>998</v>
      </c>
      <c r="U274" s="1" t="s">
        <v>993</v>
      </c>
      <c r="V274" s="1">
        <v>6</v>
      </c>
      <c r="W274" s="1" t="s">
        <v>49</v>
      </c>
      <c r="X274" s="1"/>
      <c r="Y274" s="10" t="s">
        <v>972</v>
      </c>
      <c r="Z274" s="10">
        <v>21</v>
      </c>
      <c r="AA274" s="13" t="s">
        <v>981</v>
      </c>
      <c r="AB274" s="10" t="s">
        <v>1772</v>
      </c>
      <c r="AC274" s="156"/>
      <c r="AD274" s="156"/>
      <c r="AE274" s="156">
        <v>3</v>
      </c>
      <c r="AF274" s="156">
        <v>3</v>
      </c>
      <c r="AG274" s="377">
        <f t="shared" si="41"/>
        <v>6</v>
      </c>
      <c r="AH274" s="377" t="b">
        <f t="shared" si="38"/>
        <v>1</v>
      </c>
      <c r="AI274" s="1"/>
      <c r="AJ274" s="1"/>
      <c r="AK274" s="1"/>
      <c r="AL274" s="1"/>
      <c r="AM274" s="16">
        <f t="shared" si="39"/>
        <v>0</v>
      </c>
      <c r="AN274" s="156"/>
      <c r="AO274" s="31"/>
      <c r="AP274" s="31"/>
      <c r="AQ274" s="31"/>
      <c r="AR274" s="31"/>
      <c r="AS274" s="21" t="s">
        <v>310</v>
      </c>
      <c r="AT274" s="1">
        <f t="shared" si="40"/>
        <v>3</v>
      </c>
      <c r="AU274" s="31"/>
      <c r="AV274" s="31"/>
      <c r="AW274" s="31"/>
      <c r="AX274" s="16">
        <f t="shared" si="36"/>
        <v>0.5</v>
      </c>
      <c r="AY274" s="108">
        <v>3</v>
      </c>
      <c r="AZ274" s="332">
        <v>3</v>
      </c>
      <c r="BA274" s="31"/>
      <c r="BB274" s="31"/>
      <c r="BC274" s="31"/>
      <c r="BD274" s="16">
        <f t="shared" si="42"/>
        <v>1</v>
      </c>
      <c r="BE274" s="31"/>
      <c r="BF274" s="31"/>
      <c r="BG274" s="31"/>
      <c r="BH274" s="31"/>
      <c r="BI274" s="16"/>
      <c r="BJ274" s="16"/>
      <c r="BK274" s="31"/>
      <c r="BL274" s="31"/>
      <c r="BM274" s="31"/>
      <c r="BN274" s="31"/>
      <c r="BO274" s="16"/>
      <c r="BP274" s="31"/>
      <c r="BQ274" s="31"/>
      <c r="BR274" s="31"/>
      <c r="BS274" s="31"/>
      <c r="BT274" s="16"/>
      <c r="BU274" s="16"/>
      <c r="BV274" s="16"/>
      <c r="BW274" s="16"/>
      <c r="BX274" s="16"/>
      <c r="BY274" s="16"/>
      <c r="BZ274" s="16"/>
      <c r="CA274" s="1"/>
      <c r="CB274" s="1"/>
      <c r="CC274" s="1"/>
    </row>
    <row r="275" spans="1:81" s="52" customFormat="1" ht="146.65" customHeight="1" x14ac:dyDescent="0.25">
      <c r="A275" s="1">
        <v>2</v>
      </c>
      <c r="B275" s="13" t="s">
        <v>1747</v>
      </c>
      <c r="C275" s="572"/>
      <c r="D275" s="573"/>
      <c r="E275" s="10" t="s">
        <v>964</v>
      </c>
      <c r="F275" s="13" t="s">
        <v>965</v>
      </c>
      <c r="G275" s="572"/>
      <c r="H275" s="573"/>
      <c r="I275" s="10" t="s">
        <v>999</v>
      </c>
      <c r="J275" s="13" t="s">
        <v>1000</v>
      </c>
      <c r="K275" s="567">
        <f>AVERAGE(AX275:AX277)</f>
        <v>8.111111111111112E-2</v>
      </c>
      <c r="L275" s="569">
        <f>AVERAGE(BD275:BD277)</f>
        <v>6.0606060606060608E-2</v>
      </c>
      <c r="M275" s="23"/>
      <c r="N275" s="37" t="s">
        <v>1001</v>
      </c>
      <c r="O275" s="13" t="s">
        <v>1002</v>
      </c>
      <c r="P275" s="1">
        <v>0</v>
      </c>
      <c r="Q275" s="1">
        <v>2</v>
      </c>
      <c r="R275" s="24"/>
      <c r="S275" s="13" t="s">
        <v>1003</v>
      </c>
      <c r="T275" s="13" t="s">
        <v>1003</v>
      </c>
      <c r="U275" s="1">
        <v>0</v>
      </c>
      <c r="V275" s="1">
        <v>100</v>
      </c>
      <c r="W275" s="1" t="s">
        <v>49</v>
      </c>
      <c r="X275" s="1"/>
      <c r="Y275" s="10" t="s">
        <v>972</v>
      </c>
      <c r="Z275" s="10">
        <v>21</v>
      </c>
      <c r="AA275" s="13" t="s">
        <v>1004</v>
      </c>
      <c r="AB275" s="10" t="s">
        <v>1772</v>
      </c>
      <c r="AC275" s="156"/>
      <c r="AD275" s="156">
        <v>33</v>
      </c>
      <c r="AE275" s="156">
        <v>33</v>
      </c>
      <c r="AF275" s="156">
        <v>33</v>
      </c>
      <c r="AG275" s="377">
        <f t="shared" si="41"/>
        <v>99</v>
      </c>
      <c r="AH275" s="377" t="b">
        <f t="shared" si="38"/>
        <v>0</v>
      </c>
      <c r="AI275" s="1"/>
      <c r="AJ275" s="1"/>
      <c r="AK275" s="1"/>
      <c r="AL275" s="1"/>
      <c r="AM275" s="16">
        <f t="shared" si="39"/>
        <v>0</v>
      </c>
      <c r="AN275" s="156"/>
      <c r="AO275" s="31"/>
      <c r="AP275" s="31"/>
      <c r="AQ275" s="31"/>
      <c r="AR275" s="31"/>
      <c r="AS275" s="21" t="s">
        <v>310</v>
      </c>
      <c r="AT275" s="1">
        <f t="shared" si="40"/>
        <v>2</v>
      </c>
      <c r="AU275" s="31"/>
      <c r="AV275" s="31"/>
      <c r="AW275" s="31"/>
      <c r="AX275" s="16">
        <f t="shared" si="36"/>
        <v>0.02</v>
      </c>
      <c r="AY275" s="156">
        <v>33</v>
      </c>
      <c r="AZ275" s="332">
        <v>2</v>
      </c>
      <c r="BA275" s="31"/>
      <c r="BB275" s="31"/>
      <c r="BC275" s="31"/>
      <c r="BD275" s="16">
        <f t="shared" si="42"/>
        <v>6.0606060606060608E-2</v>
      </c>
      <c r="BE275" s="31"/>
      <c r="BF275" s="31"/>
      <c r="BG275" s="31"/>
      <c r="BH275" s="31"/>
      <c r="BI275" s="16"/>
      <c r="BJ275" s="16"/>
      <c r="BK275" s="31"/>
      <c r="BL275" s="31"/>
      <c r="BM275" s="31"/>
      <c r="BN275" s="31"/>
      <c r="BO275" s="16"/>
      <c r="BP275" s="31"/>
      <c r="BQ275" s="31"/>
      <c r="BR275" s="31"/>
      <c r="BS275" s="31"/>
      <c r="BT275" s="16"/>
      <c r="BU275" s="16"/>
      <c r="BV275" s="16"/>
      <c r="BW275" s="16"/>
      <c r="BX275" s="16"/>
      <c r="BY275" s="16"/>
      <c r="BZ275" s="16"/>
      <c r="CA275" s="1"/>
      <c r="CB275" s="1"/>
      <c r="CC275" s="1"/>
    </row>
    <row r="276" spans="1:81" s="52" customFormat="1" ht="127.15" customHeight="1" x14ac:dyDescent="0.25">
      <c r="A276" s="1">
        <v>2</v>
      </c>
      <c r="B276" s="13" t="s">
        <v>1747</v>
      </c>
      <c r="C276" s="572"/>
      <c r="D276" s="573"/>
      <c r="E276" s="10" t="s">
        <v>964</v>
      </c>
      <c r="F276" s="13" t="s">
        <v>965</v>
      </c>
      <c r="G276" s="572"/>
      <c r="H276" s="573"/>
      <c r="I276" s="10" t="s">
        <v>999</v>
      </c>
      <c r="J276" s="13" t="s">
        <v>1000</v>
      </c>
      <c r="K276" s="572"/>
      <c r="L276" s="573"/>
      <c r="M276" s="23"/>
      <c r="N276" s="23" t="s">
        <v>1001</v>
      </c>
      <c r="O276" s="23" t="s">
        <v>1002</v>
      </c>
      <c r="P276" s="1">
        <v>0</v>
      </c>
      <c r="Q276" s="1">
        <v>2</v>
      </c>
      <c r="R276" s="24"/>
      <c r="S276" s="13" t="s">
        <v>1005</v>
      </c>
      <c r="T276" s="13" t="s">
        <v>1003</v>
      </c>
      <c r="U276" s="1">
        <v>0</v>
      </c>
      <c r="V276" s="1">
        <v>3</v>
      </c>
      <c r="W276" s="1" t="s">
        <v>49</v>
      </c>
      <c r="X276" s="1"/>
      <c r="Y276" s="10" t="s">
        <v>972</v>
      </c>
      <c r="Z276" s="10">
        <v>21</v>
      </c>
      <c r="AA276" s="13" t="s">
        <v>1004</v>
      </c>
      <c r="AB276" s="10" t="s">
        <v>1772</v>
      </c>
      <c r="AC276" s="156">
        <v>1</v>
      </c>
      <c r="AD276" s="156"/>
      <c r="AE276" s="371">
        <v>2</v>
      </c>
      <c r="AF276" s="156"/>
      <c r="AG276" s="377">
        <f t="shared" si="41"/>
        <v>3</v>
      </c>
      <c r="AH276" s="377" t="b">
        <f t="shared" si="38"/>
        <v>1</v>
      </c>
      <c r="AI276" s="1">
        <v>0</v>
      </c>
      <c r="AJ276" s="1">
        <v>0.5</v>
      </c>
      <c r="AK276" s="1">
        <v>0.67</v>
      </c>
      <c r="AL276" s="1">
        <v>0.67</v>
      </c>
      <c r="AM276" s="16">
        <f t="shared" si="39"/>
        <v>0.22333333333333336</v>
      </c>
      <c r="AN276" s="156">
        <v>1</v>
      </c>
      <c r="AO276" s="31">
        <v>0</v>
      </c>
      <c r="AP276" s="1">
        <v>0.5</v>
      </c>
      <c r="AQ276" s="1"/>
      <c r="AR276" s="1">
        <f>AL276</f>
        <v>0.67</v>
      </c>
      <c r="AS276" s="21">
        <f>IFERROR(+AR276/AN276,0)</f>
        <v>0.67</v>
      </c>
      <c r="AT276" s="1">
        <f t="shared" si="40"/>
        <v>0.67</v>
      </c>
      <c r="AU276" s="31"/>
      <c r="AV276" s="31"/>
      <c r="AW276" s="31"/>
      <c r="AX276" s="16">
        <f t="shared" si="36"/>
        <v>0.22333333333333336</v>
      </c>
      <c r="AY276" s="156" t="s">
        <v>310</v>
      </c>
      <c r="AZ276" s="76">
        <v>0</v>
      </c>
      <c r="BA276" s="31"/>
      <c r="BB276" s="31"/>
      <c r="BC276" s="31"/>
      <c r="BD276" s="16" t="str">
        <f t="shared" si="42"/>
        <v>NP</v>
      </c>
      <c r="BE276" s="31"/>
      <c r="BF276" s="31"/>
      <c r="BG276" s="31"/>
      <c r="BH276" s="31"/>
      <c r="BI276" s="16"/>
      <c r="BJ276" s="16"/>
      <c r="BK276" s="31"/>
      <c r="BL276" s="31"/>
      <c r="BM276" s="31"/>
      <c r="BN276" s="31"/>
      <c r="BO276" s="16"/>
      <c r="BP276" s="31"/>
      <c r="BQ276" s="31"/>
      <c r="BR276" s="31"/>
      <c r="BS276" s="31"/>
      <c r="BT276" s="16"/>
      <c r="BU276" s="16"/>
      <c r="BV276" s="16"/>
      <c r="BW276" s="16"/>
      <c r="BX276" s="16"/>
      <c r="BY276" s="16"/>
      <c r="BZ276" s="16"/>
      <c r="CA276" s="1"/>
      <c r="CB276" s="1"/>
      <c r="CC276" s="1"/>
    </row>
    <row r="277" spans="1:81" s="52" customFormat="1" ht="110.25" customHeight="1" x14ac:dyDescent="0.25">
      <c r="A277" s="1">
        <v>2</v>
      </c>
      <c r="B277" s="13" t="s">
        <v>1747</v>
      </c>
      <c r="C277" s="572"/>
      <c r="D277" s="573"/>
      <c r="E277" s="10" t="s">
        <v>964</v>
      </c>
      <c r="F277" s="13" t="s">
        <v>965</v>
      </c>
      <c r="G277" s="572"/>
      <c r="H277" s="573"/>
      <c r="I277" s="10" t="s">
        <v>999</v>
      </c>
      <c r="J277" s="13" t="s">
        <v>1000</v>
      </c>
      <c r="K277" s="568"/>
      <c r="L277" s="570"/>
      <c r="M277" s="23"/>
      <c r="N277" s="23" t="s">
        <v>1001</v>
      </c>
      <c r="O277" s="23" t="s">
        <v>1002</v>
      </c>
      <c r="P277" s="1">
        <v>0</v>
      </c>
      <c r="Q277" s="1">
        <v>2</v>
      </c>
      <c r="R277" s="24"/>
      <c r="S277" s="13" t="s">
        <v>1006</v>
      </c>
      <c r="T277" s="13" t="s">
        <v>1006</v>
      </c>
      <c r="U277" s="1">
        <v>0</v>
      </c>
      <c r="V277" s="1">
        <v>2</v>
      </c>
      <c r="W277" s="1" t="s">
        <v>49</v>
      </c>
      <c r="X277" s="1"/>
      <c r="Y277" s="10" t="s">
        <v>972</v>
      </c>
      <c r="Z277" s="10">
        <v>21</v>
      </c>
      <c r="AA277" s="13" t="s">
        <v>1004</v>
      </c>
      <c r="AB277" s="10" t="s">
        <v>1772</v>
      </c>
      <c r="AC277" s="156"/>
      <c r="AD277" s="156"/>
      <c r="AE277" s="156">
        <v>1</v>
      </c>
      <c r="AF277" s="156">
        <v>1</v>
      </c>
      <c r="AG277" s="377">
        <f t="shared" si="41"/>
        <v>2</v>
      </c>
      <c r="AH277" s="377" t="b">
        <f t="shared" si="38"/>
        <v>1</v>
      </c>
      <c r="AI277" s="1"/>
      <c r="AJ277" s="1"/>
      <c r="AK277" s="1"/>
      <c r="AL277" s="1"/>
      <c r="AM277" s="16">
        <f t="shared" si="39"/>
        <v>0</v>
      </c>
      <c r="AN277" s="156"/>
      <c r="AO277" s="31"/>
      <c r="AP277" s="31"/>
      <c r="AQ277" s="31"/>
      <c r="AR277" s="31"/>
      <c r="AS277" s="21" t="s">
        <v>310</v>
      </c>
      <c r="AT277" s="1">
        <f t="shared" si="40"/>
        <v>0</v>
      </c>
      <c r="AU277" s="31"/>
      <c r="AV277" s="31"/>
      <c r="AW277" s="31"/>
      <c r="AX277" s="16">
        <f t="shared" si="36"/>
        <v>0</v>
      </c>
      <c r="AY277" s="156" t="s">
        <v>310</v>
      </c>
      <c r="AZ277" s="76">
        <v>0</v>
      </c>
      <c r="BA277" s="31"/>
      <c r="BB277" s="31"/>
      <c r="BC277" s="31"/>
      <c r="BD277" s="16" t="str">
        <f t="shared" si="42"/>
        <v>NP</v>
      </c>
      <c r="BE277" s="31"/>
      <c r="BF277" s="31"/>
      <c r="BG277" s="31"/>
      <c r="BH277" s="31"/>
      <c r="BI277" s="16"/>
      <c r="BJ277" s="16"/>
      <c r="BK277" s="31"/>
      <c r="BL277" s="31"/>
      <c r="BM277" s="31"/>
      <c r="BN277" s="31"/>
      <c r="BO277" s="16"/>
      <c r="BP277" s="31"/>
      <c r="BQ277" s="31"/>
      <c r="BR277" s="31"/>
      <c r="BS277" s="31"/>
      <c r="BT277" s="16"/>
      <c r="BU277" s="16"/>
      <c r="BV277" s="16"/>
      <c r="BW277" s="16"/>
      <c r="BX277" s="16"/>
      <c r="BY277" s="16"/>
      <c r="BZ277" s="16"/>
      <c r="CA277" s="1"/>
      <c r="CB277" s="1"/>
      <c r="CC277" s="1"/>
    </row>
    <row r="278" spans="1:81" s="52" customFormat="1" ht="110.25" customHeight="1" x14ac:dyDescent="0.25">
      <c r="A278" s="1">
        <v>2</v>
      </c>
      <c r="B278" s="13" t="s">
        <v>1747</v>
      </c>
      <c r="C278" s="572"/>
      <c r="D278" s="573"/>
      <c r="E278" s="10" t="s">
        <v>964</v>
      </c>
      <c r="F278" s="13" t="s">
        <v>965</v>
      </c>
      <c r="G278" s="572"/>
      <c r="H278" s="573"/>
      <c r="I278" s="10" t="s">
        <v>1007</v>
      </c>
      <c r="J278" s="13" t="s">
        <v>1008</v>
      </c>
      <c r="K278" s="567">
        <f>AVERAGE(AX278:AX280)</f>
        <v>0.2722222222222222</v>
      </c>
      <c r="L278" s="569">
        <f>AVERAGE(BD278:BD280)</f>
        <v>0.52500000000000002</v>
      </c>
      <c r="M278" s="23"/>
      <c r="N278" s="13" t="s">
        <v>1009</v>
      </c>
      <c r="O278" s="13" t="s">
        <v>1010</v>
      </c>
      <c r="P278" s="1" t="s">
        <v>1011</v>
      </c>
      <c r="Q278" s="26">
        <v>0.93</v>
      </c>
      <c r="R278" s="14"/>
      <c r="S278" s="13" t="s">
        <v>1012</v>
      </c>
      <c r="T278" s="13" t="s">
        <v>1012</v>
      </c>
      <c r="U278" s="25">
        <v>325000</v>
      </c>
      <c r="V278" s="25">
        <v>357500</v>
      </c>
      <c r="W278" s="1" t="s">
        <v>49</v>
      </c>
      <c r="X278" s="1"/>
      <c r="Y278" s="10" t="s">
        <v>972</v>
      </c>
      <c r="Z278" s="10">
        <v>21</v>
      </c>
      <c r="AA278" s="13" t="s">
        <v>1013</v>
      </c>
      <c r="AB278" s="10" t="s">
        <v>1772</v>
      </c>
      <c r="AC278" s="156"/>
      <c r="AD278" s="156"/>
      <c r="AE278" s="156">
        <v>16250</v>
      </c>
      <c r="AF278" s="156">
        <v>16250</v>
      </c>
      <c r="AG278" s="377">
        <f t="shared" si="41"/>
        <v>32500</v>
      </c>
      <c r="AH278" s="377" t="b">
        <f t="shared" si="38"/>
        <v>0</v>
      </c>
      <c r="AI278" s="1"/>
      <c r="AJ278" s="1"/>
      <c r="AK278" s="1"/>
      <c r="AL278" s="1"/>
      <c r="AM278" s="16">
        <f t="shared" si="39"/>
        <v>0</v>
      </c>
      <c r="AN278" s="156"/>
      <c r="AO278" s="31"/>
      <c r="AP278" s="31"/>
      <c r="AQ278" s="31"/>
      <c r="AR278" s="31"/>
      <c r="AS278" s="21" t="s">
        <v>310</v>
      </c>
      <c r="AT278" s="1">
        <f t="shared" si="40"/>
        <v>0</v>
      </c>
      <c r="AU278" s="31"/>
      <c r="AV278" s="31"/>
      <c r="AW278" s="31"/>
      <c r="AX278" s="16">
        <f t="shared" si="36"/>
        <v>0</v>
      </c>
      <c r="AY278" s="156" t="s">
        <v>310</v>
      </c>
      <c r="AZ278" s="76">
        <v>0</v>
      </c>
      <c r="BA278" s="31"/>
      <c r="BB278" s="31"/>
      <c r="BC278" s="31"/>
      <c r="BD278" s="16" t="str">
        <f t="shared" si="42"/>
        <v>NP</v>
      </c>
      <c r="BE278" s="31"/>
      <c r="BF278" s="31"/>
      <c r="BG278" s="31"/>
      <c r="BH278" s="31"/>
      <c r="BI278" s="16"/>
      <c r="BJ278" s="16"/>
      <c r="BK278" s="31"/>
      <c r="BL278" s="31"/>
      <c r="BM278" s="31"/>
      <c r="BN278" s="31"/>
      <c r="BO278" s="16"/>
      <c r="BP278" s="31"/>
      <c r="BQ278" s="31"/>
      <c r="BR278" s="31"/>
      <c r="BS278" s="31"/>
      <c r="BT278" s="16"/>
      <c r="BU278" s="16"/>
      <c r="BV278" s="16"/>
      <c r="BW278" s="16"/>
      <c r="BX278" s="16"/>
      <c r="BY278" s="16"/>
      <c r="BZ278" s="16"/>
      <c r="CA278" s="1"/>
      <c r="CB278" s="1"/>
      <c r="CC278" s="1"/>
    </row>
    <row r="279" spans="1:81" s="52" customFormat="1" ht="110.25" customHeight="1" x14ac:dyDescent="0.25">
      <c r="A279" s="1">
        <v>2</v>
      </c>
      <c r="B279" s="13" t="s">
        <v>1747</v>
      </c>
      <c r="C279" s="572"/>
      <c r="D279" s="573"/>
      <c r="E279" s="10" t="s">
        <v>964</v>
      </c>
      <c r="F279" s="13" t="s">
        <v>965</v>
      </c>
      <c r="G279" s="572"/>
      <c r="H279" s="573"/>
      <c r="I279" s="10" t="s">
        <v>1007</v>
      </c>
      <c r="J279" s="13" t="s">
        <v>1008</v>
      </c>
      <c r="K279" s="572"/>
      <c r="L279" s="573"/>
      <c r="M279" s="23"/>
      <c r="N279" s="23" t="s">
        <v>1014</v>
      </c>
      <c r="O279" s="23" t="s">
        <v>1015</v>
      </c>
      <c r="P279" s="1" t="s">
        <v>1016</v>
      </c>
      <c r="Q279" s="26">
        <v>0.93</v>
      </c>
      <c r="R279" s="14"/>
      <c r="S279" s="13" t="s">
        <v>1017</v>
      </c>
      <c r="T279" s="13" t="s">
        <v>1017</v>
      </c>
      <c r="U279" s="1">
        <v>369</v>
      </c>
      <c r="V279" s="1">
        <v>3000</v>
      </c>
      <c r="W279" s="1" t="s">
        <v>49</v>
      </c>
      <c r="X279" s="1"/>
      <c r="Y279" s="10" t="s">
        <v>972</v>
      </c>
      <c r="Z279" s="10">
        <v>21</v>
      </c>
      <c r="AA279" s="13" t="s">
        <v>1013</v>
      </c>
      <c r="AB279" s="10" t="s">
        <v>1772</v>
      </c>
      <c r="AC279" s="156">
        <v>313</v>
      </c>
      <c r="AD279" s="156">
        <v>1000</v>
      </c>
      <c r="AE279" s="156">
        <v>1000</v>
      </c>
      <c r="AF279" s="156">
        <v>1000</v>
      </c>
      <c r="AG279" s="377">
        <f t="shared" si="41"/>
        <v>3313</v>
      </c>
      <c r="AH279" s="377" t="b">
        <f t="shared" si="38"/>
        <v>0</v>
      </c>
      <c r="AI279" s="181">
        <v>0</v>
      </c>
      <c r="AJ279" s="181">
        <v>400</v>
      </c>
      <c r="AK279" s="27">
        <v>400</v>
      </c>
      <c r="AL279" s="27">
        <v>400</v>
      </c>
      <c r="AM279" s="16">
        <f>+AL279/V279</f>
        <v>0.13333333333333333</v>
      </c>
      <c r="AN279" s="156">
        <v>313</v>
      </c>
      <c r="AO279" s="108">
        <f>AI279</f>
        <v>0</v>
      </c>
      <c r="AP279" s="108">
        <f>AJ279</f>
        <v>400</v>
      </c>
      <c r="AQ279" s="108"/>
      <c r="AR279" s="108">
        <f>AL279</f>
        <v>400</v>
      </c>
      <c r="AS279" s="21">
        <v>1</v>
      </c>
      <c r="AT279" s="1">
        <f t="shared" si="40"/>
        <v>450</v>
      </c>
      <c r="AU279" s="31"/>
      <c r="AV279" s="31"/>
      <c r="AW279" s="31"/>
      <c r="AX279" s="16">
        <f t="shared" si="36"/>
        <v>0.15</v>
      </c>
      <c r="AY279" s="156">
        <v>1000</v>
      </c>
      <c r="AZ279" s="76">
        <v>50</v>
      </c>
      <c r="BA279" s="31"/>
      <c r="BB279" s="31"/>
      <c r="BC279" s="31"/>
      <c r="BD279" s="16">
        <f t="shared" si="42"/>
        <v>0.05</v>
      </c>
      <c r="BE279" s="31"/>
      <c r="BF279" s="31"/>
      <c r="BG279" s="31"/>
      <c r="BH279" s="31"/>
      <c r="BI279" s="16"/>
      <c r="BJ279" s="16"/>
      <c r="BK279" s="31"/>
      <c r="BL279" s="31"/>
      <c r="BM279" s="31"/>
      <c r="BN279" s="31"/>
      <c r="BO279" s="16"/>
      <c r="BP279" s="31"/>
      <c r="BQ279" s="31"/>
      <c r="BR279" s="31"/>
      <c r="BS279" s="31"/>
      <c r="BT279" s="16"/>
      <c r="BU279" s="16"/>
      <c r="BV279" s="16"/>
      <c r="BW279" s="16"/>
      <c r="BX279" s="16"/>
      <c r="BY279" s="16"/>
      <c r="BZ279" s="16"/>
      <c r="CA279" s="1"/>
      <c r="CB279" s="1"/>
      <c r="CC279" s="1"/>
    </row>
    <row r="280" spans="1:81" s="52" customFormat="1" ht="110.25" customHeight="1" x14ac:dyDescent="0.25">
      <c r="A280" s="1">
        <v>2</v>
      </c>
      <c r="B280" s="13" t="s">
        <v>1747</v>
      </c>
      <c r="C280" s="572"/>
      <c r="D280" s="573"/>
      <c r="E280" s="10" t="s">
        <v>964</v>
      </c>
      <c r="F280" s="13" t="s">
        <v>965</v>
      </c>
      <c r="G280" s="568"/>
      <c r="H280" s="570"/>
      <c r="I280" s="10" t="s">
        <v>1007</v>
      </c>
      <c r="J280" s="13" t="s">
        <v>1008</v>
      </c>
      <c r="K280" s="568"/>
      <c r="L280" s="570"/>
      <c r="M280" s="23"/>
      <c r="N280" s="23" t="s">
        <v>1014</v>
      </c>
      <c r="O280" s="23" t="s">
        <v>1015</v>
      </c>
      <c r="P280" s="1" t="s">
        <v>1016</v>
      </c>
      <c r="Q280" s="26">
        <v>0.93</v>
      </c>
      <c r="R280" s="14"/>
      <c r="S280" s="13" t="s">
        <v>1018</v>
      </c>
      <c r="T280" s="13" t="s">
        <v>1018</v>
      </c>
      <c r="U280" s="1">
        <v>1</v>
      </c>
      <c r="V280" s="1">
        <v>3</v>
      </c>
      <c r="W280" s="1" t="s">
        <v>49</v>
      </c>
      <c r="X280" s="1"/>
      <c r="Y280" s="10" t="s">
        <v>972</v>
      </c>
      <c r="Z280" s="10">
        <v>21</v>
      </c>
      <c r="AA280" s="13" t="s">
        <v>1013</v>
      </c>
      <c r="AB280" s="10" t="s">
        <v>1772</v>
      </c>
      <c r="AC280" s="156"/>
      <c r="AD280" s="156"/>
      <c r="AE280" s="371">
        <v>1</v>
      </c>
      <c r="AF280" s="371">
        <v>1</v>
      </c>
      <c r="AG280" s="377">
        <f t="shared" si="41"/>
        <v>2</v>
      </c>
      <c r="AH280" s="377" t="b">
        <f t="shared" si="38"/>
        <v>0</v>
      </c>
      <c r="AI280" s="1"/>
      <c r="AJ280" s="1"/>
      <c r="AK280" s="1"/>
      <c r="AL280" s="1"/>
      <c r="AM280" s="16">
        <f t="shared" si="39"/>
        <v>0</v>
      </c>
      <c r="AN280" s="156"/>
      <c r="AO280" s="31"/>
      <c r="AP280" s="31"/>
      <c r="AQ280" s="31"/>
      <c r="AR280" s="31"/>
      <c r="AS280" s="21" t="s">
        <v>310</v>
      </c>
      <c r="AT280" s="1">
        <f t="shared" si="40"/>
        <v>2</v>
      </c>
      <c r="AU280" s="31"/>
      <c r="AV280" s="31"/>
      <c r="AW280" s="31"/>
      <c r="AX280" s="16">
        <f t="shared" si="36"/>
        <v>0.66666666666666663</v>
      </c>
      <c r="AY280" s="108">
        <v>2</v>
      </c>
      <c r="AZ280" s="332">
        <v>2</v>
      </c>
      <c r="BA280" s="31"/>
      <c r="BB280" s="31"/>
      <c r="BC280" s="31"/>
      <c r="BD280" s="16">
        <f t="shared" si="42"/>
        <v>1</v>
      </c>
      <c r="BE280" s="31"/>
      <c r="BF280" s="31"/>
      <c r="BG280" s="31"/>
      <c r="BH280" s="31"/>
      <c r="BI280" s="16"/>
      <c r="BJ280" s="16"/>
      <c r="BK280" s="31"/>
      <c r="BL280" s="31"/>
      <c r="BM280" s="31"/>
      <c r="BN280" s="31"/>
      <c r="BO280" s="16"/>
      <c r="BP280" s="31"/>
      <c r="BQ280" s="31"/>
      <c r="BR280" s="31"/>
      <c r="BS280" s="31"/>
      <c r="BT280" s="16"/>
      <c r="BU280" s="16"/>
      <c r="BV280" s="16"/>
      <c r="BW280" s="16"/>
      <c r="BX280" s="16"/>
      <c r="BY280" s="16"/>
      <c r="BZ280" s="16"/>
      <c r="CA280" s="1"/>
      <c r="CB280" s="1"/>
      <c r="CC280" s="1"/>
    </row>
    <row r="281" spans="1:81" s="52" customFormat="1" ht="77.25" customHeight="1" x14ac:dyDescent="0.25">
      <c r="A281" s="1">
        <v>2</v>
      </c>
      <c r="B281" s="13" t="s">
        <v>1747</v>
      </c>
      <c r="C281" s="572"/>
      <c r="D281" s="573"/>
      <c r="E281" s="10" t="s">
        <v>863</v>
      </c>
      <c r="F281" s="13" t="s">
        <v>1019</v>
      </c>
      <c r="G281" s="567">
        <f>+AVERAGEIF(F14:F567,F281,AX14:AX567)</f>
        <v>0.40225641025641029</v>
      </c>
      <c r="H281" s="569">
        <f>+AVERAGEIF(F14:F567,F281,BD14:BD567)</f>
        <v>0.47361111111111104</v>
      </c>
      <c r="I281" s="10" t="s">
        <v>1020</v>
      </c>
      <c r="J281" s="13" t="s">
        <v>1021</v>
      </c>
      <c r="K281" s="567">
        <f>AVERAGE(AX281:AX295)</f>
        <v>0.40225641025641029</v>
      </c>
      <c r="L281" s="569">
        <f>AVERAGE(BD281:BD295)</f>
        <v>0.47361111111111104</v>
      </c>
      <c r="M281" s="23"/>
      <c r="N281" s="10" t="s">
        <v>1022</v>
      </c>
      <c r="O281" s="13" t="s">
        <v>1023</v>
      </c>
      <c r="P281" s="1">
        <v>0</v>
      </c>
      <c r="Q281" s="10">
        <v>1</v>
      </c>
      <c r="R281" s="10"/>
      <c r="S281" s="13" t="s">
        <v>1024</v>
      </c>
      <c r="T281" s="13" t="s">
        <v>1025</v>
      </c>
      <c r="U281" s="1">
        <v>0</v>
      </c>
      <c r="V281" s="1">
        <v>1</v>
      </c>
      <c r="W281" s="1" t="s">
        <v>49</v>
      </c>
      <c r="X281" s="1"/>
      <c r="Y281" s="1" t="s">
        <v>1026</v>
      </c>
      <c r="Z281" s="1" t="s">
        <v>1027</v>
      </c>
      <c r="AA281" s="24" t="s">
        <v>1028</v>
      </c>
      <c r="AB281" s="10" t="s">
        <v>768</v>
      </c>
      <c r="AC281" s="156">
        <v>0.22</v>
      </c>
      <c r="AD281" s="156">
        <v>1</v>
      </c>
      <c r="AE281" s="156"/>
      <c r="AF281" s="156"/>
      <c r="AG281" s="377">
        <f t="shared" si="41"/>
        <v>1.22</v>
      </c>
      <c r="AH281" s="377" t="b">
        <f t="shared" si="38"/>
        <v>0</v>
      </c>
      <c r="AI281" s="31">
        <v>0</v>
      </c>
      <c r="AJ281" s="134">
        <v>0</v>
      </c>
      <c r="AK281" s="134"/>
      <c r="AL281" s="134"/>
      <c r="AM281" s="16">
        <f t="shared" si="39"/>
        <v>0</v>
      </c>
      <c r="AN281" s="156">
        <v>0.22</v>
      </c>
      <c r="AO281" s="25">
        <v>0</v>
      </c>
      <c r="AP281" s="25">
        <v>0</v>
      </c>
      <c r="AQ281" s="25"/>
      <c r="AR281" s="322">
        <f>AL281</f>
        <v>0</v>
      </c>
      <c r="AS281" s="21">
        <f>IFERROR(+AR281/AN281,0)</f>
        <v>0</v>
      </c>
      <c r="AT281" s="1">
        <f t="shared" si="40"/>
        <v>0</v>
      </c>
      <c r="AU281" s="31"/>
      <c r="AV281" s="31"/>
      <c r="AW281" s="31"/>
      <c r="AX281" s="16">
        <f t="shared" si="36"/>
        <v>0</v>
      </c>
      <c r="AY281" s="156">
        <v>1</v>
      </c>
      <c r="AZ281" s="76">
        <v>0</v>
      </c>
      <c r="BA281" s="31"/>
      <c r="BB281" s="31"/>
      <c r="BC281" s="31"/>
      <c r="BD281" s="16">
        <f t="shared" si="42"/>
        <v>0</v>
      </c>
      <c r="BE281" s="31"/>
      <c r="BF281" s="31"/>
      <c r="BG281" s="31"/>
      <c r="BH281" s="31"/>
      <c r="BI281" s="16"/>
      <c r="BJ281" s="16"/>
      <c r="BK281" s="31"/>
      <c r="BL281" s="31"/>
      <c r="BM281" s="31"/>
      <c r="BN281" s="31"/>
      <c r="BO281" s="16"/>
      <c r="BP281" s="31"/>
      <c r="BQ281" s="31"/>
      <c r="BR281" s="31"/>
      <c r="BS281" s="31"/>
      <c r="BT281" s="16"/>
      <c r="BU281" s="16"/>
      <c r="BV281" s="16"/>
      <c r="BW281" s="16"/>
      <c r="BX281" s="16"/>
      <c r="BY281" s="16"/>
      <c r="BZ281" s="16"/>
      <c r="CA281" s="1"/>
      <c r="CB281" s="1"/>
      <c r="CC281" s="1"/>
    </row>
    <row r="282" spans="1:81" s="52" customFormat="1" ht="63" x14ac:dyDescent="0.25">
      <c r="A282" s="1">
        <v>2</v>
      </c>
      <c r="B282" s="13" t="s">
        <v>1747</v>
      </c>
      <c r="C282" s="572"/>
      <c r="D282" s="573"/>
      <c r="E282" s="10" t="s">
        <v>863</v>
      </c>
      <c r="F282" s="13" t="s">
        <v>1019</v>
      </c>
      <c r="G282" s="572"/>
      <c r="H282" s="573"/>
      <c r="I282" s="10" t="s">
        <v>1020</v>
      </c>
      <c r="J282" s="13" t="s">
        <v>1021</v>
      </c>
      <c r="K282" s="572"/>
      <c r="L282" s="573"/>
      <c r="M282" s="23"/>
      <c r="N282" s="10" t="s">
        <v>1029</v>
      </c>
      <c r="O282" s="13" t="s">
        <v>1030</v>
      </c>
      <c r="P282" s="10">
        <v>0</v>
      </c>
      <c r="Q282" s="10">
        <v>1</v>
      </c>
      <c r="R282" s="10"/>
      <c r="S282" s="13" t="s">
        <v>1029</v>
      </c>
      <c r="T282" s="13" t="s">
        <v>1030</v>
      </c>
      <c r="U282" s="10">
        <v>0</v>
      </c>
      <c r="V282" s="10">
        <v>1</v>
      </c>
      <c r="W282" s="10" t="s">
        <v>49</v>
      </c>
      <c r="X282" s="1"/>
      <c r="Y282" s="10" t="s">
        <v>1026</v>
      </c>
      <c r="Z282" s="1" t="s">
        <v>1027</v>
      </c>
      <c r="AA282" s="13" t="s">
        <v>1028</v>
      </c>
      <c r="AB282" s="10" t="s">
        <v>1826</v>
      </c>
      <c r="AC282" s="156"/>
      <c r="AD282" s="156">
        <v>1</v>
      </c>
      <c r="AE282" s="156"/>
      <c r="AF282" s="156"/>
      <c r="AG282" s="377">
        <f t="shared" si="41"/>
        <v>1</v>
      </c>
      <c r="AH282" s="377" t="b">
        <f t="shared" si="38"/>
        <v>1</v>
      </c>
      <c r="AI282" s="31"/>
      <c r="AJ282" s="134"/>
      <c r="AK282" s="134"/>
      <c r="AL282" s="134"/>
      <c r="AM282" s="16">
        <f t="shared" si="39"/>
        <v>0</v>
      </c>
      <c r="AN282" s="156"/>
      <c r="AO282" s="25"/>
      <c r="AP282" s="25"/>
      <c r="AQ282" s="25"/>
      <c r="AR282" s="25"/>
      <c r="AS282" s="21" t="s">
        <v>310</v>
      </c>
      <c r="AT282" s="1">
        <f t="shared" si="40"/>
        <v>0</v>
      </c>
      <c r="AU282" s="31"/>
      <c r="AV282" s="31"/>
      <c r="AW282" s="31"/>
      <c r="AX282" s="16">
        <f t="shared" si="36"/>
        <v>0</v>
      </c>
      <c r="AY282" s="156">
        <v>1</v>
      </c>
      <c r="AZ282" s="76">
        <v>0</v>
      </c>
      <c r="BA282" s="31"/>
      <c r="BB282" s="31"/>
      <c r="BC282" s="31"/>
      <c r="BD282" s="16">
        <f t="shared" si="42"/>
        <v>0</v>
      </c>
      <c r="BE282" s="31"/>
      <c r="BF282" s="31"/>
      <c r="BG282" s="31"/>
      <c r="BH282" s="31"/>
      <c r="BI282" s="16"/>
      <c r="BJ282" s="16"/>
      <c r="BK282" s="31"/>
      <c r="BL282" s="31"/>
      <c r="BM282" s="31"/>
      <c r="BN282" s="31"/>
      <c r="BO282" s="16"/>
      <c r="BP282" s="31"/>
      <c r="BQ282" s="31"/>
      <c r="BR282" s="31"/>
      <c r="BS282" s="31"/>
      <c r="BT282" s="16"/>
      <c r="BU282" s="16"/>
      <c r="BV282" s="16"/>
      <c r="BW282" s="16"/>
      <c r="BX282" s="16"/>
      <c r="BY282" s="16"/>
      <c r="BZ282" s="16"/>
      <c r="CA282" s="1"/>
      <c r="CB282" s="1"/>
      <c r="CC282" s="1"/>
    </row>
    <row r="283" spans="1:81" s="52" customFormat="1" ht="64.5" customHeight="1" x14ac:dyDescent="0.25">
      <c r="A283" s="1">
        <v>2</v>
      </c>
      <c r="B283" s="13" t="s">
        <v>1747</v>
      </c>
      <c r="C283" s="572"/>
      <c r="D283" s="573"/>
      <c r="E283" s="10" t="s">
        <v>863</v>
      </c>
      <c r="F283" s="13" t="s">
        <v>1019</v>
      </c>
      <c r="G283" s="572"/>
      <c r="H283" s="573"/>
      <c r="I283" s="10" t="s">
        <v>1020</v>
      </c>
      <c r="J283" s="13" t="s">
        <v>1021</v>
      </c>
      <c r="K283" s="572"/>
      <c r="L283" s="573"/>
      <c r="M283" s="23"/>
      <c r="N283" s="10" t="s">
        <v>1031</v>
      </c>
      <c r="O283" s="13" t="s">
        <v>1032</v>
      </c>
      <c r="P283" s="10">
        <v>0</v>
      </c>
      <c r="Q283" s="10">
        <v>1</v>
      </c>
      <c r="R283" s="10"/>
      <c r="S283" s="13" t="s">
        <v>1031</v>
      </c>
      <c r="T283" s="13" t="s">
        <v>1032</v>
      </c>
      <c r="U283" s="10">
        <v>0</v>
      </c>
      <c r="V283" s="10">
        <v>1</v>
      </c>
      <c r="W283" s="10" t="s">
        <v>49</v>
      </c>
      <c r="X283" s="1"/>
      <c r="Y283" s="10" t="s">
        <v>1026</v>
      </c>
      <c r="Z283" s="1" t="s">
        <v>1027</v>
      </c>
      <c r="AA283" s="13" t="s">
        <v>1028</v>
      </c>
      <c r="AB283" s="10" t="s">
        <v>1826</v>
      </c>
      <c r="AC283" s="156"/>
      <c r="AD283" s="156"/>
      <c r="AE283" s="156">
        <v>1</v>
      </c>
      <c r="AF283" s="156"/>
      <c r="AG283" s="377">
        <f t="shared" si="41"/>
        <v>1</v>
      </c>
      <c r="AH283" s="377" t="b">
        <f t="shared" si="38"/>
        <v>1</v>
      </c>
      <c r="AI283" s="31"/>
      <c r="AJ283" s="134"/>
      <c r="AK283" s="134"/>
      <c r="AL283" s="134"/>
      <c r="AM283" s="16">
        <f t="shared" si="39"/>
        <v>0</v>
      </c>
      <c r="AN283" s="156"/>
      <c r="AO283" s="25"/>
      <c r="AP283" s="25"/>
      <c r="AQ283" s="25"/>
      <c r="AR283" s="25"/>
      <c r="AS283" s="21" t="s">
        <v>310</v>
      </c>
      <c r="AT283" s="1">
        <f t="shared" si="40"/>
        <v>0</v>
      </c>
      <c r="AU283" s="31"/>
      <c r="AV283" s="31"/>
      <c r="AW283" s="31"/>
      <c r="AX283" s="16">
        <f t="shared" si="36"/>
        <v>0</v>
      </c>
      <c r="AY283" s="156" t="s">
        <v>310</v>
      </c>
      <c r="AZ283" s="76"/>
      <c r="BA283" s="31"/>
      <c r="BB283" s="31"/>
      <c r="BC283" s="31"/>
      <c r="BD283" s="16" t="str">
        <f t="shared" si="42"/>
        <v>NP</v>
      </c>
      <c r="BE283" s="31"/>
      <c r="BF283" s="31"/>
      <c r="BG283" s="31"/>
      <c r="BH283" s="31"/>
      <c r="BI283" s="16"/>
      <c r="BJ283" s="16"/>
      <c r="BK283" s="31"/>
      <c r="BL283" s="31"/>
      <c r="BM283" s="31"/>
      <c r="BN283" s="31"/>
      <c r="BO283" s="16"/>
      <c r="BP283" s="31"/>
      <c r="BQ283" s="31"/>
      <c r="BR283" s="31"/>
      <c r="BS283" s="31"/>
      <c r="BT283" s="16"/>
      <c r="BU283" s="16"/>
      <c r="BV283" s="16"/>
      <c r="BW283" s="16"/>
      <c r="BX283" s="16"/>
      <c r="BY283" s="16"/>
      <c r="BZ283" s="16"/>
      <c r="CA283" s="1"/>
      <c r="CB283" s="1"/>
      <c r="CC283" s="1"/>
    </row>
    <row r="284" spans="1:81" s="52" customFormat="1" ht="78.75" x14ac:dyDescent="0.25">
      <c r="A284" s="1">
        <v>2</v>
      </c>
      <c r="B284" s="13" t="s">
        <v>1747</v>
      </c>
      <c r="C284" s="572"/>
      <c r="D284" s="573"/>
      <c r="E284" s="10" t="s">
        <v>863</v>
      </c>
      <c r="F284" s="13" t="s">
        <v>1019</v>
      </c>
      <c r="G284" s="572"/>
      <c r="H284" s="573"/>
      <c r="I284" s="10" t="s">
        <v>1020</v>
      </c>
      <c r="J284" s="13" t="s">
        <v>1021</v>
      </c>
      <c r="K284" s="572"/>
      <c r="L284" s="573"/>
      <c r="M284" s="23"/>
      <c r="N284" s="23" t="s">
        <v>1033</v>
      </c>
      <c r="O284" s="13" t="s">
        <v>1034</v>
      </c>
      <c r="P284" s="26">
        <v>0.5</v>
      </c>
      <c r="Q284" s="18">
        <v>1</v>
      </c>
      <c r="R284" s="18"/>
      <c r="S284" s="13" t="s">
        <v>1035</v>
      </c>
      <c r="T284" s="13" t="s">
        <v>1034</v>
      </c>
      <c r="U284" s="26">
        <v>0.5</v>
      </c>
      <c r="V284" s="26">
        <v>1</v>
      </c>
      <c r="W284" s="1" t="s">
        <v>49</v>
      </c>
      <c r="X284" s="1"/>
      <c r="Y284" s="1" t="s">
        <v>1026</v>
      </c>
      <c r="Z284" s="1" t="s">
        <v>1027</v>
      </c>
      <c r="AA284" s="13" t="s">
        <v>1028</v>
      </c>
      <c r="AB284" s="10" t="s">
        <v>1826</v>
      </c>
      <c r="AC284" s="156">
        <v>0.18</v>
      </c>
      <c r="AD284" s="156">
        <v>0.2</v>
      </c>
      <c r="AE284" s="156">
        <v>0.4</v>
      </c>
      <c r="AF284" s="156">
        <v>0.22</v>
      </c>
      <c r="AG284" s="377">
        <f t="shared" si="41"/>
        <v>1</v>
      </c>
      <c r="AH284" s="377" t="b">
        <f t="shared" si="38"/>
        <v>1</v>
      </c>
      <c r="AI284" s="31">
        <v>0</v>
      </c>
      <c r="AJ284" s="406">
        <v>0.18</v>
      </c>
      <c r="AK284" s="406">
        <v>0.18</v>
      </c>
      <c r="AL284" s="406">
        <v>0.18</v>
      </c>
      <c r="AM284" s="16">
        <f t="shared" si="39"/>
        <v>0.18</v>
      </c>
      <c r="AN284" s="156">
        <v>0.18</v>
      </c>
      <c r="AO284" s="407">
        <v>0</v>
      </c>
      <c r="AP284" s="408">
        <v>0.18</v>
      </c>
      <c r="AQ284" s="408">
        <v>0.18</v>
      </c>
      <c r="AR284" s="409">
        <v>0.18</v>
      </c>
      <c r="AS284" s="21">
        <f t="shared" ref="AS284:AS290" si="43">IFERROR(+AR284/AN284,0)</f>
        <v>1</v>
      </c>
      <c r="AT284" s="1">
        <f t="shared" si="40"/>
        <v>0.38</v>
      </c>
      <c r="AU284" s="31"/>
      <c r="AV284" s="31"/>
      <c r="AW284" s="31"/>
      <c r="AX284" s="16">
        <f t="shared" si="36"/>
        <v>0.38</v>
      </c>
      <c r="AY284" s="156">
        <v>0.2</v>
      </c>
      <c r="AZ284" s="76">
        <v>0.2</v>
      </c>
      <c r="BA284" s="31"/>
      <c r="BB284" s="31"/>
      <c r="BC284" s="31"/>
      <c r="BD284" s="16">
        <f t="shared" si="42"/>
        <v>1</v>
      </c>
      <c r="BE284" s="31"/>
      <c r="BF284" s="31"/>
      <c r="BG284" s="31"/>
      <c r="BH284" s="31"/>
      <c r="BI284" s="16"/>
      <c r="BJ284" s="16"/>
      <c r="BK284" s="31"/>
      <c r="BL284" s="31"/>
      <c r="BM284" s="31"/>
      <c r="BN284" s="31"/>
      <c r="BO284" s="16"/>
      <c r="BP284" s="31"/>
      <c r="BQ284" s="31"/>
      <c r="BR284" s="31"/>
      <c r="BS284" s="31"/>
      <c r="BT284" s="16"/>
      <c r="BU284" s="16"/>
      <c r="BV284" s="16"/>
      <c r="BW284" s="16"/>
      <c r="BX284" s="16"/>
      <c r="BY284" s="16"/>
      <c r="BZ284" s="16"/>
      <c r="CA284" s="1"/>
      <c r="CB284" s="1"/>
      <c r="CC284" s="1"/>
    </row>
    <row r="285" spans="1:81" s="52" customFormat="1" ht="31.5" x14ac:dyDescent="0.25">
      <c r="A285" s="1">
        <v>2</v>
      </c>
      <c r="B285" s="13" t="s">
        <v>1747</v>
      </c>
      <c r="C285" s="572"/>
      <c r="D285" s="573"/>
      <c r="E285" s="10" t="s">
        <v>863</v>
      </c>
      <c r="F285" s="13" t="s">
        <v>1019</v>
      </c>
      <c r="G285" s="572"/>
      <c r="H285" s="573"/>
      <c r="I285" s="10" t="s">
        <v>1020</v>
      </c>
      <c r="J285" s="13" t="s">
        <v>1021</v>
      </c>
      <c r="K285" s="572"/>
      <c r="L285" s="573"/>
      <c r="M285" s="23"/>
      <c r="N285" s="10" t="s">
        <v>1036</v>
      </c>
      <c r="O285" s="13" t="s">
        <v>1037</v>
      </c>
      <c r="P285" s="1">
        <v>0</v>
      </c>
      <c r="Q285" s="10">
        <v>5</v>
      </c>
      <c r="R285" s="10"/>
      <c r="S285" s="13" t="s">
        <v>1036</v>
      </c>
      <c r="T285" s="13" t="s">
        <v>1037</v>
      </c>
      <c r="U285" s="1">
        <v>0</v>
      </c>
      <c r="V285" s="1">
        <v>5</v>
      </c>
      <c r="W285" s="1" t="s">
        <v>49</v>
      </c>
      <c r="X285" s="1"/>
      <c r="Y285" s="1" t="s">
        <v>1026</v>
      </c>
      <c r="Z285" s="1" t="s">
        <v>1027</v>
      </c>
      <c r="AA285" s="24" t="s">
        <v>1028</v>
      </c>
      <c r="AB285" s="10" t="s">
        <v>768</v>
      </c>
      <c r="AC285" s="156">
        <v>2</v>
      </c>
      <c r="AD285" s="156">
        <v>2</v>
      </c>
      <c r="AE285" s="156">
        <v>1</v>
      </c>
      <c r="AF285" s="156"/>
      <c r="AG285" s="377">
        <f t="shared" si="41"/>
        <v>5</v>
      </c>
      <c r="AH285" s="377" t="b">
        <f t="shared" si="38"/>
        <v>1</v>
      </c>
      <c r="AI285" s="31">
        <v>0.4</v>
      </c>
      <c r="AJ285" s="30">
        <v>1</v>
      </c>
      <c r="AK285" s="30">
        <v>4</v>
      </c>
      <c r="AL285" s="30">
        <v>4</v>
      </c>
      <c r="AM285" s="16">
        <f t="shared" si="39"/>
        <v>0.8</v>
      </c>
      <c r="AN285" s="156">
        <v>2</v>
      </c>
      <c r="AO285" s="27">
        <v>1</v>
      </c>
      <c r="AP285" s="27">
        <v>1</v>
      </c>
      <c r="AQ285" s="27"/>
      <c r="AR285" s="322">
        <f t="shared" ref="AR285:AR290" si="44">AL285</f>
        <v>4</v>
      </c>
      <c r="AS285" s="21">
        <v>1</v>
      </c>
      <c r="AT285" s="1">
        <f t="shared" si="40"/>
        <v>6</v>
      </c>
      <c r="AU285" s="31"/>
      <c r="AV285" s="31"/>
      <c r="AW285" s="31"/>
      <c r="AX285" s="16">
        <f t="shared" si="36"/>
        <v>1</v>
      </c>
      <c r="AY285" s="156">
        <v>2</v>
      </c>
      <c r="AZ285" s="76">
        <v>2</v>
      </c>
      <c r="BA285" s="31"/>
      <c r="BB285" s="31"/>
      <c r="BC285" s="31"/>
      <c r="BD285" s="16">
        <f t="shared" si="42"/>
        <v>1</v>
      </c>
      <c r="BE285" s="31"/>
      <c r="BF285" s="31"/>
      <c r="BG285" s="31"/>
      <c r="BH285" s="31"/>
      <c r="BI285" s="16"/>
      <c r="BJ285" s="16"/>
      <c r="BK285" s="31"/>
      <c r="BL285" s="31"/>
      <c r="BM285" s="31"/>
      <c r="BN285" s="31"/>
      <c r="BO285" s="16"/>
      <c r="BP285" s="31"/>
      <c r="BQ285" s="31"/>
      <c r="BR285" s="31"/>
      <c r="BS285" s="31"/>
      <c r="BT285" s="16"/>
      <c r="BU285" s="16"/>
      <c r="BV285" s="16"/>
      <c r="BW285" s="16"/>
      <c r="BX285" s="16"/>
      <c r="BY285" s="16"/>
      <c r="BZ285" s="16"/>
      <c r="CA285" s="1"/>
      <c r="CB285" s="1"/>
      <c r="CC285" s="1"/>
    </row>
    <row r="286" spans="1:81" s="52" customFormat="1" ht="69.599999999999994" customHeight="1" x14ac:dyDescent="0.25">
      <c r="A286" s="1">
        <v>2</v>
      </c>
      <c r="B286" s="13" t="s">
        <v>1747</v>
      </c>
      <c r="C286" s="572"/>
      <c r="D286" s="573"/>
      <c r="E286" s="10" t="s">
        <v>863</v>
      </c>
      <c r="F286" s="13" t="s">
        <v>1019</v>
      </c>
      <c r="G286" s="572"/>
      <c r="H286" s="573"/>
      <c r="I286" s="10" t="s">
        <v>1020</v>
      </c>
      <c r="J286" s="13" t="s">
        <v>1021</v>
      </c>
      <c r="K286" s="572"/>
      <c r="L286" s="573"/>
      <c r="M286" s="23"/>
      <c r="N286" s="10" t="s">
        <v>1038</v>
      </c>
      <c r="O286" s="13" t="s">
        <v>1039</v>
      </c>
      <c r="P286" s="1">
        <v>0</v>
      </c>
      <c r="Q286" s="10">
        <v>13</v>
      </c>
      <c r="R286" s="10"/>
      <c r="S286" s="13" t="s">
        <v>1038</v>
      </c>
      <c r="T286" s="13" t="s">
        <v>1039</v>
      </c>
      <c r="U286" s="1">
        <v>0</v>
      </c>
      <c r="V286" s="1">
        <v>13</v>
      </c>
      <c r="W286" s="1" t="s">
        <v>49</v>
      </c>
      <c r="X286" s="1"/>
      <c r="Y286" s="1" t="s">
        <v>1026</v>
      </c>
      <c r="Z286" s="1" t="s">
        <v>1027</v>
      </c>
      <c r="AA286" s="24" t="s">
        <v>1028</v>
      </c>
      <c r="AB286" s="10" t="s">
        <v>1826</v>
      </c>
      <c r="AC286" s="156">
        <v>4</v>
      </c>
      <c r="AD286" s="156">
        <v>4</v>
      </c>
      <c r="AE286" s="156">
        <v>3</v>
      </c>
      <c r="AF286" s="156">
        <v>2</v>
      </c>
      <c r="AG286" s="377">
        <f t="shared" si="41"/>
        <v>13</v>
      </c>
      <c r="AH286" s="377" t="b">
        <f t="shared" si="38"/>
        <v>1</v>
      </c>
      <c r="AI286" s="137">
        <v>4</v>
      </c>
      <c r="AJ286" s="30">
        <v>4</v>
      </c>
      <c r="AK286" s="135"/>
      <c r="AL286" s="135"/>
      <c r="AM286" s="16">
        <f t="shared" si="39"/>
        <v>0</v>
      </c>
      <c r="AN286" s="156">
        <v>4</v>
      </c>
      <c r="AO286" s="26">
        <v>1</v>
      </c>
      <c r="AP286" s="136">
        <f>+P286*AJ286</f>
        <v>0</v>
      </c>
      <c r="AQ286" s="136"/>
      <c r="AR286" s="322">
        <f t="shared" si="44"/>
        <v>0</v>
      </c>
      <c r="AS286" s="21">
        <f t="shared" si="43"/>
        <v>0</v>
      </c>
      <c r="AT286" s="1">
        <f t="shared" si="40"/>
        <v>2</v>
      </c>
      <c r="AU286" s="31"/>
      <c r="AV286" s="31"/>
      <c r="AW286" s="31"/>
      <c r="AX286" s="16">
        <f t="shared" si="36"/>
        <v>0.15384615384615385</v>
      </c>
      <c r="AY286" s="156">
        <v>4</v>
      </c>
      <c r="AZ286" s="76">
        <v>2</v>
      </c>
      <c r="BA286" s="31"/>
      <c r="BB286" s="31"/>
      <c r="BC286" s="31"/>
      <c r="BD286" s="16">
        <f t="shared" si="42"/>
        <v>0.5</v>
      </c>
      <c r="BE286" s="31"/>
      <c r="BF286" s="31"/>
      <c r="BG286" s="31"/>
      <c r="BH286" s="31"/>
      <c r="BI286" s="16"/>
      <c r="BJ286" s="16"/>
      <c r="BK286" s="31"/>
      <c r="BL286" s="31"/>
      <c r="BM286" s="31"/>
      <c r="BN286" s="31"/>
      <c r="BO286" s="16"/>
      <c r="BP286" s="31"/>
      <c r="BQ286" s="31"/>
      <c r="BR286" s="31"/>
      <c r="BS286" s="31"/>
      <c r="BT286" s="16"/>
      <c r="BU286" s="16"/>
      <c r="BV286" s="16"/>
      <c r="BW286" s="16"/>
      <c r="BX286" s="16"/>
      <c r="BY286" s="16"/>
      <c r="BZ286" s="16"/>
      <c r="CA286" s="1"/>
      <c r="CB286" s="1"/>
      <c r="CC286" s="1"/>
    </row>
    <row r="287" spans="1:81" s="52" customFormat="1" ht="103.5" customHeight="1" x14ac:dyDescent="0.25">
      <c r="A287" s="1">
        <v>2</v>
      </c>
      <c r="B287" s="13" t="s">
        <v>1747</v>
      </c>
      <c r="C287" s="572"/>
      <c r="D287" s="573"/>
      <c r="E287" s="10" t="s">
        <v>863</v>
      </c>
      <c r="F287" s="13" t="s">
        <v>1019</v>
      </c>
      <c r="G287" s="572"/>
      <c r="H287" s="573"/>
      <c r="I287" s="10" t="s">
        <v>1020</v>
      </c>
      <c r="J287" s="13" t="s">
        <v>1021</v>
      </c>
      <c r="K287" s="572"/>
      <c r="L287" s="573"/>
      <c r="M287" s="10"/>
      <c r="N287" s="10" t="s">
        <v>1040</v>
      </c>
      <c r="O287" s="13" t="s">
        <v>1041</v>
      </c>
      <c r="P287" s="1">
        <v>0</v>
      </c>
      <c r="Q287" s="10">
        <v>1</v>
      </c>
      <c r="R287" s="10"/>
      <c r="S287" s="13" t="s">
        <v>1040</v>
      </c>
      <c r="T287" s="13" t="s">
        <v>1042</v>
      </c>
      <c r="U287" s="1">
        <v>0</v>
      </c>
      <c r="V287" s="1">
        <v>1</v>
      </c>
      <c r="W287" s="1" t="s">
        <v>49</v>
      </c>
      <c r="X287" s="1"/>
      <c r="Y287" s="1" t="s">
        <v>1026</v>
      </c>
      <c r="Z287" s="1" t="s">
        <v>1027</v>
      </c>
      <c r="AA287" s="24" t="s">
        <v>1028</v>
      </c>
      <c r="AB287" s="10" t="s">
        <v>768</v>
      </c>
      <c r="AC287" s="156">
        <v>1</v>
      </c>
      <c r="AD287" s="108"/>
      <c r="AE287" s="156"/>
      <c r="AF287" s="156"/>
      <c r="AG287" s="377">
        <f t="shared" si="41"/>
        <v>1</v>
      </c>
      <c r="AH287" s="377" t="b">
        <f t="shared" si="38"/>
        <v>1</v>
      </c>
      <c r="AI287" s="31">
        <f>+AO287</f>
        <v>0.4</v>
      </c>
      <c r="AJ287" s="31">
        <v>0.4</v>
      </c>
      <c r="AK287" s="31">
        <v>0.8</v>
      </c>
      <c r="AL287" s="345">
        <v>1</v>
      </c>
      <c r="AM287" s="16">
        <f t="shared" si="39"/>
        <v>1</v>
      </c>
      <c r="AN287" s="156">
        <v>1</v>
      </c>
      <c r="AO287" s="26">
        <v>0.4</v>
      </c>
      <c r="AP287" s="26">
        <f>+AJ287</f>
        <v>0.4</v>
      </c>
      <c r="AQ287" s="26"/>
      <c r="AR287" s="323">
        <f t="shared" si="44"/>
        <v>1</v>
      </c>
      <c r="AS287" s="21">
        <f t="shared" si="43"/>
        <v>1</v>
      </c>
      <c r="AT287" s="1">
        <f t="shared" si="40"/>
        <v>1</v>
      </c>
      <c r="AU287" s="31"/>
      <c r="AV287" s="31"/>
      <c r="AW287" s="31"/>
      <c r="AX287" s="16">
        <f t="shared" si="36"/>
        <v>1</v>
      </c>
      <c r="AY287" s="108" t="s">
        <v>310</v>
      </c>
      <c r="AZ287" s="108"/>
      <c r="BA287" s="31"/>
      <c r="BB287" s="31"/>
      <c r="BC287" s="31"/>
      <c r="BD287" s="16" t="str">
        <f t="shared" si="42"/>
        <v>NP</v>
      </c>
      <c r="BE287" s="31"/>
      <c r="BF287" s="31"/>
      <c r="BG287" s="31"/>
      <c r="BH287" s="31"/>
      <c r="BI287" s="16"/>
      <c r="BJ287" s="16"/>
      <c r="BK287" s="31"/>
      <c r="BL287" s="31"/>
      <c r="BM287" s="31"/>
      <c r="BN287" s="31"/>
      <c r="BO287" s="16"/>
      <c r="BP287" s="31"/>
      <c r="BQ287" s="31"/>
      <c r="BR287" s="31"/>
      <c r="BS287" s="31"/>
      <c r="BT287" s="16"/>
      <c r="BU287" s="16"/>
      <c r="BV287" s="16"/>
      <c r="BW287" s="16"/>
      <c r="BX287" s="16"/>
      <c r="BY287" s="16"/>
      <c r="BZ287" s="16"/>
      <c r="CA287" s="1"/>
      <c r="CB287" s="1"/>
      <c r="CC287" s="1"/>
    </row>
    <row r="288" spans="1:81" s="52" customFormat="1" ht="117.75" customHeight="1" x14ac:dyDescent="0.25">
      <c r="A288" s="1">
        <v>2</v>
      </c>
      <c r="B288" s="13" t="s">
        <v>1747</v>
      </c>
      <c r="C288" s="572"/>
      <c r="D288" s="573"/>
      <c r="E288" s="10" t="s">
        <v>863</v>
      </c>
      <c r="F288" s="13" t="s">
        <v>1019</v>
      </c>
      <c r="G288" s="572"/>
      <c r="H288" s="573"/>
      <c r="I288" s="10" t="s">
        <v>1020</v>
      </c>
      <c r="J288" s="13" t="s">
        <v>1021</v>
      </c>
      <c r="K288" s="572"/>
      <c r="L288" s="573"/>
      <c r="M288" s="23"/>
      <c r="N288" s="23" t="s">
        <v>1043</v>
      </c>
      <c r="O288" s="13" t="s">
        <v>1044</v>
      </c>
      <c r="P288" s="1">
        <v>0</v>
      </c>
      <c r="Q288" s="10">
        <v>1</v>
      </c>
      <c r="R288" s="10"/>
      <c r="S288" s="13" t="s">
        <v>1045</v>
      </c>
      <c r="T288" s="13" t="s">
        <v>1044</v>
      </c>
      <c r="U288" s="1">
        <v>0</v>
      </c>
      <c r="V288" s="1">
        <v>1</v>
      </c>
      <c r="W288" s="1" t="s">
        <v>49</v>
      </c>
      <c r="X288" s="1"/>
      <c r="Y288" s="1" t="s">
        <v>1026</v>
      </c>
      <c r="Z288" s="1" t="s">
        <v>1027</v>
      </c>
      <c r="AA288" s="24" t="s">
        <v>1028</v>
      </c>
      <c r="AB288" s="10" t="s">
        <v>768</v>
      </c>
      <c r="AC288" s="161">
        <v>1</v>
      </c>
      <c r="AD288" s="108">
        <v>0.2</v>
      </c>
      <c r="AE288" s="156"/>
      <c r="AF288" s="156"/>
      <c r="AG288" s="377">
        <f t="shared" si="41"/>
        <v>1.2</v>
      </c>
      <c r="AH288" s="377" t="b">
        <f t="shared" si="38"/>
        <v>0</v>
      </c>
      <c r="AI288" s="31">
        <v>0.5</v>
      </c>
      <c r="AJ288" s="31">
        <v>0.5</v>
      </c>
      <c r="AK288" s="31">
        <v>0.5</v>
      </c>
      <c r="AL288" s="345">
        <v>0.8</v>
      </c>
      <c r="AM288" s="16">
        <f t="shared" si="39"/>
        <v>0.8</v>
      </c>
      <c r="AN288" s="161">
        <v>1</v>
      </c>
      <c r="AO288" s="31">
        <v>0.5</v>
      </c>
      <c r="AP288" s="31">
        <v>0.5</v>
      </c>
      <c r="AQ288" s="31"/>
      <c r="AR288" s="323">
        <f t="shared" si="44"/>
        <v>0.8</v>
      </c>
      <c r="AS288" s="21">
        <f t="shared" si="43"/>
        <v>0.8</v>
      </c>
      <c r="AT288" s="1">
        <f t="shared" si="40"/>
        <v>1</v>
      </c>
      <c r="AU288" s="31"/>
      <c r="AV288" s="31"/>
      <c r="AW288" s="31"/>
      <c r="AX288" s="16">
        <f t="shared" si="36"/>
        <v>1</v>
      </c>
      <c r="AY288" s="108">
        <v>0.2</v>
      </c>
      <c r="AZ288" s="108">
        <v>0.2</v>
      </c>
      <c r="BA288" s="31"/>
      <c r="BB288" s="31"/>
      <c r="BC288" s="31"/>
      <c r="BD288" s="16">
        <f t="shared" si="42"/>
        <v>1</v>
      </c>
      <c r="BE288" s="31"/>
      <c r="BF288" s="31"/>
      <c r="BG288" s="31"/>
      <c r="BH288" s="31"/>
      <c r="BI288" s="16"/>
      <c r="BJ288" s="16"/>
      <c r="BK288" s="31"/>
      <c r="BL288" s="31"/>
      <c r="BM288" s="31"/>
      <c r="BN288" s="31"/>
      <c r="BO288" s="16"/>
      <c r="BP288" s="31"/>
      <c r="BQ288" s="31"/>
      <c r="BR288" s="31"/>
      <c r="BS288" s="31"/>
      <c r="BT288" s="16"/>
      <c r="BU288" s="16"/>
      <c r="BV288" s="16"/>
      <c r="BW288" s="16"/>
      <c r="BX288" s="16"/>
      <c r="BY288" s="16"/>
      <c r="BZ288" s="16"/>
      <c r="CA288" s="1"/>
      <c r="CB288" s="1"/>
      <c r="CC288" s="1"/>
    </row>
    <row r="289" spans="1:81" s="52" customFormat="1" ht="47.25" x14ac:dyDescent="0.25">
      <c r="A289" s="1">
        <v>2</v>
      </c>
      <c r="B289" s="13" t="s">
        <v>1747</v>
      </c>
      <c r="C289" s="572"/>
      <c r="D289" s="573"/>
      <c r="E289" s="10" t="s">
        <v>863</v>
      </c>
      <c r="F289" s="13" t="s">
        <v>1019</v>
      </c>
      <c r="G289" s="572"/>
      <c r="H289" s="573"/>
      <c r="I289" s="10" t="s">
        <v>1020</v>
      </c>
      <c r="J289" s="13" t="s">
        <v>1021</v>
      </c>
      <c r="K289" s="572"/>
      <c r="L289" s="573"/>
      <c r="M289" s="23"/>
      <c r="N289" s="23" t="s">
        <v>1046</v>
      </c>
      <c r="O289" s="13" t="s">
        <v>1047</v>
      </c>
      <c r="P289" s="1">
        <v>0</v>
      </c>
      <c r="Q289" s="10">
        <v>1</v>
      </c>
      <c r="R289" s="10"/>
      <c r="S289" s="13" t="s">
        <v>1048</v>
      </c>
      <c r="T289" s="13" t="s">
        <v>1049</v>
      </c>
      <c r="U289" s="1">
        <v>0</v>
      </c>
      <c r="V289" s="1">
        <v>1</v>
      </c>
      <c r="W289" s="1" t="s">
        <v>49</v>
      </c>
      <c r="X289" s="1"/>
      <c r="Y289" s="1" t="s">
        <v>1026</v>
      </c>
      <c r="Z289" s="1" t="s">
        <v>1027</v>
      </c>
      <c r="AA289" s="24" t="s">
        <v>1028</v>
      </c>
      <c r="AB289" s="10" t="s">
        <v>768</v>
      </c>
      <c r="AC289" s="160">
        <v>0.5</v>
      </c>
      <c r="AD289" s="156">
        <v>1</v>
      </c>
      <c r="AE289" s="156"/>
      <c r="AF289" s="156"/>
      <c r="AG289" s="377">
        <f t="shared" si="41"/>
        <v>1.5</v>
      </c>
      <c r="AH289" s="377" t="b">
        <f t="shared" si="38"/>
        <v>0</v>
      </c>
      <c r="AI289" s="31">
        <v>0</v>
      </c>
      <c r="AJ289" s="31">
        <v>0.5</v>
      </c>
      <c r="AK289" s="31">
        <v>0.8</v>
      </c>
      <c r="AL289" s="345">
        <v>1</v>
      </c>
      <c r="AM289" s="16">
        <f t="shared" si="39"/>
        <v>1</v>
      </c>
      <c r="AN289" s="160">
        <v>0.5</v>
      </c>
      <c r="AO289" s="26">
        <v>0</v>
      </c>
      <c r="AP289" s="26">
        <v>0.5</v>
      </c>
      <c r="AQ289" s="26"/>
      <c r="AR289" s="323">
        <f t="shared" si="44"/>
        <v>1</v>
      </c>
      <c r="AS289" s="21">
        <v>1</v>
      </c>
      <c r="AT289" s="1">
        <f t="shared" si="40"/>
        <v>2</v>
      </c>
      <c r="AU289" s="31"/>
      <c r="AV289" s="31"/>
      <c r="AW289" s="31"/>
      <c r="AX289" s="16">
        <f t="shared" si="36"/>
        <v>1</v>
      </c>
      <c r="AY289" s="156">
        <v>1</v>
      </c>
      <c r="AZ289" s="76">
        <v>1</v>
      </c>
      <c r="BA289" s="31"/>
      <c r="BB289" s="31"/>
      <c r="BC289" s="31"/>
      <c r="BD289" s="16">
        <f t="shared" si="42"/>
        <v>1</v>
      </c>
      <c r="BE289" s="31"/>
      <c r="BF289" s="31"/>
      <c r="BG289" s="31"/>
      <c r="BH289" s="31"/>
      <c r="BI289" s="16"/>
      <c r="BJ289" s="16"/>
      <c r="BK289" s="31"/>
      <c r="BL289" s="31"/>
      <c r="BM289" s="31"/>
      <c r="BN289" s="31"/>
      <c r="BO289" s="16"/>
      <c r="BP289" s="31"/>
      <c r="BQ289" s="31"/>
      <c r="BR289" s="31"/>
      <c r="BS289" s="31"/>
      <c r="BT289" s="16"/>
      <c r="BU289" s="16"/>
      <c r="BV289" s="16"/>
      <c r="BW289" s="16"/>
      <c r="BX289" s="16"/>
      <c r="BY289" s="16"/>
      <c r="BZ289" s="16"/>
      <c r="CA289" s="1"/>
      <c r="CB289" s="1"/>
      <c r="CC289" s="1"/>
    </row>
    <row r="290" spans="1:81" s="52" customFormat="1" ht="48.75" customHeight="1" x14ac:dyDescent="0.25">
      <c r="A290" s="1">
        <v>2</v>
      </c>
      <c r="B290" s="13" t="s">
        <v>1747</v>
      </c>
      <c r="C290" s="572"/>
      <c r="D290" s="573"/>
      <c r="E290" s="10" t="s">
        <v>863</v>
      </c>
      <c r="F290" s="13" t="s">
        <v>1019</v>
      </c>
      <c r="G290" s="572"/>
      <c r="H290" s="573"/>
      <c r="I290" s="10" t="s">
        <v>1020</v>
      </c>
      <c r="J290" s="13" t="s">
        <v>1021</v>
      </c>
      <c r="K290" s="572"/>
      <c r="L290" s="573"/>
      <c r="M290" s="23"/>
      <c r="N290" s="23" t="s">
        <v>1050</v>
      </c>
      <c r="O290" s="13" t="s">
        <v>1051</v>
      </c>
      <c r="P290" s="10">
        <v>7</v>
      </c>
      <c r="Q290" s="10">
        <v>10</v>
      </c>
      <c r="R290" s="10"/>
      <c r="S290" s="13" t="s">
        <v>1052</v>
      </c>
      <c r="T290" s="13" t="s">
        <v>1051</v>
      </c>
      <c r="U290" s="10">
        <v>7</v>
      </c>
      <c r="V290" s="10">
        <v>10</v>
      </c>
      <c r="W290" s="10" t="s">
        <v>49</v>
      </c>
      <c r="X290" s="1"/>
      <c r="Y290" s="10" t="s">
        <v>1026</v>
      </c>
      <c r="Z290" s="1" t="s">
        <v>1027</v>
      </c>
      <c r="AA290" s="13" t="s">
        <v>1028</v>
      </c>
      <c r="AB290" s="10" t="s">
        <v>768</v>
      </c>
      <c r="AC290" s="156">
        <v>1</v>
      </c>
      <c r="AD290" s="156">
        <v>3</v>
      </c>
      <c r="AE290" s="156">
        <v>3</v>
      </c>
      <c r="AF290" s="156">
        <v>3</v>
      </c>
      <c r="AG290" s="377">
        <f t="shared" si="41"/>
        <v>10</v>
      </c>
      <c r="AH290" s="377" t="b">
        <f t="shared" si="38"/>
        <v>1</v>
      </c>
      <c r="AI290" s="33">
        <f>+AN290/V290</f>
        <v>0.1</v>
      </c>
      <c r="AJ290" s="33">
        <v>1</v>
      </c>
      <c r="AK290" s="356">
        <v>1</v>
      </c>
      <c r="AL290" s="33">
        <v>1</v>
      </c>
      <c r="AM290" s="16">
        <f t="shared" si="39"/>
        <v>0.1</v>
      </c>
      <c r="AN290" s="156">
        <v>1</v>
      </c>
      <c r="AO290" s="323">
        <f>AI290</f>
        <v>0.1</v>
      </c>
      <c r="AP290" s="323">
        <f>AJ290</f>
        <v>1</v>
      </c>
      <c r="AQ290" s="323"/>
      <c r="AR290" s="323">
        <f t="shared" si="44"/>
        <v>1</v>
      </c>
      <c r="AS290" s="21">
        <f t="shared" si="43"/>
        <v>1</v>
      </c>
      <c r="AT290" s="1">
        <f t="shared" si="40"/>
        <v>1</v>
      </c>
      <c r="AU290" s="31"/>
      <c r="AV290" s="31"/>
      <c r="AW290" s="31"/>
      <c r="AX290" s="16">
        <f t="shared" si="36"/>
        <v>0.1</v>
      </c>
      <c r="AY290" s="156">
        <v>3</v>
      </c>
      <c r="AZ290" s="76">
        <v>0</v>
      </c>
      <c r="BA290" s="31"/>
      <c r="BB290" s="31"/>
      <c r="BC290" s="31"/>
      <c r="BD290" s="16">
        <f t="shared" si="42"/>
        <v>0</v>
      </c>
      <c r="BE290" s="31"/>
      <c r="BF290" s="31"/>
      <c r="BG290" s="31"/>
      <c r="BH290" s="31"/>
      <c r="BI290" s="16"/>
      <c r="BJ290" s="16"/>
      <c r="BK290" s="31"/>
      <c r="BL290" s="31"/>
      <c r="BM290" s="31"/>
      <c r="BN290" s="31"/>
      <c r="BO290" s="16"/>
      <c r="BP290" s="31"/>
      <c r="BQ290" s="31"/>
      <c r="BR290" s="31"/>
      <c r="BS290" s="31"/>
      <c r="BT290" s="16"/>
      <c r="BU290" s="16"/>
      <c r="BV290" s="16"/>
      <c r="BW290" s="16"/>
      <c r="BX290" s="16"/>
      <c r="BY290" s="16"/>
      <c r="BZ290" s="16"/>
      <c r="CA290" s="1"/>
      <c r="CB290" s="1"/>
      <c r="CC290" s="1"/>
    </row>
    <row r="291" spans="1:81" s="52" customFormat="1" ht="31.5" x14ac:dyDescent="0.25">
      <c r="A291" s="1">
        <v>2</v>
      </c>
      <c r="B291" s="13" t="s">
        <v>1747</v>
      </c>
      <c r="C291" s="572"/>
      <c r="D291" s="573"/>
      <c r="E291" s="10" t="s">
        <v>863</v>
      </c>
      <c r="F291" s="13" t="s">
        <v>1019</v>
      </c>
      <c r="G291" s="572"/>
      <c r="H291" s="573"/>
      <c r="I291" s="10" t="s">
        <v>1020</v>
      </c>
      <c r="J291" s="13" t="s">
        <v>1021</v>
      </c>
      <c r="K291" s="572"/>
      <c r="L291" s="573"/>
      <c r="M291" s="23"/>
      <c r="N291" s="23" t="s">
        <v>1053</v>
      </c>
      <c r="O291" s="13" t="s">
        <v>1054</v>
      </c>
      <c r="P291" s="1">
        <v>16</v>
      </c>
      <c r="Q291" s="1">
        <v>16</v>
      </c>
      <c r="R291" s="1"/>
      <c r="S291" s="13" t="s">
        <v>1055</v>
      </c>
      <c r="T291" s="13" t="s">
        <v>1054</v>
      </c>
      <c r="U291" s="1">
        <v>16</v>
      </c>
      <c r="V291" s="1">
        <v>16</v>
      </c>
      <c r="W291" s="1" t="s">
        <v>78</v>
      </c>
      <c r="X291" s="1"/>
      <c r="Y291" s="1" t="s">
        <v>1026</v>
      </c>
      <c r="Z291" s="1" t="s">
        <v>1027</v>
      </c>
      <c r="AA291" s="13" t="s">
        <v>1028</v>
      </c>
      <c r="AB291" s="10" t="s">
        <v>768</v>
      </c>
      <c r="AC291" s="156"/>
      <c r="AD291" s="108"/>
      <c r="AE291" s="156">
        <v>8</v>
      </c>
      <c r="AF291" s="156">
        <v>5</v>
      </c>
      <c r="AG291" s="377">
        <f t="shared" si="41"/>
        <v>13</v>
      </c>
      <c r="AH291" s="377" t="b">
        <f t="shared" si="38"/>
        <v>0</v>
      </c>
      <c r="AI291" s="26"/>
      <c r="AJ291" s="1"/>
      <c r="AK291" s="1"/>
      <c r="AL291" s="1"/>
      <c r="AM291" s="16">
        <f t="shared" si="39"/>
        <v>0</v>
      </c>
      <c r="AN291" s="156"/>
      <c r="AO291" s="26"/>
      <c r="AP291" s="1"/>
      <c r="AQ291" s="1"/>
      <c r="AR291" s="1"/>
      <c r="AS291" s="21" t="s">
        <v>310</v>
      </c>
      <c r="AT291" s="1">
        <f t="shared" si="40"/>
        <v>0</v>
      </c>
      <c r="AU291" s="31"/>
      <c r="AV291" s="31"/>
      <c r="AW291" s="31"/>
      <c r="AX291" s="16">
        <f t="shared" si="36"/>
        <v>0</v>
      </c>
      <c r="AY291" s="108" t="s">
        <v>310</v>
      </c>
      <c r="AZ291" s="108">
        <v>0</v>
      </c>
      <c r="BA291" s="31"/>
      <c r="BB291" s="31"/>
      <c r="BC291" s="31"/>
      <c r="BD291" s="16" t="str">
        <f t="shared" si="42"/>
        <v>NP</v>
      </c>
      <c r="BE291" s="31"/>
      <c r="BF291" s="31"/>
      <c r="BG291" s="31"/>
      <c r="BH291" s="31"/>
      <c r="BI291" s="16"/>
      <c r="BJ291" s="16"/>
      <c r="BK291" s="31"/>
      <c r="BL291" s="31"/>
      <c r="BM291" s="31"/>
      <c r="BN291" s="31"/>
      <c r="BO291" s="16"/>
      <c r="BP291" s="31"/>
      <c r="BQ291" s="31"/>
      <c r="BR291" s="31"/>
      <c r="BS291" s="31"/>
      <c r="BT291" s="16"/>
      <c r="BU291" s="16"/>
      <c r="BV291" s="16"/>
      <c r="BW291" s="16"/>
      <c r="BX291" s="16"/>
      <c r="BY291" s="16"/>
      <c r="BZ291" s="16"/>
      <c r="CA291" s="1"/>
      <c r="CB291" s="1"/>
      <c r="CC291" s="1"/>
    </row>
    <row r="292" spans="1:81" s="52" customFormat="1" ht="63" x14ac:dyDescent="0.25">
      <c r="A292" s="1">
        <v>2</v>
      </c>
      <c r="B292" s="13" t="s">
        <v>1747</v>
      </c>
      <c r="C292" s="572"/>
      <c r="D292" s="573"/>
      <c r="E292" s="10" t="s">
        <v>863</v>
      </c>
      <c r="F292" s="13" t="s">
        <v>1019</v>
      </c>
      <c r="G292" s="572"/>
      <c r="H292" s="573"/>
      <c r="I292" s="10" t="s">
        <v>1020</v>
      </c>
      <c r="J292" s="13" t="s">
        <v>1021</v>
      </c>
      <c r="K292" s="572"/>
      <c r="L292" s="573"/>
      <c r="M292" s="23"/>
      <c r="N292" s="23" t="s">
        <v>1056</v>
      </c>
      <c r="O292" s="13" t="s">
        <v>1057</v>
      </c>
      <c r="P292" s="1">
        <v>0</v>
      </c>
      <c r="Q292" s="10">
        <v>15</v>
      </c>
      <c r="R292" s="10"/>
      <c r="S292" s="13" t="s">
        <v>1058</v>
      </c>
      <c r="T292" s="13" t="s">
        <v>1059</v>
      </c>
      <c r="U292" s="1">
        <v>0</v>
      </c>
      <c r="V292" s="1">
        <v>15</v>
      </c>
      <c r="W292" s="1" t="s">
        <v>49</v>
      </c>
      <c r="X292" s="1"/>
      <c r="Y292" s="1" t="s">
        <v>1026</v>
      </c>
      <c r="Z292" s="1" t="s">
        <v>1027</v>
      </c>
      <c r="AA292" s="13" t="s">
        <v>1028</v>
      </c>
      <c r="AB292" s="10" t="s">
        <v>768</v>
      </c>
      <c r="AC292" s="156">
        <v>3</v>
      </c>
      <c r="AD292" s="156">
        <v>5</v>
      </c>
      <c r="AE292" s="156">
        <v>4</v>
      </c>
      <c r="AF292" s="156">
        <v>3</v>
      </c>
      <c r="AG292" s="377">
        <f t="shared" si="41"/>
        <v>15</v>
      </c>
      <c r="AH292" s="377" t="b">
        <f t="shared" si="38"/>
        <v>1</v>
      </c>
      <c r="AI292" s="31">
        <v>0.13</v>
      </c>
      <c r="AJ292" s="30">
        <v>10</v>
      </c>
      <c r="AK292" s="30">
        <v>12</v>
      </c>
      <c r="AL292" s="30">
        <v>12</v>
      </c>
      <c r="AM292" s="16">
        <f t="shared" si="39"/>
        <v>0.8</v>
      </c>
      <c r="AN292" s="156">
        <v>3</v>
      </c>
      <c r="AO292" s="26">
        <v>0.66</v>
      </c>
      <c r="AP292" s="314">
        <v>0.1</v>
      </c>
      <c r="AQ292" s="314"/>
      <c r="AR292" s="322">
        <f>AL292</f>
        <v>12</v>
      </c>
      <c r="AS292" s="21">
        <v>1</v>
      </c>
      <c r="AT292" s="1">
        <f t="shared" si="40"/>
        <v>15</v>
      </c>
      <c r="AU292" s="31"/>
      <c r="AV292" s="31"/>
      <c r="AW292" s="31"/>
      <c r="AX292" s="16">
        <f t="shared" si="36"/>
        <v>1</v>
      </c>
      <c r="AY292" s="156">
        <v>5</v>
      </c>
      <c r="AZ292" s="76">
        <v>3</v>
      </c>
      <c r="BA292" s="31"/>
      <c r="BB292" s="31"/>
      <c r="BC292" s="31"/>
      <c r="BD292" s="16">
        <f t="shared" si="42"/>
        <v>0.6</v>
      </c>
      <c r="BE292" s="31"/>
      <c r="BF292" s="31"/>
      <c r="BG292" s="31"/>
      <c r="BH292" s="31"/>
      <c r="BI292" s="16"/>
      <c r="BJ292" s="16"/>
      <c r="BK292" s="31"/>
      <c r="BL292" s="31"/>
      <c r="BM292" s="31"/>
      <c r="BN292" s="31"/>
      <c r="BO292" s="16"/>
      <c r="BP292" s="31"/>
      <c r="BQ292" s="31"/>
      <c r="BR292" s="31"/>
      <c r="BS292" s="31"/>
      <c r="BT292" s="16"/>
      <c r="BU292" s="16"/>
      <c r="BV292" s="16"/>
      <c r="BW292" s="16"/>
      <c r="BX292" s="16"/>
      <c r="BY292" s="16"/>
      <c r="BZ292" s="16"/>
      <c r="CA292" s="1"/>
      <c r="CB292" s="1"/>
      <c r="CC292" s="1"/>
    </row>
    <row r="293" spans="1:81" s="52" customFormat="1" ht="78.75" x14ac:dyDescent="0.25">
      <c r="A293" s="1">
        <v>2</v>
      </c>
      <c r="B293" s="13" t="s">
        <v>1747</v>
      </c>
      <c r="C293" s="572"/>
      <c r="D293" s="573"/>
      <c r="E293" s="10" t="s">
        <v>863</v>
      </c>
      <c r="F293" s="13" t="s">
        <v>1019</v>
      </c>
      <c r="G293" s="572"/>
      <c r="H293" s="573"/>
      <c r="I293" s="10" t="s">
        <v>1020</v>
      </c>
      <c r="J293" s="13" t="s">
        <v>1021</v>
      </c>
      <c r="K293" s="572"/>
      <c r="L293" s="573"/>
      <c r="M293" s="23"/>
      <c r="N293" s="23" t="s">
        <v>1060</v>
      </c>
      <c r="O293" s="13" t="s">
        <v>1061</v>
      </c>
      <c r="P293" s="1">
        <v>0</v>
      </c>
      <c r="Q293" s="10">
        <v>10</v>
      </c>
      <c r="R293" s="10"/>
      <c r="S293" s="13" t="s">
        <v>1062</v>
      </c>
      <c r="T293" s="13" t="s">
        <v>1061</v>
      </c>
      <c r="U293" s="1">
        <v>0</v>
      </c>
      <c r="V293" s="1">
        <v>10</v>
      </c>
      <c r="W293" s="1" t="s">
        <v>49</v>
      </c>
      <c r="X293" s="1"/>
      <c r="Y293" s="1" t="s">
        <v>1026</v>
      </c>
      <c r="Z293" s="1" t="s">
        <v>1027</v>
      </c>
      <c r="AA293" s="24" t="s">
        <v>1028</v>
      </c>
      <c r="AB293" s="10" t="s">
        <v>768</v>
      </c>
      <c r="AC293" s="156">
        <v>1</v>
      </c>
      <c r="AD293" s="156">
        <v>3</v>
      </c>
      <c r="AE293" s="156">
        <v>3</v>
      </c>
      <c r="AF293" s="156">
        <v>3</v>
      </c>
      <c r="AG293" s="377">
        <f t="shared" si="41"/>
        <v>10</v>
      </c>
      <c r="AH293" s="377" t="b">
        <f t="shared" si="38"/>
        <v>1</v>
      </c>
      <c r="AI293" s="26">
        <v>0</v>
      </c>
      <c r="AJ293" s="1">
        <v>0</v>
      </c>
      <c r="AK293" s="1">
        <v>0.5</v>
      </c>
      <c r="AL293" s="346">
        <v>1</v>
      </c>
      <c r="AM293" s="16">
        <f t="shared" si="39"/>
        <v>0.1</v>
      </c>
      <c r="AN293" s="156">
        <v>1</v>
      </c>
      <c r="AO293" s="26">
        <v>0</v>
      </c>
      <c r="AP293" s="1">
        <v>0</v>
      </c>
      <c r="AQ293" s="1"/>
      <c r="AR293" s="322">
        <f>AL293</f>
        <v>1</v>
      </c>
      <c r="AS293" s="21">
        <f>IFERROR(+AR293/AN293,0)</f>
        <v>1</v>
      </c>
      <c r="AT293" s="1">
        <f t="shared" si="40"/>
        <v>2</v>
      </c>
      <c r="AU293" s="31"/>
      <c r="AV293" s="31"/>
      <c r="AW293" s="31"/>
      <c r="AX293" s="16">
        <f t="shared" si="36"/>
        <v>0.2</v>
      </c>
      <c r="AY293" s="156">
        <v>3</v>
      </c>
      <c r="AZ293" s="76">
        <v>1</v>
      </c>
      <c r="BA293" s="31"/>
      <c r="BB293" s="31"/>
      <c r="BC293" s="31"/>
      <c r="BD293" s="16">
        <f t="shared" si="42"/>
        <v>0.33333333333333331</v>
      </c>
      <c r="BE293" s="31"/>
      <c r="BF293" s="31"/>
      <c r="BG293" s="31"/>
      <c r="BH293" s="31"/>
      <c r="BI293" s="16"/>
      <c r="BJ293" s="16"/>
      <c r="BK293" s="31"/>
      <c r="BL293" s="31"/>
      <c r="BM293" s="31"/>
      <c r="BN293" s="31"/>
      <c r="BO293" s="16"/>
      <c r="BP293" s="31"/>
      <c r="BQ293" s="31"/>
      <c r="BR293" s="31"/>
      <c r="BS293" s="31"/>
      <c r="BT293" s="16"/>
      <c r="BU293" s="16"/>
      <c r="BV293" s="16"/>
      <c r="BW293" s="16"/>
      <c r="BX293" s="16"/>
      <c r="BY293" s="16"/>
      <c r="BZ293" s="16"/>
      <c r="CA293" s="1"/>
      <c r="CB293" s="1"/>
      <c r="CC293" s="1"/>
    </row>
    <row r="294" spans="1:81" s="52" customFormat="1" ht="31.5" x14ac:dyDescent="0.25">
      <c r="A294" s="1">
        <v>2</v>
      </c>
      <c r="B294" s="13" t="s">
        <v>1747</v>
      </c>
      <c r="C294" s="572"/>
      <c r="D294" s="573"/>
      <c r="E294" s="10" t="s">
        <v>863</v>
      </c>
      <c r="F294" s="13" t="s">
        <v>1019</v>
      </c>
      <c r="G294" s="572"/>
      <c r="H294" s="573"/>
      <c r="I294" s="10" t="s">
        <v>1020</v>
      </c>
      <c r="J294" s="13" t="s">
        <v>1021</v>
      </c>
      <c r="K294" s="572"/>
      <c r="L294" s="573"/>
      <c r="M294" s="23"/>
      <c r="N294" s="23" t="s">
        <v>1063</v>
      </c>
      <c r="O294" s="13" t="s">
        <v>1064</v>
      </c>
      <c r="P294" s="26">
        <v>0</v>
      </c>
      <c r="Q294" s="434">
        <v>1</v>
      </c>
      <c r="R294" s="33"/>
      <c r="S294" s="13" t="s">
        <v>1065</v>
      </c>
      <c r="T294" s="13" t="s">
        <v>1064</v>
      </c>
      <c r="U294" s="26">
        <v>0</v>
      </c>
      <c r="V294" s="33">
        <v>1</v>
      </c>
      <c r="W294" s="1" t="s">
        <v>49</v>
      </c>
      <c r="X294" s="1"/>
      <c r="Y294" s="1" t="s">
        <v>1026</v>
      </c>
      <c r="Z294" s="1" t="s">
        <v>1027</v>
      </c>
      <c r="AA294" s="24" t="s">
        <v>1028</v>
      </c>
      <c r="AB294" s="10" t="s">
        <v>768</v>
      </c>
      <c r="AC294" s="319">
        <v>0.1</v>
      </c>
      <c r="AD294" s="156">
        <v>0.4</v>
      </c>
      <c r="AE294" s="156">
        <v>0.5</v>
      </c>
      <c r="AF294" s="156"/>
      <c r="AG294" s="377">
        <f t="shared" si="41"/>
        <v>1</v>
      </c>
      <c r="AH294" s="377" t="b">
        <f t="shared" si="38"/>
        <v>1</v>
      </c>
      <c r="AI294" s="33">
        <v>0</v>
      </c>
      <c r="AJ294" s="138">
        <v>0</v>
      </c>
      <c r="AK294" s="410">
        <v>0.1</v>
      </c>
      <c r="AL294" s="410">
        <v>0.1</v>
      </c>
      <c r="AM294" s="16">
        <f t="shared" si="39"/>
        <v>0.1</v>
      </c>
      <c r="AN294" s="319">
        <v>0.1</v>
      </c>
      <c r="AO294" s="26">
        <v>0</v>
      </c>
      <c r="AP294" s="1">
        <v>0</v>
      </c>
      <c r="AQ294" s="1"/>
      <c r="AR294" s="323">
        <f>AL294</f>
        <v>0.1</v>
      </c>
      <c r="AS294" s="21">
        <f>IFERROR(+AR294/AN294,0)</f>
        <v>1</v>
      </c>
      <c r="AT294" s="1">
        <f t="shared" si="40"/>
        <v>0.2</v>
      </c>
      <c r="AU294" s="31"/>
      <c r="AV294" s="31"/>
      <c r="AW294" s="31"/>
      <c r="AX294" s="16">
        <f t="shared" si="36"/>
        <v>0.2</v>
      </c>
      <c r="AY294" s="156">
        <v>0.4</v>
      </c>
      <c r="AZ294" s="76">
        <v>0.1</v>
      </c>
      <c r="BA294" s="31"/>
      <c r="BB294" s="31"/>
      <c r="BC294" s="31"/>
      <c r="BD294" s="16">
        <f t="shared" si="42"/>
        <v>0.25</v>
      </c>
      <c r="BE294" s="31"/>
      <c r="BF294" s="31"/>
      <c r="BG294" s="31"/>
      <c r="BH294" s="31"/>
      <c r="BI294" s="16"/>
      <c r="BJ294" s="16"/>
      <c r="BK294" s="31"/>
      <c r="BL294" s="31"/>
      <c r="BM294" s="31"/>
      <c r="BN294" s="31"/>
      <c r="BO294" s="16"/>
      <c r="BP294" s="31"/>
      <c r="BQ294" s="31"/>
      <c r="BR294" s="31"/>
      <c r="BS294" s="31"/>
      <c r="BT294" s="16"/>
      <c r="BU294" s="16"/>
      <c r="BV294" s="16"/>
      <c r="BW294" s="16"/>
      <c r="BX294" s="16"/>
      <c r="BY294" s="16"/>
      <c r="BZ294" s="16"/>
      <c r="CA294" s="1"/>
      <c r="CB294" s="1"/>
      <c r="CC294" s="1"/>
    </row>
    <row r="295" spans="1:81" s="52" customFormat="1" ht="31.5" x14ac:dyDescent="0.25">
      <c r="A295" s="1">
        <v>2</v>
      </c>
      <c r="B295" s="13" t="s">
        <v>1747</v>
      </c>
      <c r="C295" s="572"/>
      <c r="D295" s="573"/>
      <c r="E295" s="10" t="s">
        <v>863</v>
      </c>
      <c r="F295" s="13" t="s">
        <v>1019</v>
      </c>
      <c r="G295" s="568"/>
      <c r="H295" s="570"/>
      <c r="I295" s="10" t="s">
        <v>1020</v>
      </c>
      <c r="J295" s="13" t="s">
        <v>1021</v>
      </c>
      <c r="K295" s="568"/>
      <c r="L295" s="570"/>
      <c r="M295" s="23"/>
      <c r="N295" s="13" t="s">
        <v>1066</v>
      </c>
      <c r="O295" s="13" t="s">
        <v>1067</v>
      </c>
      <c r="P295" s="10">
        <v>3</v>
      </c>
      <c r="Q295" s="10">
        <v>3</v>
      </c>
      <c r="R295" s="10"/>
      <c r="S295" s="13" t="s">
        <v>1068</v>
      </c>
      <c r="T295" s="13" t="s">
        <v>1067</v>
      </c>
      <c r="U295" s="1">
        <v>3</v>
      </c>
      <c r="V295" s="1">
        <v>3</v>
      </c>
      <c r="W295" s="10" t="s">
        <v>78</v>
      </c>
      <c r="X295" s="1"/>
      <c r="Y295" s="1" t="s">
        <v>1026</v>
      </c>
      <c r="Z295" s="1" t="s">
        <v>1027</v>
      </c>
      <c r="AA295" s="24" t="s">
        <v>1028</v>
      </c>
      <c r="AB295" s="10" t="s">
        <v>768</v>
      </c>
      <c r="AC295" s="156"/>
      <c r="AD295" s="156">
        <v>1</v>
      </c>
      <c r="AE295" s="156">
        <v>1</v>
      </c>
      <c r="AF295" s="156">
        <v>1</v>
      </c>
      <c r="AG295" s="377">
        <f t="shared" si="41"/>
        <v>3</v>
      </c>
      <c r="AH295" s="377" t="b">
        <f t="shared" si="38"/>
        <v>1</v>
      </c>
      <c r="AI295" s="26"/>
      <c r="AJ295" s="1"/>
      <c r="AK295" s="1"/>
      <c r="AL295" s="1"/>
      <c r="AM295" s="16">
        <f t="shared" si="39"/>
        <v>0</v>
      </c>
      <c r="AN295" s="156"/>
      <c r="AO295" s="26"/>
      <c r="AP295" s="1"/>
      <c r="AQ295" s="1"/>
      <c r="AR295" s="1"/>
      <c r="AS295" s="21" t="s">
        <v>310</v>
      </c>
      <c r="AT295" s="1">
        <f t="shared" si="40"/>
        <v>0</v>
      </c>
      <c r="AU295" s="31"/>
      <c r="AV295" s="31"/>
      <c r="AW295" s="31"/>
      <c r="AX295" s="16">
        <f t="shared" si="36"/>
        <v>0</v>
      </c>
      <c r="AY295" s="156">
        <v>1</v>
      </c>
      <c r="AZ295" s="76">
        <v>0</v>
      </c>
      <c r="BA295" s="31"/>
      <c r="BB295" s="31"/>
      <c r="BC295" s="31"/>
      <c r="BD295" s="16">
        <f t="shared" si="42"/>
        <v>0</v>
      </c>
      <c r="BE295" s="31"/>
      <c r="BF295" s="31"/>
      <c r="BG295" s="31"/>
      <c r="BH295" s="31"/>
      <c r="BI295" s="16"/>
      <c r="BJ295" s="16"/>
      <c r="BK295" s="31"/>
      <c r="BL295" s="31"/>
      <c r="BM295" s="31"/>
      <c r="BN295" s="31"/>
      <c r="BO295" s="16"/>
      <c r="BP295" s="31"/>
      <c r="BQ295" s="31"/>
      <c r="BR295" s="31"/>
      <c r="BS295" s="31"/>
      <c r="BT295" s="16"/>
      <c r="BU295" s="16"/>
      <c r="BV295" s="16"/>
      <c r="BW295" s="16"/>
      <c r="BX295" s="16"/>
      <c r="BY295" s="16"/>
      <c r="BZ295" s="16"/>
      <c r="CA295" s="1"/>
      <c r="CB295" s="1"/>
      <c r="CC295" s="1"/>
    </row>
    <row r="296" spans="1:81" s="52" customFormat="1" ht="60.75" customHeight="1" x14ac:dyDescent="0.25">
      <c r="A296" s="1">
        <v>2</v>
      </c>
      <c r="B296" s="13" t="s">
        <v>1747</v>
      </c>
      <c r="C296" s="572"/>
      <c r="D296" s="573"/>
      <c r="E296" s="10" t="s">
        <v>342</v>
      </c>
      <c r="F296" s="13" t="s">
        <v>1069</v>
      </c>
      <c r="G296" s="567">
        <f>+AVERAGEIF(F14:F567,F296,AX14:AX567)</f>
        <v>7.5000000000000011E-2</v>
      </c>
      <c r="H296" s="569">
        <f>+AVERAGEIF(F14:F567,F296,BD14:BD567)</f>
        <v>0.16964285714285715</v>
      </c>
      <c r="I296" s="10" t="s">
        <v>1070</v>
      </c>
      <c r="J296" s="13" t="s">
        <v>1071</v>
      </c>
      <c r="K296" s="567">
        <f>AVERAGE(AX296:AX298)</f>
        <v>6.6666666666666666E-2</v>
      </c>
      <c r="L296" s="569">
        <f>AVERAGE(BD296:BD298)</f>
        <v>0.14285714285714285</v>
      </c>
      <c r="M296" s="23"/>
      <c r="N296" s="23" t="s">
        <v>1072</v>
      </c>
      <c r="O296" s="13" t="s">
        <v>1072</v>
      </c>
      <c r="P296" s="36">
        <v>0</v>
      </c>
      <c r="Q296" s="36">
        <v>14</v>
      </c>
      <c r="R296" s="35"/>
      <c r="S296" s="13" t="s">
        <v>1073</v>
      </c>
      <c r="T296" s="527" t="s">
        <v>1073</v>
      </c>
      <c r="U296" s="36">
        <v>0</v>
      </c>
      <c r="V296" s="36">
        <v>15</v>
      </c>
      <c r="W296" s="1" t="s">
        <v>49</v>
      </c>
      <c r="X296" s="1"/>
      <c r="Y296" s="1">
        <v>7</v>
      </c>
      <c r="Z296" s="1">
        <v>5</v>
      </c>
      <c r="AA296" s="24">
        <v>3</v>
      </c>
      <c r="AB296" s="10" t="s">
        <v>1763</v>
      </c>
      <c r="AC296" s="156"/>
      <c r="AD296" s="156">
        <v>7</v>
      </c>
      <c r="AE296" s="156">
        <v>5</v>
      </c>
      <c r="AF296" s="156">
        <v>3</v>
      </c>
      <c r="AG296" s="377">
        <f t="shared" si="41"/>
        <v>15</v>
      </c>
      <c r="AH296" s="377" t="b">
        <f t="shared" si="38"/>
        <v>1</v>
      </c>
      <c r="AI296" s="1"/>
      <c r="AJ296" s="1"/>
      <c r="AK296" s="1"/>
      <c r="AL296" s="1"/>
      <c r="AM296" s="16">
        <f t="shared" si="39"/>
        <v>0</v>
      </c>
      <c r="AN296" s="156"/>
      <c r="AO296" s="1"/>
      <c r="AP296" s="1"/>
      <c r="AQ296" s="1"/>
      <c r="AR296" s="1"/>
      <c r="AS296" s="21" t="s">
        <v>310</v>
      </c>
      <c r="AT296" s="1">
        <f t="shared" si="40"/>
        <v>3</v>
      </c>
      <c r="AU296" s="31"/>
      <c r="AV296" s="31"/>
      <c r="AW296" s="31"/>
      <c r="AX296" s="16">
        <f t="shared" si="36"/>
        <v>0.2</v>
      </c>
      <c r="AY296" s="156">
        <v>7</v>
      </c>
      <c r="AZ296" s="76">
        <v>3</v>
      </c>
      <c r="BA296" s="31"/>
      <c r="BB296" s="31"/>
      <c r="BC296" s="31"/>
      <c r="BD296" s="16">
        <f t="shared" si="42"/>
        <v>0.42857142857142855</v>
      </c>
      <c r="BE296" s="31"/>
      <c r="BF296" s="31"/>
      <c r="BG296" s="31"/>
      <c r="BH296" s="31"/>
      <c r="BI296" s="16"/>
      <c r="BJ296" s="16"/>
      <c r="BK296" s="31"/>
      <c r="BL296" s="31"/>
      <c r="BM296" s="31"/>
      <c r="BN296" s="31"/>
      <c r="BO296" s="16"/>
      <c r="BP296" s="31"/>
      <c r="BQ296" s="31"/>
      <c r="BR296" s="31"/>
      <c r="BS296" s="31"/>
      <c r="BT296" s="16"/>
      <c r="BU296" s="16"/>
      <c r="BV296" s="16"/>
      <c r="BW296" s="16"/>
      <c r="BX296" s="16"/>
      <c r="BY296" s="16"/>
      <c r="BZ296" s="16"/>
      <c r="CA296" s="1"/>
      <c r="CB296" s="1"/>
      <c r="CC296" s="1"/>
    </row>
    <row r="297" spans="1:81" s="52" customFormat="1" ht="80.25" customHeight="1" x14ac:dyDescent="0.25">
      <c r="A297" s="1">
        <v>2</v>
      </c>
      <c r="B297" s="13" t="s">
        <v>1747</v>
      </c>
      <c r="C297" s="572"/>
      <c r="D297" s="573"/>
      <c r="E297" s="10" t="s">
        <v>342</v>
      </c>
      <c r="F297" s="13" t="s">
        <v>1069</v>
      </c>
      <c r="G297" s="572"/>
      <c r="H297" s="573"/>
      <c r="I297" s="10" t="s">
        <v>1070</v>
      </c>
      <c r="J297" s="13" t="s">
        <v>1071</v>
      </c>
      <c r="K297" s="572"/>
      <c r="L297" s="573"/>
      <c r="M297" s="23"/>
      <c r="N297" s="23" t="s">
        <v>1072</v>
      </c>
      <c r="O297" s="13" t="s">
        <v>1072</v>
      </c>
      <c r="P297" s="36">
        <v>0</v>
      </c>
      <c r="Q297" s="36">
        <v>14</v>
      </c>
      <c r="R297" s="35"/>
      <c r="S297" s="13" t="s">
        <v>1074</v>
      </c>
      <c r="T297" s="527" t="s">
        <v>1074</v>
      </c>
      <c r="U297" s="36">
        <v>0</v>
      </c>
      <c r="V297" s="36">
        <v>1</v>
      </c>
      <c r="W297" s="1" t="s">
        <v>49</v>
      </c>
      <c r="X297" s="1"/>
      <c r="Y297" s="1">
        <v>1</v>
      </c>
      <c r="Z297" s="1">
        <v>0</v>
      </c>
      <c r="AA297" s="24">
        <v>0</v>
      </c>
      <c r="AB297" s="10" t="s">
        <v>1763</v>
      </c>
      <c r="AC297" s="156"/>
      <c r="AD297" s="156">
        <v>1</v>
      </c>
      <c r="AE297" s="156"/>
      <c r="AF297" s="156"/>
      <c r="AG297" s="377">
        <f t="shared" si="41"/>
        <v>1</v>
      </c>
      <c r="AH297" s="377" t="b">
        <f t="shared" si="38"/>
        <v>1</v>
      </c>
      <c r="AI297" s="1"/>
      <c r="AJ297" s="1"/>
      <c r="AK297" s="1"/>
      <c r="AL297" s="1"/>
      <c r="AM297" s="16">
        <f t="shared" si="39"/>
        <v>0</v>
      </c>
      <c r="AN297" s="156"/>
      <c r="AO297" s="1"/>
      <c r="AP297" s="1"/>
      <c r="AQ297" s="1"/>
      <c r="AR297" s="1"/>
      <c r="AS297" s="21" t="s">
        <v>310</v>
      </c>
      <c r="AT297" s="1">
        <f t="shared" si="40"/>
        <v>0</v>
      </c>
      <c r="AU297" s="31"/>
      <c r="AV297" s="31"/>
      <c r="AW297" s="31"/>
      <c r="AX297" s="16">
        <f t="shared" si="36"/>
        <v>0</v>
      </c>
      <c r="AY297" s="156">
        <v>1</v>
      </c>
      <c r="AZ297" s="76"/>
      <c r="BA297" s="31"/>
      <c r="BB297" s="31"/>
      <c r="BC297" s="31"/>
      <c r="BD297" s="16">
        <f t="shared" si="42"/>
        <v>0</v>
      </c>
      <c r="BE297" s="31"/>
      <c r="BF297" s="31"/>
      <c r="BG297" s="31"/>
      <c r="BH297" s="31"/>
      <c r="BI297" s="16"/>
      <c r="BJ297" s="16"/>
      <c r="BK297" s="31"/>
      <c r="BL297" s="31"/>
      <c r="BM297" s="31"/>
      <c r="BN297" s="31"/>
      <c r="BO297" s="16"/>
      <c r="BP297" s="31"/>
      <c r="BQ297" s="31"/>
      <c r="BR297" s="31"/>
      <c r="BS297" s="31"/>
      <c r="BT297" s="16"/>
      <c r="BU297" s="16"/>
      <c r="BV297" s="16"/>
      <c r="BW297" s="16"/>
      <c r="BX297" s="16"/>
      <c r="BY297" s="16"/>
      <c r="BZ297" s="16"/>
      <c r="CA297" s="1"/>
      <c r="CB297" s="1"/>
      <c r="CC297" s="1"/>
    </row>
    <row r="298" spans="1:81" s="52" customFormat="1" ht="74.25" customHeight="1" x14ac:dyDescent="0.25">
      <c r="A298" s="1">
        <v>2</v>
      </c>
      <c r="B298" s="13" t="s">
        <v>1747</v>
      </c>
      <c r="C298" s="572"/>
      <c r="D298" s="573"/>
      <c r="E298" s="10" t="s">
        <v>342</v>
      </c>
      <c r="F298" s="13" t="s">
        <v>1069</v>
      </c>
      <c r="G298" s="572"/>
      <c r="H298" s="573"/>
      <c r="I298" s="10" t="s">
        <v>1070</v>
      </c>
      <c r="J298" s="13" t="s">
        <v>1071</v>
      </c>
      <c r="K298" s="572"/>
      <c r="L298" s="573"/>
      <c r="M298" s="23"/>
      <c r="N298" s="23" t="s">
        <v>1072</v>
      </c>
      <c r="O298" s="13" t="s">
        <v>1072</v>
      </c>
      <c r="P298" s="36">
        <v>0</v>
      </c>
      <c r="Q298" s="36">
        <v>14</v>
      </c>
      <c r="R298" s="35"/>
      <c r="S298" s="13" t="s">
        <v>1997</v>
      </c>
      <c r="T298" s="527" t="s">
        <v>1075</v>
      </c>
      <c r="U298" s="36">
        <v>0</v>
      </c>
      <c r="V298" s="36">
        <v>600</v>
      </c>
      <c r="W298" s="1" t="s">
        <v>49</v>
      </c>
      <c r="X298" s="1"/>
      <c r="Y298" s="1">
        <v>200</v>
      </c>
      <c r="Z298" s="1">
        <v>300</v>
      </c>
      <c r="AA298" s="24">
        <v>100</v>
      </c>
      <c r="AB298" s="10" t="s">
        <v>1763</v>
      </c>
      <c r="AC298" s="156"/>
      <c r="AD298" s="156">
        <v>200</v>
      </c>
      <c r="AE298" s="156">
        <v>300</v>
      </c>
      <c r="AF298" s="156">
        <v>100</v>
      </c>
      <c r="AG298" s="377">
        <f t="shared" si="41"/>
        <v>600</v>
      </c>
      <c r="AH298" s="377" t="b">
        <f t="shared" si="38"/>
        <v>1</v>
      </c>
      <c r="AI298" s="1"/>
      <c r="AJ298" s="1"/>
      <c r="AK298" s="1"/>
      <c r="AL298" s="1"/>
      <c r="AM298" s="16">
        <f t="shared" si="39"/>
        <v>0</v>
      </c>
      <c r="AN298" s="156"/>
      <c r="AO298" s="1"/>
      <c r="AP298" s="1"/>
      <c r="AQ298" s="1"/>
      <c r="AR298" s="1"/>
      <c r="AS298" s="21" t="s">
        <v>310</v>
      </c>
      <c r="AT298" s="1">
        <f t="shared" si="40"/>
        <v>0</v>
      </c>
      <c r="AU298" s="31"/>
      <c r="AV298" s="31"/>
      <c r="AW298" s="31"/>
      <c r="AX298" s="16">
        <f t="shared" si="36"/>
        <v>0</v>
      </c>
      <c r="AY298" s="156">
        <v>200</v>
      </c>
      <c r="AZ298" s="76"/>
      <c r="BA298" s="31"/>
      <c r="BB298" s="31"/>
      <c r="BC298" s="31"/>
      <c r="BD298" s="16">
        <f t="shared" si="42"/>
        <v>0</v>
      </c>
      <c r="BE298" s="31"/>
      <c r="BF298" s="31"/>
      <c r="BG298" s="31"/>
      <c r="BH298" s="31"/>
      <c r="BI298" s="16"/>
      <c r="BJ298" s="16"/>
      <c r="BK298" s="31"/>
      <c r="BL298" s="31"/>
      <c r="BM298" s="31"/>
      <c r="BN298" s="31"/>
      <c r="BO298" s="16"/>
      <c r="BP298" s="31"/>
      <c r="BQ298" s="31"/>
      <c r="BR298" s="31"/>
      <c r="BS298" s="31"/>
      <c r="BT298" s="16"/>
      <c r="BU298" s="16"/>
      <c r="BV298" s="16"/>
      <c r="BW298" s="16"/>
      <c r="BX298" s="16"/>
      <c r="BY298" s="16"/>
      <c r="BZ298" s="16"/>
      <c r="CA298" s="1"/>
      <c r="CB298" s="1"/>
      <c r="CC298" s="1"/>
    </row>
    <row r="299" spans="1:81" s="52" customFormat="1" ht="64.5" customHeight="1" x14ac:dyDescent="0.25">
      <c r="A299" s="1">
        <v>2</v>
      </c>
      <c r="B299" s="13" t="s">
        <v>1747</v>
      </c>
      <c r="C299" s="572"/>
      <c r="D299" s="573"/>
      <c r="E299" s="10" t="s">
        <v>342</v>
      </c>
      <c r="F299" s="13" t="s">
        <v>1069</v>
      </c>
      <c r="G299" s="568"/>
      <c r="H299" s="570"/>
      <c r="I299" s="10" t="s">
        <v>1076</v>
      </c>
      <c r="J299" s="13" t="s">
        <v>1077</v>
      </c>
      <c r="K299" s="143">
        <f>AX299</f>
        <v>0.1</v>
      </c>
      <c r="L299" s="144">
        <f>BD299</f>
        <v>0.25</v>
      </c>
      <c r="M299" s="23"/>
      <c r="N299" s="23" t="s">
        <v>1078</v>
      </c>
      <c r="O299" s="13" t="s">
        <v>1078</v>
      </c>
      <c r="P299" s="36">
        <v>0</v>
      </c>
      <c r="Q299" s="434">
        <v>0.1</v>
      </c>
      <c r="R299" s="38"/>
      <c r="S299" s="330" t="s">
        <v>1079</v>
      </c>
      <c r="T299" s="13" t="s">
        <v>1079</v>
      </c>
      <c r="U299" s="370">
        <v>0</v>
      </c>
      <c r="V299" s="370">
        <v>10</v>
      </c>
      <c r="W299" s="371" t="s">
        <v>49</v>
      </c>
      <c r="X299" s="1"/>
      <c r="Y299" s="1">
        <v>4</v>
      </c>
      <c r="Z299" s="1">
        <v>4</v>
      </c>
      <c r="AA299" s="24">
        <v>2</v>
      </c>
      <c r="AB299" s="370" t="s">
        <v>1763</v>
      </c>
      <c r="AC299" s="156"/>
      <c r="AD299" s="371">
        <v>4</v>
      </c>
      <c r="AE299" s="156">
        <v>4</v>
      </c>
      <c r="AF299" s="156">
        <v>2</v>
      </c>
      <c r="AG299" s="377">
        <f t="shared" si="41"/>
        <v>10</v>
      </c>
      <c r="AH299" s="377" t="b">
        <f t="shared" si="38"/>
        <v>1</v>
      </c>
      <c r="AI299" s="1"/>
      <c r="AJ299" s="1"/>
      <c r="AK299" s="1"/>
      <c r="AL299" s="1"/>
      <c r="AM299" s="16">
        <f t="shared" si="39"/>
        <v>0</v>
      </c>
      <c r="AN299" s="156"/>
      <c r="AO299" s="1"/>
      <c r="AP299" s="1"/>
      <c r="AQ299" s="1"/>
      <c r="AR299" s="371"/>
      <c r="AS299" s="426" t="s">
        <v>310</v>
      </c>
      <c r="AT299" s="1">
        <f t="shared" si="40"/>
        <v>1</v>
      </c>
      <c r="AU299" s="31"/>
      <c r="AV299" s="31"/>
      <c r="AW299" s="31"/>
      <c r="AX299" s="16">
        <f t="shared" si="36"/>
        <v>0.1</v>
      </c>
      <c r="AY299" s="371">
        <v>4</v>
      </c>
      <c r="AZ299" s="371">
        <v>1</v>
      </c>
      <c r="BA299" s="426"/>
      <c r="BB299" s="31"/>
      <c r="BC299" s="31"/>
      <c r="BD299" s="16">
        <f t="shared" si="42"/>
        <v>0.25</v>
      </c>
      <c r="BE299" s="31"/>
      <c r="BF299" s="31"/>
      <c r="BG299" s="31"/>
      <c r="BH299" s="31"/>
      <c r="BI299" s="16"/>
      <c r="BJ299" s="16"/>
      <c r="BK299" s="31"/>
      <c r="BL299" s="31"/>
      <c r="BM299" s="31"/>
      <c r="BN299" s="31"/>
      <c r="BO299" s="16"/>
      <c r="BP299" s="31"/>
      <c r="BQ299" s="31"/>
      <c r="BR299" s="31"/>
      <c r="BS299" s="31"/>
      <c r="BT299" s="16"/>
      <c r="BU299" s="16"/>
      <c r="BV299" s="16"/>
      <c r="BW299" s="16"/>
      <c r="BX299" s="16"/>
      <c r="BY299" s="16"/>
      <c r="BZ299" s="16"/>
      <c r="CA299" s="1"/>
      <c r="CB299" s="1"/>
      <c r="CC299" s="1"/>
    </row>
    <row r="300" spans="1:81" s="52" customFormat="1" ht="76.5" customHeight="1" x14ac:dyDescent="0.25">
      <c r="A300" s="1">
        <v>2</v>
      </c>
      <c r="B300" s="13" t="s">
        <v>1747</v>
      </c>
      <c r="C300" s="572"/>
      <c r="D300" s="573"/>
      <c r="E300" s="10" t="s">
        <v>347</v>
      </c>
      <c r="F300" s="13" t="s">
        <v>1080</v>
      </c>
      <c r="G300" s="567">
        <f>+AVERAGEIF(F14:F567,F300,AX14:AX567)</f>
        <v>0.17542207792207792</v>
      </c>
      <c r="H300" s="569">
        <f>+AVERAGEIF(F14:F567,F300,BD14:BD567)</f>
        <v>0.46269841269841272</v>
      </c>
      <c r="I300" s="10" t="s">
        <v>1081</v>
      </c>
      <c r="J300" s="13" t="s">
        <v>1082</v>
      </c>
      <c r="K300" s="567">
        <f>AVERAGE(AX300:AX301)</f>
        <v>0.37500000000000006</v>
      </c>
      <c r="L300" s="569">
        <f>AVERAGE(BD300:BD301)</f>
        <v>1</v>
      </c>
      <c r="M300" s="13"/>
      <c r="N300" s="13" t="s">
        <v>1083</v>
      </c>
      <c r="O300" s="13" t="s">
        <v>1083</v>
      </c>
      <c r="P300" s="1" t="s">
        <v>55</v>
      </c>
      <c r="Q300" s="31">
        <v>0.3</v>
      </c>
      <c r="R300" s="39"/>
      <c r="S300" s="13" t="s">
        <v>1084</v>
      </c>
      <c r="T300" s="13" t="s">
        <v>1084</v>
      </c>
      <c r="U300" s="1">
        <v>1</v>
      </c>
      <c r="V300" s="1">
        <v>1</v>
      </c>
      <c r="W300" s="1" t="s">
        <v>78</v>
      </c>
      <c r="X300" s="1"/>
      <c r="Y300" s="1" t="s">
        <v>893</v>
      </c>
      <c r="Z300" s="1" t="s">
        <v>894</v>
      </c>
      <c r="AA300" s="13" t="s">
        <v>1085</v>
      </c>
      <c r="AB300" s="10" t="s">
        <v>1763</v>
      </c>
      <c r="AC300" s="156">
        <v>1</v>
      </c>
      <c r="AD300" s="156"/>
      <c r="AE300" s="156">
        <v>1</v>
      </c>
      <c r="AF300" s="156">
        <v>1</v>
      </c>
      <c r="AG300" s="377">
        <f t="shared" si="41"/>
        <v>3</v>
      </c>
      <c r="AH300" s="377" t="b">
        <f t="shared" si="38"/>
        <v>0</v>
      </c>
      <c r="AI300" s="1">
        <v>1</v>
      </c>
      <c r="AJ300" s="1">
        <v>1</v>
      </c>
      <c r="AK300" s="1">
        <v>1</v>
      </c>
      <c r="AL300" s="1">
        <v>1</v>
      </c>
      <c r="AM300" s="16">
        <f t="shared" si="39"/>
        <v>1</v>
      </c>
      <c r="AN300" s="156">
        <v>1</v>
      </c>
      <c r="AO300" s="1">
        <v>1</v>
      </c>
      <c r="AP300" s="1">
        <v>1</v>
      </c>
      <c r="AQ300" s="1"/>
      <c r="AR300" s="1">
        <f t="shared" ref="AR300:AR308" si="45">AL300</f>
        <v>1</v>
      </c>
      <c r="AS300" s="21">
        <f>IFERROR(+AR300/AN300,0)</f>
        <v>1</v>
      </c>
      <c r="AT300" s="1">
        <f t="shared" si="40"/>
        <v>0.25</v>
      </c>
      <c r="AU300" s="31"/>
      <c r="AV300" s="31"/>
      <c r="AW300" s="31"/>
      <c r="AX300" s="16">
        <f t="shared" si="36"/>
        <v>0.25</v>
      </c>
      <c r="AY300" s="156" t="s">
        <v>310</v>
      </c>
      <c r="AZ300" s="76"/>
      <c r="BA300" s="31"/>
      <c r="BB300" s="31"/>
      <c r="BC300" s="31"/>
      <c r="BD300" s="16" t="str">
        <f t="shared" si="42"/>
        <v>NP</v>
      </c>
      <c r="BE300" s="31"/>
      <c r="BF300" s="31"/>
      <c r="BG300" s="31"/>
      <c r="BH300" s="31"/>
      <c r="BI300" s="16"/>
      <c r="BJ300" s="16"/>
      <c r="BK300" s="31"/>
      <c r="BL300" s="31"/>
      <c r="BM300" s="31"/>
      <c r="BN300" s="31"/>
      <c r="BO300" s="16"/>
      <c r="BP300" s="31"/>
      <c r="BQ300" s="31"/>
      <c r="BR300" s="31"/>
      <c r="BS300" s="31"/>
      <c r="BT300" s="16"/>
      <c r="BU300" s="16"/>
      <c r="BV300" s="16"/>
      <c r="BW300" s="16"/>
      <c r="BX300" s="16"/>
      <c r="BY300" s="16"/>
      <c r="BZ300" s="16"/>
      <c r="CA300" s="1"/>
      <c r="CB300" s="1"/>
      <c r="CC300" s="1"/>
    </row>
    <row r="301" spans="1:81" s="52" customFormat="1" ht="85.5" customHeight="1" x14ac:dyDescent="0.25">
      <c r="A301" s="1">
        <v>2</v>
      </c>
      <c r="B301" s="13" t="s">
        <v>1747</v>
      </c>
      <c r="C301" s="572"/>
      <c r="D301" s="573"/>
      <c r="E301" s="10" t="s">
        <v>347</v>
      </c>
      <c r="F301" s="13" t="s">
        <v>1080</v>
      </c>
      <c r="G301" s="572"/>
      <c r="H301" s="573"/>
      <c r="I301" s="10" t="s">
        <v>1081</v>
      </c>
      <c r="J301" s="13" t="s">
        <v>1082</v>
      </c>
      <c r="K301" s="568"/>
      <c r="L301" s="570"/>
      <c r="M301" s="13"/>
      <c r="N301" s="13" t="s">
        <v>1083</v>
      </c>
      <c r="O301" s="13" t="s">
        <v>1083</v>
      </c>
      <c r="P301" s="1" t="s">
        <v>55</v>
      </c>
      <c r="Q301" s="31">
        <v>0.3</v>
      </c>
      <c r="R301" s="39"/>
      <c r="S301" s="13" t="s">
        <v>1086</v>
      </c>
      <c r="T301" s="13" t="s">
        <v>1086</v>
      </c>
      <c r="U301" s="31">
        <v>0.7</v>
      </c>
      <c r="V301" s="31">
        <v>0.3</v>
      </c>
      <c r="W301" s="1" t="s">
        <v>203</v>
      </c>
      <c r="X301" s="1"/>
      <c r="Y301" s="1" t="s">
        <v>893</v>
      </c>
      <c r="Z301" s="1" t="s">
        <v>894</v>
      </c>
      <c r="AA301" s="13" t="s">
        <v>1085</v>
      </c>
      <c r="AB301" s="10" t="s">
        <v>1763</v>
      </c>
      <c r="AC301" s="164">
        <v>0.05</v>
      </c>
      <c r="AD301" s="461">
        <v>0.1</v>
      </c>
      <c r="AE301" s="156">
        <v>10</v>
      </c>
      <c r="AF301" s="156">
        <v>5</v>
      </c>
      <c r="AG301" s="377">
        <f t="shared" si="41"/>
        <v>15.15</v>
      </c>
      <c r="AH301" s="377" t="b">
        <f t="shared" si="38"/>
        <v>0</v>
      </c>
      <c r="AI301" s="31">
        <v>0.03</v>
      </c>
      <c r="AJ301" s="31">
        <v>0.05</v>
      </c>
      <c r="AK301" s="31">
        <v>0.05</v>
      </c>
      <c r="AL301" s="31">
        <v>0.05</v>
      </c>
      <c r="AM301" s="16">
        <f t="shared" si="39"/>
        <v>0.16666666666666669</v>
      </c>
      <c r="AN301" s="164">
        <v>0.05</v>
      </c>
      <c r="AO301" s="104">
        <v>0.03</v>
      </c>
      <c r="AP301" s="1">
        <f>AJ301</f>
        <v>0.05</v>
      </c>
      <c r="AQ301" s="1"/>
      <c r="AR301" s="1">
        <f t="shared" si="45"/>
        <v>0.05</v>
      </c>
      <c r="AS301" s="21">
        <f t="shared" ref="AS301:AS308" si="46">IFERROR(+AR301/AN301,0)</f>
        <v>1</v>
      </c>
      <c r="AT301" s="1">
        <f t="shared" si="40"/>
        <v>0.15000000000000002</v>
      </c>
      <c r="AU301" s="31"/>
      <c r="AV301" s="31"/>
      <c r="AW301" s="31"/>
      <c r="AX301" s="16">
        <f t="shared" si="36"/>
        <v>0.50000000000000011</v>
      </c>
      <c r="AY301" s="461">
        <v>0.1</v>
      </c>
      <c r="AZ301" s="76">
        <v>0.1</v>
      </c>
      <c r="BA301" s="31"/>
      <c r="BB301" s="31"/>
      <c r="BC301" s="31"/>
      <c r="BD301" s="16">
        <f t="shared" si="42"/>
        <v>1</v>
      </c>
      <c r="BE301" s="31"/>
      <c r="BF301" s="31"/>
      <c r="BG301" s="31"/>
      <c r="BH301" s="31"/>
      <c r="BI301" s="16"/>
      <c r="BJ301" s="16"/>
      <c r="BK301" s="31"/>
      <c r="BL301" s="31"/>
      <c r="BM301" s="31"/>
      <c r="BN301" s="31"/>
      <c r="BO301" s="16"/>
      <c r="BP301" s="31"/>
      <c r="BQ301" s="31"/>
      <c r="BR301" s="31"/>
      <c r="BS301" s="31"/>
      <c r="BT301" s="16"/>
      <c r="BU301" s="16"/>
      <c r="BV301" s="16"/>
      <c r="BW301" s="16"/>
      <c r="BX301" s="16"/>
      <c r="BY301" s="16"/>
      <c r="BZ301" s="16"/>
      <c r="CA301" s="1"/>
      <c r="CB301" s="1"/>
      <c r="CC301" s="1"/>
    </row>
    <row r="302" spans="1:81" s="52" customFormat="1" ht="83.25" customHeight="1" x14ac:dyDescent="0.25">
      <c r="A302" s="1">
        <v>2</v>
      </c>
      <c r="B302" s="13" t="s">
        <v>1747</v>
      </c>
      <c r="C302" s="572"/>
      <c r="D302" s="573"/>
      <c r="E302" s="10" t="s">
        <v>347</v>
      </c>
      <c r="F302" s="13" t="s">
        <v>1080</v>
      </c>
      <c r="G302" s="572"/>
      <c r="H302" s="573"/>
      <c r="I302" s="10" t="s">
        <v>1087</v>
      </c>
      <c r="J302" s="13" t="s">
        <v>1088</v>
      </c>
      <c r="K302" s="567">
        <f>AVERAGE(AX302:AX307)</f>
        <v>0.13208333333333333</v>
      </c>
      <c r="L302" s="569">
        <f>AVERAGE(BD302:BD307)</f>
        <v>0.41285714285714292</v>
      </c>
      <c r="M302" s="13"/>
      <c r="N302" s="13" t="s">
        <v>1089</v>
      </c>
      <c r="O302" s="13" t="s">
        <v>1089</v>
      </c>
      <c r="P302" s="1" t="s">
        <v>55</v>
      </c>
      <c r="Q302" s="26">
        <v>0.05</v>
      </c>
      <c r="R302" s="14"/>
      <c r="S302" s="13" t="s">
        <v>1090</v>
      </c>
      <c r="T302" s="13" t="s">
        <v>1090</v>
      </c>
      <c r="U302" s="10">
        <v>100</v>
      </c>
      <c r="V302" s="10">
        <v>800</v>
      </c>
      <c r="W302" s="1" t="s">
        <v>203</v>
      </c>
      <c r="X302" s="10" t="s">
        <v>1091</v>
      </c>
      <c r="Y302" s="1" t="s">
        <v>893</v>
      </c>
      <c r="Z302" s="1" t="s">
        <v>894</v>
      </c>
      <c r="AA302" s="13" t="s">
        <v>1085</v>
      </c>
      <c r="AB302" s="10" t="s">
        <v>1763</v>
      </c>
      <c r="AC302" s="156">
        <v>50</v>
      </c>
      <c r="AD302" s="156">
        <v>200</v>
      </c>
      <c r="AE302" s="156">
        <v>400</v>
      </c>
      <c r="AF302" s="156">
        <v>150</v>
      </c>
      <c r="AG302" s="377">
        <f t="shared" si="41"/>
        <v>800</v>
      </c>
      <c r="AH302" s="377" t="b">
        <f t="shared" si="38"/>
        <v>1</v>
      </c>
      <c r="AI302" s="10">
        <v>10</v>
      </c>
      <c r="AJ302" s="10">
        <v>40</v>
      </c>
      <c r="AK302" s="10">
        <v>50</v>
      </c>
      <c r="AL302" s="10">
        <v>50</v>
      </c>
      <c r="AM302" s="16">
        <f t="shared" si="39"/>
        <v>6.25E-2</v>
      </c>
      <c r="AN302" s="156">
        <v>50</v>
      </c>
      <c r="AO302" s="1">
        <v>10</v>
      </c>
      <c r="AP302" s="1">
        <v>40</v>
      </c>
      <c r="AQ302" s="1"/>
      <c r="AR302" s="1">
        <f t="shared" si="45"/>
        <v>50</v>
      </c>
      <c r="AS302" s="21">
        <f t="shared" si="46"/>
        <v>1</v>
      </c>
      <c r="AT302" s="1">
        <f t="shared" si="40"/>
        <v>150</v>
      </c>
      <c r="AU302" s="31"/>
      <c r="AV302" s="31"/>
      <c r="AW302" s="31"/>
      <c r="AX302" s="16">
        <f t="shared" si="36"/>
        <v>0.1875</v>
      </c>
      <c r="AY302" s="156">
        <v>200</v>
      </c>
      <c r="AZ302" s="76">
        <v>100</v>
      </c>
      <c r="BA302" s="31"/>
      <c r="BB302" s="422"/>
      <c r="BC302" s="31"/>
      <c r="BD302" s="16">
        <f t="shared" si="42"/>
        <v>0.5</v>
      </c>
      <c r="BE302" s="31"/>
      <c r="BF302" s="31"/>
      <c r="BG302" s="31"/>
      <c r="BH302" s="31"/>
      <c r="BI302" s="16"/>
      <c r="BJ302" s="16"/>
      <c r="BK302" s="31"/>
      <c r="BL302" s="31"/>
      <c r="BM302" s="31"/>
      <c r="BN302" s="31"/>
      <c r="BO302" s="16"/>
      <c r="BP302" s="31"/>
      <c r="BQ302" s="31"/>
      <c r="BR302" s="31"/>
      <c r="BS302" s="31"/>
      <c r="BT302" s="16"/>
      <c r="BU302" s="16"/>
      <c r="BV302" s="16"/>
      <c r="BW302" s="16"/>
      <c r="BX302" s="16"/>
      <c r="BY302" s="16"/>
      <c r="BZ302" s="16"/>
      <c r="CA302" s="1"/>
      <c r="CB302" s="1"/>
      <c r="CC302" s="1"/>
    </row>
    <row r="303" spans="1:81" s="52" customFormat="1" ht="99" customHeight="1" x14ac:dyDescent="0.25">
      <c r="A303" s="1">
        <v>2</v>
      </c>
      <c r="B303" s="13" t="s">
        <v>1747</v>
      </c>
      <c r="C303" s="572"/>
      <c r="D303" s="573"/>
      <c r="E303" s="10" t="s">
        <v>347</v>
      </c>
      <c r="F303" s="13" t="s">
        <v>1080</v>
      </c>
      <c r="G303" s="572"/>
      <c r="H303" s="573"/>
      <c r="I303" s="10" t="s">
        <v>1087</v>
      </c>
      <c r="J303" s="13" t="s">
        <v>1088</v>
      </c>
      <c r="K303" s="572"/>
      <c r="L303" s="573"/>
      <c r="M303" s="13"/>
      <c r="N303" s="13" t="s">
        <v>1089</v>
      </c>
      <c r="O303" s="13" t="s">
        <v>1089</v>
      </c>
      <c r="P303" s="1" t="s">
        <v>55</v>
      </c>
      <c r="Q303" s="26">
        <v>0.05</v>
      </c>
      <c r="R303" s="14"/>
      <c r="S303" s="13" t="s">
        <v>1092</v>
      </c>
      <c r="T303" s="13" t="s">
        <v>1092</v>
      </c>
      <c r="U303" s="10">
        <v>400</v>
      </c>
      <c r="V303" s="10">
        <v>1000</v>
      </c>
      <c r="W303" s="1" t="s">
        <v>203</v>
      </c>
      <c r="X303" s="1"/>
      <c r="Y303" s="1" t="s">
        <v>893</v>
      </c>
      <c r="Z303" s="1" t="s">
        <v>894</v>
      </c>
      <c r="AA303" s="13" t="s">
        <v>1085</v>
      </c>
      <c r="AB303" s="10" t="s">
        <v>1763</v>
      </c>
      <c r="AC303" s="156">
        <v>50</v>
      </c>
      <c r="AD303" s="156">
        <v>300</v>
      </c>
      <c r="AE303" s="156">
        <v>500</v>
      </c>
      <c r="AF303" s="156">
        <v>150</v>
      </c>
      <c r="AG303" s="377">
        <f t="shared" si="41"/>
        <v>1000</v>
      </c>
      <c r="AH303" s="377" t="b">
        <f t="shared" si="38"/>
        <v>1</v>
      </c>
      <c r="AI303" s="10">
        <v>30</v>
      </c>
      <c r="AJ303" s="10">
        <v>50</v>
      </c>
      <c r="AK303" s="10">
        <v>50</v>
      </c>
      <c r="AL303" s="10">
        <v>50</v>
      </c>
      <c r="AM303" s="16">
        <f t="shared" si="39"/>
        <v>0.05</v>
      </c>
      <c r="AN303" s="156">
        <v>50</v>
      </c>
      <c r="AO303" s="1">
        <v>30</v>
      </c>
      <c r="AP303" s="1">
        <v>50</v>
      </c>
      <c r="AQ303" s="1"/>
      <c r="AR303" s="1">
        <f t="shared" si="45"/>
        <v>50</v>
      </c>
      <c r="AS303" s="21">
        <f t="shared" si="46"/>
        <v>1</v>
      </c>
      <c r="AT303" s="1">
        <f t="shared" si="40"/>
        <v>125</v>
      </c>
      <c r="AU303" s="31"/>
      <c r="AV303" s="31"/>
      <c r="AW303" s="31"/>
      <c r="AX303" s="16">
        <f t="shared" si="36"/>
        <v>0.125</v>
      </c>
      <c r="AY303" s="156">
        <v>300</v>
      </c>
      <c r="AZ303" s="332">
        <f>75</f>
        <v>75</v>
      </c>
      <c r="BA303" s="422"/>
      <c r="BB303" s="31"/>
      <c r="BD303" s="16">
        <f t="shared" si="42"/>
        <v>0.25</v>
      </c>
      <c r="BE303" s="31"/>
      <c r="BF303" s="31"/>
      <c r="BG303" s="31"/>
      <c r="BH303" s="31"/>
      <c r="BI303" s="16"/>
      <c r="BJ303" s="16"/>
      <c r="BK303" s="31"/>
      <c r="BL303" s="31"/>
      <c r="BM303" s="31"/>
      <c r="BN303" s="31"/>
      <c r="BO303" s="16"/>
      <c r="BP303" s="31"/>
      <c r="BQ303" s="31"/>
      <c r="BR303" s="31"/>
      <c r="BS303" s="31"/>
      <c r="BT303" s="16"/>
      <c r="BU303" s="16"/>
      <c r="BV303" s="16"/>
      <c r="BW303" s="16"/>
      <c r="BX303" s="16"/>
      <c r="BY303" s="16"/>
      <c r="BZ303" s="16"/>
      <c r="CA303" s="1"/>
      <c r="CB303" s="1"/>
      <c r="CC303" s="1"/>
    </row>
    <row r="304" spans="1:81" s="52" customFormat="1" ht="84" customHeight="1" x14ac:dyDescent="0.25">
      <c r="A304" s="1">
        <v>2</v>
      </c>
      <c r="B304" s="13" t="s">
        <v>1747</v>
      </c>
      <c r="C304" s="572"/>
      <c r="D304" s="573"/>
      <c r="E304" s="10" t="s">
        <v>347</v>
      </c>
      <c r="F304" s="13" t="s">
        <v>1080</v>
      </c>
      <c r="G304" s="572"/>
      <c r="H304" s="573"/>
      <c r="I304" s="10" t="s">
        <v>1087</v>
      </c>
      <c r="J304" s="13" t="s">
        <v>1088</v>
      </c>
      <c r="K304" s="572"/>
      <c r="L304" s="573"/>
      <c r="M304" s="13"/>
      <c r="N304" s="13" t="s">
        <v>1089</v>
      </c>
      <c r="O304" s="13" t="s">
        <v>1089</v>
      </c>
      <c r="P304" s="1" t="s">
        <v>55</v>
      </c>
      <c r="Q304" s="26">
        <v>0.05</v>
      </c>
      <c r="R304" s="14"/>
      <c r="S304" s="13" t="s">
        <v>1093</v>
      </c>
      <c r="T304" s="13" t="s">
        <v>1093</v>
      </c>
      <c r="U304" s="10">
        <v>0</v>
      </c>
      <c r="V304" s="10">
        <v>20</v>
      </c>
      <c r="W304" s="1" t="s">
        <v>203</v>
      </c>
      <c r="X304" s="1"/>
      <c r="Y304" s="1" t="s">
        <v>893</v>
      </c>
      <c r="Z304" s="1" t="s">
        <v>894</v>
      </c>
      <c r="AA304" s="13" t="s">
        <v>1085</v>
      </c>
      <c r="AB304" s="10" t="s">
        <v>1763</v>
      </c>
      <c r="AC304" s="156">
        <v>1</v>
      </c>
      <c r="AD304" s="156">
        <v>5</v>
      </c>
      <c r="AE304" s="156">
        <v>10</v>
      </c>
      <c r="AF304" s="156">
        <v>4</v>
      </c>
      <c r="AG304" s="377">
        <f t="shared" si="41"/>
        <v>20</v>
      </c>
      <c r="AH304" s="377" t="b">
        <f t="shared" si="38"/>
        <v>1</v>
      </c>
      <c r="AI304" s="10">
        <v>0</v>
      </c>
      <c r="AJ304" s="10">
        <v>1</v>
      </c>
      <c r="AK304" s="10">
        <v>1</v>
      </c>
      <c r="AL304" s="10">
        <v>1</v>
      </c>
      <c r="AM304" s="16">
        <f t="shared" si="39"/>
        <v>0.05</v>
      </c>
      <c r="AN304" s="156">
        <v>1</v>
      </c>
      <c r="AO304" s="1">
        <v>0</v>
      </c>
      <c r="AP304" s="1">
        <v>1</v>
      </c>
      <c r="AQ304" s="1"/>
      <c r="AR304" s="1">
        <f t="shared" si="45"/>
        <v>1</v>
      </c>
      <c r="AS304" s="21">
        <f t="shared" si="46"/>
        <v>1</v>
      </c>
      <c r="AT304" s="1">
        <f t="shared" si="40"/>
        <v>4</v>
      </c>
      <c r="AU304" s="31"/>
      <c r="AV304" s="31"/>
      <c r="AW304" s="31"/>
      <c r="AX304" s="16">
        <f t="shared" si="36"/>
        <v>0.2</v>
      </c>
      <c r="AY304" s="156">
        <v>5</v>
      </c>
      <c r="AZ304" s="332">
        <v>3</v>
      </c>
      <c r="BA304" s="422"/>
      <c r="BB304" s="31"/>
      <c r="BC304" s="31"/>
      <c r="BD304" s="16">
        <f t="shared" si="42"/>
        <v>0.6</v>
      </c>
      <c r="BE304" s="31"/>
      <c r="BF304" s="31"/>
      <c r="BG304" s="31"/>
      <c r="BH304" s="31"/>
      <c r="BI304" s="16"/>
      <c r="BJ304" s="16"/>
      <c r="BK304" s="31"/>
      <c r="BL304" s="31"/>
      <c r="BM304" s="31"/>
      <c r="BN304" s="31"/>
      <c r="BO304" s="16"/>
      <c r="BP304" s="31"/>
      <c r="BQ304" s="31"/>
      <c r="BR304" s="31"/>
      <c r="BS304" s="31"/>
      <c r="BT304" s="16"/>
      <c r="BU304" s="16"/>
      <c r="BV304" s="16"/>
      <c r="BW304" s="16"/>
      <c r="BX304" s="16"/>
      <c r="BY304" s="16"/>
      <c r="BZ304" s="16"/>
      <c r="CA304" s="1"/>
      <c r="CB304" s="1"/>
      <c r="CC304" s="1"/>
    </row>
    <row r="305" spans="1:81" s="52" customFormat="1" ht="93.75" customHeight="1" x14ac:dyDescent="0.25">
      <c r="A305" s="1">
        <v>2</v>
      </c>
      <c r="B305" s="13" t="s">
        <v>1747</v>
      </c>
      <c r="C305" s="572"/>
      <c r="D305" s="573"/>
      <c r="E305" s="10" t="s">
        <v>347</v>
      </c>
      <c r="F305" s="13" t="s">
        <v>1080</v>
      </c>
      <c r="G305" s="572"/>
      <c r="H305" s="573"/>
      <c r="I305" s="10" t="s">
        <v>1087</v>
      </c>
      <c r="J305" s="13" t="s">
        <v>1088</v>
      </c>
      <c r="K305" s="572"/>
      <c r="L305" s="573"/>
      <c r="M305" s="13"/>
      <c r="N305" s="13" t="s">
        <v>1089</v>
      </c>
      <c r="O305" s="13" t="s">
        <v>1089</v>
      </c>
      <c r="P305" s="1" t="s">
        <v>55</v>
      </c>
      <c r="Q305" s="26">
        <v>0.05</v>
      </c>
      <c r="R305" s="14"/>
      <c r="S305" s="13" t="s">
        <v>1094</v>
      </c>
      <c r="T305" s="13" t="s">
        <v>1094</v>
      </c>
      <c r="U305" s="10">
        <v>0</v>
      </c>
      <c r="V305" s="10">
        <v>300</v>
      </c>
      <c r="W305" s="1" t="s">
        <v>203</v>
      </c>
      <c r="X305" s="1"/>
      <c r="Y305" s="1" t="s">
        <v>893</v>
      </c>
      <c r="Z305" s="1" t="s">
        <v>894</v>
      </c>
      <c r="AA305" s="13" t="s">
        <v>1085</v>
      </c>
      <c r="AB305" s="10" t="s">
        <v>1763</v>
      </c>
      <c r="AC305" s="156">
        <v>20</v>
      </c>
      <c r="AD305" s="156">
        <v>70</v>
      </c>
      <c r="AE305" s="156">
        <v>180</v>
      </c>
      <c r="AF305" s="156">
        <v>30</v>
      </c>
      <c r="AG305" s="377">
        <f t="shared" si="41"/>
        <v>300</v>
      </c>
      <c r="AH305" s="377" t="b">
        <f t="shared" si="38"/>
        <v>1</v>
      </c>
      <c r="AI305" s="10">
        <v>12</v>
      </c>
      <c r="AJ305" s="10">
        <v>16</v>
      </c>
      <c r="AK305" s="10">
        <v>16</v>
      </c>
      <c r="AL305" s="10">
        <v>16</v>
      </c>
      <c r="AM305" s="16">
        <f t="shared" si="39"/>
        <v>5.3333333333333337E-2</v>
      </c>
      <c r="AN305" s="156">
        <v>20</v>
      </c>
      <c r="AO305" s="1">
        <v>12</v>
      </c>
      <c r="AP305" s="1">
        <v>16</v>
      </c>
      <c r="AQ305" s="1"/>
      <c r="AR305" s="1">
        <f t="shared" si="45"/>
        <v>16</v>
      </c>
      <c r="AS305" s="21">
        <f t="shared" si="46"/>
        <v>0.8</v>
      </c>
      <c r="AT305" s="1">
        <f t="shared" si="40"/>
        <v>66</v>
      </c>
      <c r="AU305" s="31"/>
      <c r="AV305" s="31"/>
      <c r="AW305" s="31"/>
      <c r="AX305" s="16">
        <f t="shared" si="36"/>
        <v>0.22</v>
      </c>
      <c r="AY305" s="156">
        <v>70</v>
      </c>
      <c r="AZ305" s="76">
        <v>50</v>
      </c>
      <c r="BA305" s="422"/>
      <c r="BB305" s="31"/>
      <c r="BC305" s="31"/>
      <c r="BD305" s="16">
        <f t="shared" si="42"/>
        <v>0.7142857142857143</v>
      </c>
      <c r="BE305" s="31"/>
      <c r="BF305" s="31"/>
      <c r="BG305" s="31"/>
      <c r="BH305" s="31"/>
      <c r="BI305" s="16"/>
      <c r="BJ305" s="16"/>
      <c r="BK305" s="31"/>
      <c r="BL305" s="31"/>
      <c r="BM305" s="31"/>
      <c r="BN305" s="31"/>
      <c r="BO305" s="16"/>
      <c r="BP305" s="31"/>
      <c r="BQ305" s="31"/>
      <c r="BR305" s="31"/>
      <c r="BS305" s="31"/>
      <c r="BT305" s="16"/>
      <c r="BU305" s="16"/>
      <c r="BV305" s="16"/>
      <c r="BW305" s="16"/>
      <c r="BX305" s="16"/>
      <c r="BY305" s="16"/>
      <c r="BZ305" s="16"/>
      <c r="CA305" s="1"/>
      <c r="CB305" s="1"/>
      <c r="CC305" s="1"/>
    </row>
    <row r="306" spans="1:81" s="52" customFormat="1" ht="111.75" customHeight="1" x14ac:dyDescent="0.25">
      <c r="A306" s="1">
        <v>2</v>
      </c>
      <c r="B306" s="13" t="s">
        <v>1747</v>
      </c>
      <c r="C306" s="572"/>
      <c r="D306" s="573"/>
      <c r="E306" s="10" t="s">
        <v>347</v>
      </c>
      <c r="F306" s="13" t="s">
        <v>1080</v>
      </c>
      <c r="G306" s="572"/>
      <c r="H306" s="573"/>
      <c r="I306" s="10" t="s">
        <v>1087</v>
      </c>
      <c r="J306" s="13" t="s">
        <v>1088</v>
      </c>
      <c r="K306" s="572"/>
      <c r="L306" s="573"/>
      <c r="M306" s="13"/>
      <c r="N306" s="13" t="s">
        <v>1089</v>
      </c>
      <c r="O306" s="13" t="s">
        <v>1089</v>
      </c>
      <c r="P306" s="1" t="s">
        <v>55</v>
      </c>
      <c r="Q306" s="26">
        <v>0.05</v>
      </c>
      <c r="R306" s="14"/>
      <c r="S306" s="13" t="s">
        <v>1095</v>
      </c>
      <c r="T306" s="13" t="s">
        <v>1095</v>
      </c>
      <c r="U306" s="10">
        <v>0</v>
      </c>
      <c r="V306" s="10">
        <v>50</v>
      </c>
      <c r="W306" s="1" t="s">
        <v>203</v>
      </c>
      <c r="X306" s="10" t="s">
        <v>1096</v>
      </c>
      <c r="Y306" s="1" t="s">
        <v>893</v>
      </c>
      <c r="Z306" s="1" t="s">
        <v>894</v>
      </c>
      <c r="AA306" s="13" t="s">
        <v>1085</v>
      </c>
      <c r="AB306" s="10" t="s">
        <v>1763</v>
      </c>
      <c r="AC306" s="156">
        <v>5</v>
      </c>
      <c r="AD306" s="156">
        <v>10</v>
      </c>
      <c r="AE306" s="156">
        <v>30</v>
      </c>
      <c r="AF306" s="156">
        <v>5</v>
      </c>
      <c r="AG306" s="377">
        <f t="shared" si="41"/>
        <v>50</v>
      </c>
      <c r="AH306" s="377" t="b">
        <f t="shared" si="38"/>
        <v>1</v>
      </c>
      <c r="AI306" s="10">
        <v>2</v>
      </c>
      <c r="AJ306" s="10">
        <v>3</v>
      </c>
      <c r="AK306" s="10">
        <v>3</v>
      </c>
      <c r="AL306" s="10">
        <v>3</v>
      </c>
      <c r="AM306" s="16">
        <f t="shared" si="39"/>
        <v>0.06</v>
      </c>
      <c r="AN306" s="156">
        <v>5</v>
      </c>
      <c r="AO306" s="1">
        <v>2</v>
      </c>
      <c r="AP306" s="1">
        <v>3</v>
      </c>
      <c r="AQ306" s="1"/>
      <c r="AR306" s="1">
        <f t="shared" si="45"/>
        <v>3</v>
      </c>
      <c r="AS306" s="21">
        <f t="shared" si="46"/>
        <v>0.6</v>
      </c>
      <c r="AT306" s="1">
        <f t="shared" si="40"/>
        <v>3</v>
      </c>
      <c r="AU306" s="31"/>
      <c r="AV306" s="31"/>
      <c r="AW306" s="31"/>
      <c r="AX306" s="16">
        <f t="shared" si="36"/>
        <v>0.06</v>
      </c>
      <c r="AY306" s="156">
        <v>10</v>
      </c>
      <c r="AZ306" s="76"/>
      <c r="BA306" s="31"/>
      <c r="BB306" s="31"/>
      <c r="BC306" s="31"/>
      <c r="BD306" s="16">
        <f t="shared" si="42"/>
        <v>0</v>
      </c>
      <c r="BE306" s="31"/>
      <c r="BF306" s="31"/>
      <c r="BG306" s="31"/>
      <c r="BH306" s="31"/>
      <c r="BI306" s="16"/>
      <c r="BJ306" s="16"/>
      <c r="BK306" s="31"/>
      <c r="BL306" s="31"/>
      <c r="BM306" s="31"/>
      <c r="BN306" s="31"/>
      <c r="BO306" s="16"/>
      <c r="BP306" s="31"/>
      <c r="BQ306" s="31"/>
      <c r="BR306" s="31"/>
      <c r="BS306" s="31"/>
      <c r="BT306" s="16"/>
      <c r="BU306" s="16"/>
      <c r="BV306" s="16"/>
      <c r="BW306" s="16"/>
      <c r="BX306" s="16"/>
      <c r="BY306" s="16"/>
      <c r="BZ306" s="16"/>
      <c r="CA306" s="1"/>
      <c r="CB306" s="1"/>
      <c r="CC306" s="1"/>
    </row>
    <row r="307" spans="1:81" s="52" customFormat="1" ht="94.5" customHeight="1" x14ac:dyDescent="0.25">
      <c r="A307" s="1">
        <v>2</v>
      </c>
      <c r="B307" s="13" t="s">
        <v>1747</v>
      </c>
      <c r="C307" s="572"/>
      <c r="D307" s="573"/>
      <c r="E307" s="10" t="s">
        <v>347</v>
      </c>
      <c r="F307" s="13" t="s">
        <v>1080</v>
      </c>
      <c r="G307" s="572"/>
      <c r="H307" s="573"/>
      <c r="I307" s="10" t="s">
        <v>1087</v>
      </c>
      <c r="J307" s="13" t="s">
        <v>1088</v>
      </c>
      <c r="K307" s="568"/>
      <c r="L307" s="570"/>
      <c r="M307" s="13"/>
      <c r="N307" s="13" t="s">
        <v>1089</v>
      </c>
      <c r="O307" s="13" t="s">
        <v>1089</v>
      </c>
      <c r="P307" s="1" t="s">
        <v>55</v>
      </c>
      <c r="Q307" s="26">
        <v>0.05</v>
      </c>
      <c r="R307" s="14"/>
      <c r="S307" s="13" t="s">
        <v>1097</v>
      </c>
      <c r="T307" s="13" t="s">
        <v>1097</v>
      </c>
      <c r="U307" s="10">
        <v>0</v>
      </c>
      <c r="V307" s="10">
        <v>200</v>
      </c>
      <c r="W307" s="1" t="s">
        <v>203</v>
      </c>
      <c r="X307" s="10" t="s">
        <v>1098</v>
      </c>
      <c r="Y307" s="1" t="s">
        <v>893</v>
      </c>
      <c r="Z307" s="1" t="s">
        <v>894</v>
      </c>
      <c r="AA307" s="13" t="s">
        <v>1085</v>
      </c>
      <c r="AB307" s="10" t="s">
        <v>1763</v>
      </c>
      <c r="AC307" s="156">
        <v>10</v>
      </c>
      <c r="AD307" s="108"/>
      <c r="AE307" s="156">
        <v>100</v>
      </c>
      <c r="AF307" s="156">
        <v>50</v>
      </c>
      <c r="AG307" s="377">
        <f t="shared" si="41"/>
        <v>160</v>
      </c>
      <c r="AH307" s="377" t="b">
        <f t="shared" si="38"/>
        <v>0</v>
      </c>
      <c r="AI307" s="10">
        <v>0</v>
      </c>
      <c r="AJ307" s="10">
        <v>0</v>
      </c>
      <c r="AK307" s="10">
        <v>0</v>
      </c>
      <c r="AL307" s="10">
        <v>0</v>
      </c>
      <c r="AM307" s="16">
        <f t="shared" si="39"/>
        <v>0</v>
      </c>
      <c r="AN307" s="156">
        <v>10</v>
      </c>
      <c r="AO307" s="1">
        <v>0</v>
      </c>
      <c r="AP307" s="1">
        <v>0</v>
      </c>
      <c r="AQ307" s="1"/>
      <c r="AR307" s="1">
        <f t="shared" si="45"/>
        <v>0</v>
      </c>
      <c r="AS307" s="21">
        <f t="shared" si="46"/>
        <v>0</v>
      </c>
      <c r="AT307" s="1">
        <f t="shared" si="40"/>
        <v>0</v>
      </c>
      <c r="AU307" s="31"/>
      <c r="AV307" s="31"/>
      <c r="AW307" s="31"/>
      <c r="AX307" s="16">
        <f t="shared" si="36"/>
        <v>0</v>
      </c>
      <c r="AY307" s="108" t="s">
        <v>310</v>
      </c>
      <c r="AZ307" s="76"/>
      <c r="BA307" s="31"/>
      <c r="BB307" s="31"/>
      <c r="BC307" s="31"/>
      <c r="BD307" s="16" t="str">
        <f t="shared" si="42"/>
        <v>NP</v>
      </c>
      <c r="BE307" s="31"/>
      <c r="BF307" s="31"/>
      <c r="BG307" s="31"/>
      <c r="BH307" s="31"/>
      <c r="BI307" s="16"/>
      <c r="BJ307" s="16"/>
      <c r="BK307" s="31"/>
      <c r="BL307" s="31"/>
      <c r="BM307" s="31"/>
      <c r="BN307" s="31"/>
      <c r="BO307" s="16"/>
      <c r="BP307" s="31"/>
      <c r="BQ307" s="31"/>
      <c r="BR307" s="31"/>
      <c r="BS307" s="31"/>
      <c r="BT307" s="16"/>
      <c r="BU307" s="16"/>
      <c r="BV307" s="16"/>
      <c r="BW307" s="16"/>
      <c r="BX307" s="16"/>
      <c r="BY307" s="16"/>
      <c r="BZ307" s="16"/>
      <c r="CA307" s="1"/>
      <c r="CB307" s="1"/>
      <c r="CC307" s="1"/>
    </row>
    <row r="308" spans="1:81" s="52" customFormat="1" ht="98.25" customHeight="1" x14ac:dyDescent="0.25">
      <c r="A308" s="1">
        <v>2</v>
      </c>
      <c r="B308" s="13" t="s">
        <v>1747</v>
      </c>
      <c r="C308" s="572"/>
      <c r="D308" s="573"/>
      <c r="E308" s="10" t="s">
        <v>347</v>
      </c>
      <c r="F308" s="13" t="s">
        <v>1080</v>
      </c>
      <c r="G308" s="572"/>
      <c r="H308" s="573"/>
      <c r="I308" s="10" t="s">
        <v>1099</v>
      </c>
      <c r="J308" s="13" t="s">
        <v>1100</v>
      </c>
      <c r="K308" s="588">
        <f>AVERAGE(AX308:AX309)</f>
        <v>0.17857142857142858</v>
      </c>
      <c r="L308" s="589">
        <f>AVERAGE(BD308:BD309)</f>
        <v>0.5</v>
      </c>
      <c r="M308" s="13"/>
      <c r="N308" s="13" t="s">
        <v>1101</v>
      </c>
      <c r="O308" s="13" t="s">
        <v>1101</v>
      </c>
      <c r="P308" s="1">
        <v>25</v>
      </c>
      <c r="Q308" s="1">
        <v>350</v>
      </c>
      <c r="R308" s="24"/>
      <c r="S308" s="13" t="s">
        <v>1102</v>
      </c>
      <c r="T308" s="13" t="s">
        <v>1102</v>
      </c>
      <c r="U308" s="1">
        <v>25</v>
      </c>
      <c r="V308" s="1">
        <v>350</v>
      </c>
      <c r="W308" s="1" t="s">
        <v>203</v>
      </c>
      <c r="X308" s="10" t="s">
        <v>1103</v>
      </c>
      <c r="Y308" s="1" t="s">
        <v>893</v>
      </c>
      <c r="Z308" s="1" t="s">
        <v>894</v>
      </c>
      <c r="AA308" s="13" t="s">
        <v>1085</v>
      </c>
      <c r="AB308" s="10" t="s">
        <v>1763</v>
      </c>
      <c r="AC308" s="156">
        <v>20</v>
      </c>
      <c r="AD308" s="156">
        <v>100</v>
      </c>
      <c r="AE308" s="156">
        <v>200</v>
      </c>
      <c r="AF308" s="156">
        <v>30</v>
      </c>
      <c r="AG308" s="377">
        <f t="shared" si="41"/>
        <v>350</v>
      </c>
      <c r="AH308" s="377" t="b">
        <f t="shared" si="38"/>
        <v>1</v>
      </c>
      <c r="AI308" s="1">
        <v>10</v>
      </c>
      <c r="AJ308" s="1">
        <v>20</v>
      </c>
      <c r="AK308" s="1">
        <v>20</v>
      </c>
      <c r="AL308" s="1">
        <v>20</v>
      </c>
      <c r="AM308" s="16">
        <f t="shared" si="39"/>
        <v>5.7142857142857141E-2</v>
      </c>
      <c r="AN308" s="156">
        <v>20</v>
      </c>
      <c r="AO308" s="1">
        <v>10</v>
      </c>
      <c r="AP308" s="1">
        <v>20</v>
      </c>
      <c r="AQ308" s="1"/>
      <c r="AR308" s="1">
        <f t="shared" si="45"/>
        <v>20</v>
      </c>
      <c r="AS308" s="21">
        <f t="shared" si="46"/>
        <v>1</v>
      </c>
      <c r="AT308" s="1">
        <f t="shared" si="40"/>
        <v>20</v>
      </c>
      <c r="AU308" s="31"/>
      <c r="AV308" s="31"/>
      <c r="AW308" s="31"/>
      <c r="AX308" s="16">
        <f t="shared" si="36"/>
        <v>5.7142857142857141E-2</v>
      </c>
      <c r="AY308" s="156">
        <v>100</v>
      </c>
      <c r="AZ308" s="371"/>
      <c r="BA308" s="426"/>
      <c r="BB308" s="31"/>
      <c r="BC308" s="31"/>
      <c r="BD308" s="16">
        <f t="shared" si="42"/>
        <v>0</v>
      </c>
      <c r="BE308" s="31"/>
      <c r="BF308" s="31"/>
      <c r="BG308" s="31"/>
      <c r="BH308" s="31"/>
      <c r="BI308" s="16"/>
      <c r="BJ308" s="16"/>
      <c r="BK308" s="31"/>
      <c r="BL308" s="31"/>
      <c r="BM308" s="31"/>
      <c r="BN308" s="31"/>
      <c r="BO308" s="16"/>
      <c r="BP308" s="31"/>
      <c r="BQ308" s="31"/>
      <c r="BR308" s="31"/>
      <c r="BS308" s="31"/>
      <c r="BT308" s="16"/>
      <c r="BU308" s="16"/>
      <c r="BV308" s="16"/>
      <c r="BW308" s="16"/>
      <c r="BX308" s="16"/>
      <c r="BY308" s="16"/>
      <c r="BZ308" s="16"/>
      <c r="CA308" s="1"/>
      <c r="CB308" s="1"/>
      <c r="CC308" s="1"/>
    </row>
    <row r="309" spans="1:81" s="52" customFormat="1" ht="102" customHeight="1" x14ac:dyDescent="0.25">
      <c r="A309" s="1">
        <v>2</v>
      </c>
      <c r="B309" s="13" t="s">
        <v>1747</v>
      </c>
      <c r="C309" s="572"/>
      <c r="D309" s="573"/>
      <c r="E309" s="10" t="s">
        <v>347</v>
      </c>
      <c r="F309" s="13" t="s">
        <v>1080</v>
      </c>
      <c r="G309" s="572"/>
      <c r="H309" s="573"/>
      <c r="I309" s="10" t="s">
        <v>1099</v>
      </c>
      <c r="J309" s="13" t="s">
        <v>1100</v>
      </c>
      <c r="K309" s="588"/>
      <c r="L309" s="589"/>
      <c r="M309" s="13"/>
      <c r="N309" s="13" t="s">
        <v>1101</v>
      </c>
      <c r="O309" s="13" t="s">
        <v>1101</v>
      </c>
      <c r="P309" s="1">
        <v>25</v>
      </c>
      <c r="Q309" s="1">
        <v>350</v>
      </c>
      <c r="R309" s="24"/>
      <c r="S309" s="13" t="s">
        <v>1104</v>
      </c>
      <c r="T309" s="13" t="s">
        <v>1104</v>
      </c>
      <c r="U309" s="1">
        <v>10</v>
      </c>
      <c r="V309" s="1">
        <v>50</v>
      </c>
      <c r="W309" s="1" t="s">
        <v>203</v>
      </c>
      <c r="X309" s="1"/>
      <c r="Y309" s="1" t="s">
        <v>893</v>
      </c>
      <c r="Z309" s="1" t="s">
        <v>894</v>
      </c>
      <c r="AA309" s="13" t="s">
        <v>1085</v>
      </c>
      <c r="AB309" s="10" t="s">
        <v>1763</v>
      </c>
      <c r="AC309" s="156">
        <v>5</v>
      </c>
      <c r="AD309" s="156">
        <v>10</v>
      </c>
      <c r="AE309" s="156">
        <v>30</v>
      </c>
      <c r="AF309" s="156">
        <v>5</v>
      </c>
      <c r="AG309" s="377">
        <f t="shared" ref="AG309:AG310" si="47">SUBTOTAL(9,AC309:AF309)</f>
        <v>50</v>
      </c>
      <c r="AH309" s="377" t="b">
        <f t="shared" ref="AH309:AH310" si="48">V309=AG309</f>
        <v>1</v>
      </c>
      <c r="AI309" s="1">
        <v>3</v>
      </c>
      <c r="AJ309" s="1">
        <v>5</v>
      </c>
      <c r="AK309" s="1">
        <v>5</v>
      </c>
      <c r="AL309" s="1">
        <v>5</v>
      </c>
      <c r="AM309" s="16">
        <f t="shared" ref="AM309:AM310" si="49">+AL309/V309</f>
        <v>0.1</v>
      </c>
      <c r="AN309" s="156">
        <v>5</v>
      </c>
      <c r="AO309" s="1">
        <f>AI309</f>
        <v>3</v>
      </c>
      <c r="AP309" s="1">
        <v>5</v>
      </c>
      <c r="AQ309" s="1"/>
      <c r="AR309" s="1">
        <f t="shared" ref="AR309:AR310" si="50">AL309</f>
        <v>5</v>
      </c>
      <c r="AS309" s="21">
        <f t="shared" ref="AS309:AS310" si="51">IFERROR(+AR309/AN309,0)</f>
        <v>1</v>
      </c>
      <c r="AT309" s="1">
        <f t="shared" si="40"/>
        <v>15</v>
      </c>
      <c r="AU309" s="31"/>
      <c r="AV309" s="31"/>
      <c r="AW309" s="31"/>
      <c r="AX309" s="16">
        <f t="shared" si="36"/>
        <v>0.3</v>
      </c>
      <c r="AY309" s="156">
        <v>10</v>
      </c>
      <c r="AZ309" s="371">
        <v>10</v>
      </c>
      <c r="BA309" s="426"/>
      <c r="BB309" s="31"/>
      <c r="BC309" s="31"/>
      <c r="BD309" s="16">
        <f t="shared" ref="BD309:BD310" si="52">IFERROR(IF((+AZ309/AY309)&gt;100%,100%,(+AZ309/AY309)),"NP")</f>
        <v>1</v>
      </c>
      <c r="BE309" s="31"/>
      <c r="BF309" s="31"/>
      <c r="BG309" s="31"/>
      <c r="BH309" s="31"/>
      <c r="BI309" s="16"/>
      <c r="BJ309" s="16"/>
      <c r="BK309" s="31"/>
      <c r="BL309" s="31"/>
      <c r="BM309" s="31"/>
      <c r="BN309" s="31"/>
      <c r="BO309" s="16"/>
      <c r="BP309" s="31"/>
      <c r="BQ309" s="31"/>
      <c r="BR309" s="31"/>
      <c r="BS309" s="31"/>
      <c r="BT309" s="16"/>
      <c r="BU309" s="16"/>
      <c r="BV309" s="16"/>
      <c r="BW309" s="16"/>
      <c r="BX309" s="16"/>
      <c r="BY309" s="16"/>
      <c r="BZ309" s="16"/>
      <c r="CA309" s="1"/>
      <c r="CB309" s="1"/>
      <c r="CC309" s="1"/>
    </row>
    <row r="310" spans="1:81" s="52" customFormat="1" ht="96" customHeight="1" x14ac:dyDescent="0.25">
      <c r="A310" s="1">
        <v>2</v>
      </c>
      <c r="B310" s="13" t="s">
        <v>1747</v>
      </c>
      <c r="C310" s="572"/>
      <c r="D310" s="573"/>
      <c r="E310" s="10" t="s">
        <v>347</v>
      </c>
      <c r="F310" s="13" t="s">
        <v>1080</v>
      </c>
      <c r="G310" s="572"/>
      <c r="H310" s="573"/>
      <c r="I310" s="10" t="s">
        <v>1105</v>
      </c>
      <c r="J310" s="13" t="s">
        <v>1106</v>
      </c>
      <c r="K310" s="458">
        <f>AX310</f>
        <v>0.03</v>
      </c>
      <c r="L310" s="459">
        <f>BD310</f>
        <v>0.1</v>
      </c>
      <c r="M310" s="13"/>
      <c r="N310" s="13" t="s">
        <v>1107</v>
      </c>
      <c r="O310" s="13" t="s">
        <v>1107</v>
      </c>
      <c r="P310" s="1">
        <v>0</v>
      </c>
      <c r="Q310" s="1">
        <v>200</v>
      </c>
      <c r="R310" s="24"/>
      <c r="S310" s="312" t="s">
        <v>1108</v>
      </c>
      <c r="T310" s="13" t="s">
        <v>1108</v>
      </c>
      <c r="U310" s="108">
        <v>0</v>
      </c>
      <c r="V310" s="108">
        <v>200</v>
      </c>
      <c r="W310" s="108" t="s">
        <v>203</v>
      </c>
      <c r="X310" s="10" t="s">
        <v>1109</v>
      </c>
      <c r="Y310" s="1" t="s">
        <v>893</v>
      </c>
      <c r="Z310" s="1" t="s">
        <v>894</v>
      </c>
      <c r="AA310" s="13" t="s">
        <v>1085</v>
      </c>
      <c r="AB310" s="133" t="s">
        <v>1763</v>
      </c>
      <c r="AC310" s="156">
        <v>20</v>
      </c>
      <c r="AD310" s="156">
        <v>50</v>
      </c>
      <c r="AE310" s="156">
        <v>100</v>
      </c>
      <c r="AF310" s="156">
        <v>30</v>
      </c>
      <c r="AG310" s="377">
        <f t="shared" si="47"/>
        <v>200</v>
      </c>
      <c r="AH310" s="377" t="b">
        <f t="shared" si="48"/>
        <v>1</v>
      </c>
      <c r="AI310" s="1">
        <v>0</v>
      </c>
      <c r="AJ310" s="1">
        <v>0</v>
      </c>
      <c r="AK310" s="1">
        <v>1</v>
      </c>
      <c r="AL310" s="1">
        <v>1</v>
      </c>
      <c r="AM310" s="16">
        <f t="shared" si="49"/>
        <v>5.0000000000000001E-3</v>
      </c>
      <c r="AN310" s="156">
        <v>20</v>
      </c>
      <c r="AO310" s="1">
        <v>0</v>
      </c>
      <c r="AP310" s="1">
        <v>0</v>
      </c>
      <c r="AQ310" s="1"/>
      <c r="AR310" s="108">
        <f t="shared" si="50"/>
        <v>1</v>
      </c>
      <c r="AS310" s="191">
        <f t="shared" si="51"/>
        <v>0.05</v>
      </c>
      <c r="AT310" s="1">
        <f t="shared" si="40"/>
        <v>6</v>
      </c>
      <c r="AU310" s="31"/>
      <c r="AV310" s="31"/>
      <c r="AW310" s="31"/>
      <c r="AX310" s="16">
        <f t="shared" si="36"/>
        <v>0.03</v>
      </c>
      <c r="AY310" s="108">
        <v>50</v>
      </c>
      <c r="AZ310" s="1">
        <v>5</v>
      </c>
      <c r="BA310" s="31"/>
      <c r="BB310" s="31"/>
      <c r="BC310" s="31"/>
      <c r="BD310" s="16">
        <f t="shared" si="52"/>
        <v>0.1</v>
      </c>
      <c r="BE310" s="31"/>
      <c r="BF310" s="31"/>
      <c r="BG310" s="31"/>
      <c r="BH310" s="31"/>
      <c r="BI310" s="16"/>
      <c r="BJ310" s="16"/>
      <c r="BK310" s="31"/>
      <c r="BL310" s="31"/>
      <c r="BM310" s="31"/>
      <c r="BN310" s="31"/>
      <c r="BO310" s="16"/>
      <c r="BP310" s="31"/>
      <c r="BQ310" s="31"/>
      <c r="BR310" s="31"/>
      <c r="BS310" s="31"/>
      <c r="BT310" s="16"/>
      <c r="BU310" s="16"/>
      <c r="BV310" s="16"/>
      <c r="BW310" s="16"/>
      <c r="BX310" s="16"/>
      <c r="BY310" s="16"/>
      <c r="BZ310" s="16"/>
      <c r="CA310" s="1"/>
      <c r="CB310" s="1"/>
      <c r="CC310" s="1"/>
    </row>
    <row r="311" spans="1:81" s="52" customFormat="1" ht="62.25" customHeight="1" x14ac:dyDescent="0.25">
      <c r="A311" s="1">
        <v>2</v>
      </c>
      <c r="B311" s="13" t="s">
        <v>1747</v>
      </c>
      <c r="C311" s="572"/>
      <c r="D311" s="573"/>
      <c r="E311" s="10" t="s">
        <v>1110</v>
      </c>
      <c r="F311" s="13" t="s">
        <v>1111</v>
      </c>
      <c r="G311" s="567">
        <f>+AVERAGEIF(F14:F567,F311,AX14:AX567)</f>
        <v>0</v>
      </c>
      <c r="H311" s="569" t="str">
        <f>IFERROR(+AVERAGEIF(F14:F567,F311,BD14:BD567),"NP")</f>
        <v>NP</v>
      </c>
      <c r="I311" s="10" t="s">
        <v>1112</v>
      </c>
      <c r="J311" s="13" t="s">
        <v>1113</v>
      </c>
      <c r="K311" s="567">
        <f>AVERAGE(AX311:AX314)</f>
        <v>0</v>
      </c>
      <c r="L311" s="569" t="str">
        <f>IFERROR(AVERAGE(BD311:BD314),"NP")</f>
        <v>NP</v>
      </c>
      <c r="M311" s="23"/>
      <c r="N311" s="23" t="s">
        <v>1114</v>
      </c>
      <c r="O311" s="23" t="s">
        <v>1115</v>
      </c>
      <c r="P311" s="1">
        <v>74157</v>
      </c>
      <c r="Q311" s="1">
        <v>75757</v>
      </c>
      <c r="R311" s="40"/>
      <c r="S311" s="312" t="s">
        <v>1998</v>
      </c>
      <c r="T311" s="13" t="s">
        <v>1116</v>
      </c>
      <c r="U311" s="1">
        <v>0</v>
      </c>
      <c r="V311" s="1">
        <v>1</v>
      </c>
      <c r="W311" s="1" t="s">
        <v>971</v>
      </c>
      <c r="X311" s="1"/>
      <c r="Y311" s="1"/>
      <c r="Z311" s="1"/>
      <c r="AA311" s="24"/>
      <c r="AB311" s="10" t="s">
        <v>1763</v>
      </c>
      <c r="AC311" s="156"/>
      <c r="AD311" s="156"/>
      <c r="AE311" s="156"/>
      <c r="AF311" s="156"/>
      <c r="AG311" s="377">
        <f t="shared" si="41"/>
        <v>0</v>
      </c>
      <c r="AH311" s="377" t="b">
        <f t="shared" si="38"/>
        <v>0</v>
      </c>
      <c r="AI311" s="1"/>
      <c r="AJ311" s="1"/>
      <c r="AK311" s="1"/>
      <c r="AL311" s="1"/>
      <c r="AM311" s="16">
        <f t="shared" si="39"/>
        <v>0</v>
      </c>
      <c r="AN311" s="156"/>
      <c r="AO311" s="1"/>
      <c r="AP311" s="1"/>
      <c r="AQ311" s="1"/>
      <c r="AR311" s="1"/>
      <c r="AS311" s="21" t="s">
        <v>310</v>
      </c>
      <c r="AT311" s="1">
        <f t="shared" si="40"/>
        <v>0</v>
      </c>
      <c r="AU311" s="31"/>
      <c r="AV311" s="31"/>
      <c r="AW311" s="31"/>
      <c r="AX311" s="16">
        <f t="shared" si="36"/>
        <v>0</v>
      </c>
      <c r="AY311" s="156" t="s">
        <v>310</v>
      </c>
      <c r="AZ311" s="76"/>
      <c r="BA311" s="31"/>
      <c r="BB311" s="31"/>
      <c r="BC311" s="31"/>
      <c r="BD311" s="16" t="str">
        <f t="shared" si="42"/>
        <v>NP</v>
      </c>
      <c r="BE311" s="31"/>
      <c r="BF311" s="31"/>
      <c r="BG311" s="31"/>
      <c r="BH311" s="31"/>
      <c r="BI311" s="16"/>
      <c r="BJ311" s="16"/>
      <c r="BK311" s="31"/>
      <c r="BL311" s="31"/>
      <c r="BM311" s="31"/>
      <c r="BN311" s="31"/>
      <c r="BO311" s="16"/>
      <c r="BP311" s="31"/>
      <c r="BQ311" s="31"/>
      <c r="BR311" s="31"/>
      <c r="BS311" s="31"/>
      <c r="BT311" s="16"/>
      <c r="BU311" s="16"/>
      <c r="BV311" s="16"/>
      <c r="BW311" s="16"/>
      <c r="BX311" s="16"/>
      <c r="BY311" s="16"/>
      <c r="BZ311" s="16"/>
      <c r="CA311" s="1"/>
      <c r="CB311" s="1"/>
      <c r="CC311" s="1"/>
    </row>
    <row r="312" spans="1:81" s="52" customFormat="1" ht="78.75" x14ac:dyDescent="0.25">
      <c r="A312" s="1">
        <v>2</v>
      </c>
      <c r="B312" s="13" t="s">
        <v>1747</v>
      </c>
      <c r="C312" s="572"/>
      <c r="D312" s="573"/>
      <c r="E312" s="10" t="s">
        <v>1110</v>
      </c>
      <c r="F312" s="13" t="s">
        <v>1111</v>
      </c>
      <c r="G312" s="572"/>
      <c r="H312" s="573"/>
      <c r="I312" s="10" t="s">
        <v>1112</v>
      </c>
      <c r="J312" s="13" t="s">
        <v>1113</v>
      </c>
      <c r="K312" s="572"/>
      <c r="L312" s="573"/>
      <c r="M312" s="23"/>
      <c r="N312" s="23" t="s">
        <v>1114</v>
      </c>
      <c r="O312" s="23" t="s">
        <v>1115</v>
      </c>
      <c r="P312" s="1">
        <v>74157</v>
      </c>
      <c r="Q312" s="1">
        <v>75757</v>
      </c>
      <c r="R312" s="40"/>
      <c r="S312" s="13" t="s">
        <v>1117</v>
      </c>
      <c r="T312" s="13" t="s">
        <v>1117</v>
      </c>
      <c r="U312" s="1">
        <v>0</v>
      </c>
      <c r="V312" s="1">
        <v>600</v>
      </c>
      <c r="W312" s="1" t="s">
        <v>971</v>
      </c>
      <c r="X312" s="1"/>
      <c r="Y312" s="1"/>
      <c r="Z312" s="1"/>
      <c r="AA312" s="24"/>
      <c r="AB312" s="10" t="s">
        <v>1763</v>
      </c>
      <c r="AC312" s="371"/>
      <c r="AD312" s="108"/>
      <c r="AE312" s="371"/>
      <c r="AF312" s="371"/>
      <c r="AG312" s="377">
        <f t="shared" si="41"/>
        <v>0</v>
      </c>
      <c r="AH312" s="377" t="b">
        <f t="shared" si="38"/>
        <v>0</v>
      </c>
      <c r="AI312" s="1"/>
      <c r="AJ312" s="1"/>
      <c r="AK312" s="1"/>
      <c r="AL312" s="1"/>
      <c r="AM312" s="16">
        <f t="shared" si="39"/>
        <v>0</v>
      </c>
      <c r="AN312" s="156"/>
      <c r="AO312" s="1"/>
      <c r="AP312" s="1"/>
      <c r="AQ312" s="1"/>
      <c r="AR312" s="1"/>
      <c r="AS312" s="21" t="s">
        <v>310</v>
      </c>
      <c r="AT312" s="1">
        <f t="shared" si="40"/>
        <v>0</v>
      </c>
      <c r="AU312" s="31"/>
      <c r="AV312" s="31"/>
      <c r="AW312" s="31"/>
      <c r="AX312" s="16">
        <f t="shared" si="36"/>
        <v>0</v>
      </c>
      <c r="AY312" s="108" t="s">
        <v>310</v>
      </c>
      <c r="AZ312" s="108"/>
      <c r="BA312" s="191"/>
      <c r="BB312" s="191"/>
      <c r="BC312" s="31"/>
      <c r="BD312" s="16" t="str">
        <f t="shared" si="42"/>
        <v>NP</v>
      </c>
      <c r="BE312" s="31"/>
      <c r="BF312" s="31"/>
      <c r="BG312" s="31"/>
      <c r="BH312" s="31"/>
      <c r="BI312" s="16"/>
      <c r="BJ312" s="16"/>
      <c r="BK312" s="31"/>
      <c r="BL312" s="31"/>
      <c r="BM312" s="31"/>
      <c r="BN312" s="31"/>
      <c r="BO312" s="16"/>
      <c r="BP312" s="31"/>
      <c r="BQ312" s="31"/>
      <c r="BR312" s="31"/>
      <c r="BS312" s="31"/>
      <c r="BT312" s="16"/>
      <c r="BU312" s="16"/>
      <c r="BV312" s="16"/>
      <c r="BW312" s="16"/>
      <c r="BX312" s="16"/>
      <c r="BY312" s="16"/>
      <c r="BZ312" s="16"/>
      <c r="CA312" s="1"/>
      <c r="CB312" s="1"/>
      <c r="CC312" s="1"/>
    </row>
    <row r="313" spans="1:81" s="52" customFormat="1" ht="78.75" x14ac:dyDescent="0.25">
      <c r="A313" s="1">
        <v>2</v>
      </c>
      <c r="B313" s="13" t="s">
        <v>1747</v>
      </c>
      <c r="C313" s="572"/>
      <c r="D313" s="573"/>
      <c r="E313" s="10" t="s">
        <v>1110</v>
      </c>
      <c r="F313" s="13" t="s">
        <v>1111</v>
      </c>
      <c r="G313" s="572"/>
      <c r="H313" s="573"/>
      <c r="I313" s="10" t="s">
        <v>1112</v>
      </c>
      <c r="J313" s="13" t="s">
        <v>1113</v>
      </c>
      <c r="K313" s="572"/>
      <c r="L313" s="573"/>
      <c r="M313" s="23"/>
      <c r="N313" s="23" t="s">
        <v>1114</v>
      </c>
      <c r="O313" s="23" t="s">
        <v>1115</v>
      </c>
      <c r="P313" s="1">
        <v>74157</v>
      </c>
      <c r="Q313" s="1">
        <v>75757</v>
      </c>
      <c r="R313" s="40"/>
      <c r="S313" s="13" t="s">
        <v>1118</v>
      </c>
      <c r="T313" s="13" t="s">
        <v>1118</v>
      </c>
      <c r="U313" s="1">
        <v>0</v>
      </c>
      <c r="V313" s="1">
        <v>1000</v>
      </c>
      <c r="W313" s="1" t="s">
        <v>971</v>
      </c>
      <c r="X313" s="1"/>
      <c r="Y313" s="1"/>
      <c r="Z313" s="1"/>
      <c r="AA313" s="24"/>
      <c r="AB313" s="10" t="s">
        <v>1763</v>
      </c>
      <c r="AC313" s="371"/>
      <c r="AD313" s="156"/>
      <c r="AE313" s="371"/>
      <c r="AF313" s="371"/>
      <c r="AG313" s="377">
        <f t="shared" si="41"/>
        <v>0</v>
      </c>
      <c r="AH313" s="377" t="b">
        <f t="shared" si="38"/>
        <v>0</v>
      </c>
      <c r="AI313" s="1"/>
      <c r="AJ313" s="1"/>
      <c r="AK313" s="1"/>
      <c r="AL313" s="1"/>
      <c r="AM313" s="16">
        <f t="shared" si="39"/>
        <v>0</v>
      </c>
      <c r="AN313" s="156"/>
      <c r="AO313" s="1"/>
      <c r="AP313" s="1"/>
      <c r="AQ313" s="1"/>
      <c r="AR313" s="1"/>
      <c r="AS313" s="21" t="s">
        <v>310</v>
      </c>
      <c r="AT313" s="1">
        <f t="shared" si="40"/>
        <v>0</v>
      </c>
      <c r="AU313" s="31"/>
      <c r="AV313" s="31"/>
      <c r="AW313" s="31"/>
      <c r="AX313" s="16">
        <f t="shared" si="36"/>
        <v>0</v>
      </c>
      <c r="AY313" s="156" t="s">
        <v>310</v>
      </c>
      <c r="AZ313" s="332"/>
      <c r="BA313" s="31"/>
      <c r="BB313" s="31"/>
      <c r="BC313" s="31"/>
      <c r="BD313" s="16" t="str">
        <f t="shared" si="42"/>
        <v>NP</v>
      </c>
      <c r="BE313" s="31"/>
      <c r="BF313" s="31"/>
      <c r="BG313" s="31"/>
      <c r="BH313" s="31"/>
      <c r="BI313" s="16"/>
      <c r="BJ313" s="16"/>
      <c r="BK313" s="31"/>
      <c r="BL313" s="31"/>
      <c r="BM313" s="31"/>
      <c r="BN313" s="31"/>
      <c r="BO313" s="16"/>
      <c r="BP313" s="31"/>
      <c r="BQ313" s="31"/>
      <c r="BR313" s="31"/>
      <c r="BS313" s="31"/>
      <c r="BT313" s="16"/>
      <c r="BU313" s="16"/>
      <c r="BV313" s="16"/>
      <c r="BW313" s="16"/>
      <c r="BX313" s="16"/>
      <c r="BY313" s="16"/>
      <c r="BZ313" s="16"/>
      <c r="CA313" s="1"/>
      <c r="CB313" s="1"/>
      <c r="CC313" s="1"/>
    </row>
    <row r="314" spans="1:81" s="52" customFormat="1" ht="78.75" x14ac:dyDescent="0.25">
      <c r="A314" s="1">
        <v>2</v>
      </c>
      <c r="B314" s="13" t="s">
        <v>1747</v>
      </c>
      <c r="C314" s="568"/>
      <c r="D314" s="570"/>
      <c r="E314" s="10" t="s">
        <v>1110</v>
      </c>
      <c r="F314" s="13" t="s">
        <v>1111</v>
      </c>
      <c r="G314" s="568"/>
      <c r="H314" s="570"/>
      <c r="I314" s="10" t="s">
        <v>1112</v>
      </c>
      <c r="J314" s="13" t="s">
        <v>1113</v>
      </c>
      <c r="K314" s="568"/>
      <c r="L314" s="570"/>
      <c r="M314" s="23"/>
      <c r="N314" s="23" t="s">
        <v>1114</v>
      </c>
      <c r="O314" s="23" t="s">
        <v>1115</v>
      </c>
      <c r="P314" s="1">
        <v>74157</v>
      </c>
      <c r="Q314" s="1">
        <v>75757</v>
      </c>
      <c r="R314" s="40"/>
      <c r="S314" s="13" t="s">
        <v>1119</v>
      </c>
      <c r="T314" s="13" t="s">
        <v>1119</v>
      </c>
      <c r="U314" s="1">
        <v>0</v>
      </c>
      <c r="V314" s="1">
        <v>3</v>
      </c>
      <c r="W314" s="1" t="s">
        <v>971</v>
      </c>
      <c r="X314" s="1"/>
      <c r="Y314" s="1"/>
      <c r="Z314" s="1"/>
      <c r="AA314" s="24"/>
      <c r="AB314" s="10" t="s">
        <v>1763</v>
      </c>
      <c r="AC314" s="371"/>
      <c r="AD314" s="156"/>
      <c r="AE314" s="371"/>
      <c r="AF314" s="371"/>
      <c r="AG314" s="377">
        <f t="shared" si="41"/>
        <v>0</v>
      </c>
      <c r="AH314" s="377" t="b">
        <f t="shared" si="38"/>
        <v>0</v>
      </c>
      <c r="AI314" s="1"/>
      <c r="AJ314" s="1"/>
      <c r="AK314" s="1"/>
      <c r="AL314" s="1"/>
      <c r="AM314" s="16">
        <f t="shared" si="39"/>
        <v>0</v>
      </c>
      <c r="AN314" s="156"/>
      <c r="AO314" s="1"/>
      <c r="AP314" s="1"/>
      <c r="AQ314" s="1"/>
      <c r="AR314" s="1"/>
      <c r="AS314" s="21" t="s">
        <v>310</v>
      </c>
      <c r="AT314" s="1">
        <f t="shared" si="40"/>
        <v>0</v>
      </c>
      <c r="AU314" s="31"/>
      <c r="AV314" s="31"/>
      <c r="AW314" s="31"/>
      <c r="AX314" s="16">
        <f t="shared" si="36"/>
        <v>0</v>
      </c>
      <c r="AY314" s="156" t="s">
        <v>310</v>
      </c>
      <c r="AZ314" s="332"/>
      <c r="BA314" s="31"/>
      <c r="BB314" s="31"/>
      <c r="BC314" s="31"/>
      <c r="BD314" s="16" t="str">
        <f t="shared" si="42"/>
        <v>NP</v>
      </c>
      <c r="BE314" s="31"/>
      <c r="BF314" s="31"/>
      <c r="BG314" s="31"/>
      <c r="BH314" s="31"/>
      <c r="BI314" s="16"/>
      <c r="BJ314" s="16"/>
      <c r="BK314" s="31"/>
      <c r="BL314" s="31"/>
      <c r="BM314" s="31"/>
      <c r="BN314" s="31"/>
      <c r="BO314" s="16"/>
      <c r="BP314" s="31"/>
      <c r="BQ314" s="31"/>
      <c r="BR314" s="31"/>
      <c r="BS314" s="31"/>
      <c r="BT314" s="16"/>
      <c r="BU314" s="16"/>
      <c r="BV314" s="16"/>
      <c r="BW314" s="16"/>
      <c r="BX314" s="16"/>
      <c r="BY314" s="16"/>
      <c r="BZ314" s="16"/>
      <c r="CA314" s="1"/>
      <c r="CB314" s="1"/>
      <c r="CC314" s="1"/>
    </row>
    <row r="315" spans="1:81" s="52" customFormat="1" ht="63" x14ac:dyDescent="0.25">
      <c r="A315" s="1">
        <v>3</v>
      </c>
      <c r="B315" s="13" t="s">
        <v>1748</v>
      </c>
      <c r="C315" s="567">
        <f>+AVERAGEIF(B14:B567,B315,AM14:AM567)</f>
        <v>0.29150782013685239</v>
      </c>
      <c r="D315" s="569">
        <f>+AVERAGEIF(B14:B567,B315,AS14:AS567)</f>
        <v>0.8</v>
      </c>
      <c r="E315" s="10" t="s">
        <v>1120</v>
      </c>
      <c r="F315" s="13" t="s">
        <v>1121</v>
      </c>
      <c r="G315" s="567">
        <f>+AVERAGEIF(F14:F567,F315,AX14:AX567)</f>
        <v>0.2</v>
      </c>
      <c r="H315" s="569">
        <f>+AVERAGEIF(F14:F567,F315,BD14:BD567)</f>
        <v>0.5</v>
      </c>
      <c r="I315" s="10" t="s">
        <v>1122</v>
      </c>
      <c r="J315" s="13" t="s">
        <v>1123</v>
      </c>
      <c r="K315" s="567">
        <f>AVERAGE(AX315:AX319)</f>
        <v>0.2</v>
      </c>
      <c r="L315" s="569">
        <f>AVERAGE(BD315:BD319)</f>
        <v>0.5</v>
      </c>
      <c r="M315" s="23"/>
      <c r="N315" s="23" t="s">
        <v>1124</v>
      </c>
      <c r="O315" s="13" t="s">
        <v>1125</v>
      </c>
      <c r="P315" s="1">
        <v>0</v>
      </c>
      <c r="Q315" s="26">
        <v>1</v>
      </c>
      <c r="R315" s="14"/>
      <c r="S315" s="13" t="s">
        <v>1126</v>
      </c>
      <c r="T315" s="13" t="s">
        <v>1126</v>
      </c>
      <c r="U315" s="1">
        <v>0</v>
      </c>
      <c r="V315" s="10">
        <v>4</v>
      </c>
      <c r="W315" s="1" t="s">
        <v>971</v>
      </c>
      <c r="X315" s="1"/>
      <c r="Y315" s="10" t="s">
        <v>1127</v>
      </c>
      <c r="Z315" s="1" t="s">
        <v>1128</v>
      </c>
      <c r="AA315" s="13" t="s">
        <v>1129</v>
      </c>
      <c r="AB315" s="113" t="s">
        <v>1764</v>
      </c>
      <c r="AC315" s="159"/>
      <c r="AD315" s="156"/>
      <c r="AE315" s="156"/>
      <c r="AF315" s="156"/>
      <c r="AG315" s="377">
        <f t="shared" si="41"/>
        <v>0</v>
      </c>
      <c r="AH315" s="377" t="b">
        <f t="shared" si="38"/>
        <v>0</v>
      </c>
      <c r="AI315" s="10"/>
      <c r="AJ315" s="10"/>
      <c r="AK315" s="10"/>
      <c r="AL315" s="10"/>
      <c r="AM315" s="16">
        <f t="shared" si="39"/>
        <v>0</v>
      </c>
      <c r="AN315" s="159"/>
      <c r="AO315" s="10"/>
      <c r="AP315" s="10"/>
      <c r="AQ315" s="10"/>
      <c r="AR315" s="10"/>
      <c r="AS315" s="21" t="s">
        <v>310</v>
      </c>
      <c r="AT315" s="1">
        <f t="shared" si="40"/>
        <v>0</v>
      </c>
      <c r="AU315" s="31"/>
      <c r="AV315" s="31"/>
      <c r="AW315" s="31"/>
      <c r="AX315" s="16">
        <f t="shared" ref="AX315:AX378" si="53">IF(AT315/V315&gt;100%,100%,(AT315/V315))</f>
        <v>0</v>
      </c>
      <c r="AY315" s="156" t="s">
        <v>310</v>
      </c>
      <c r="AZ315" s="76"/>
      <c r="BA315" s="31"/>
      <c r="BB315" s="31"/>
      <c r="BC315" s="31"/>
      <c r="BD315" s="16" t="str">
        <f t="shared" si="42"/>
        <v>NP</v>
      </c>
      <c r="BE315" s="31"/>
      <c r="BF315" s="31"/>
      <c r="BG315" s="31"/>
      <c r="BH315" s="31"/>
      <c r="BI315" s="16"/>
      <c r="BJ315" s="16"/>
      <c r="BK315" s="31"/>
      <c r="BL315" s="31"/>
      <c r="BM315" s="31"/>
      <c r="BN315" s="31"/>
      <c r="BO315" s="16"/>
      <c r="BP315" s="31"/>
      <c r="BQ315" s="31"/>
      <c r="BR315" s="31"/>
      <c r="BS315" s="31"/>
      <c r="BT315" s="16"/>
      <c r="BU315" s="16"/>
      <c r="BV315" s="16"/>
      <c r="BW315" s="16"/>
      <c r="BX315" s="16"/>
      <c r="BY315" s="16"/>
      <c r="BZ315" s="16"/>
      <c r="CA315" s="1"/>
      <c r="CB315" s="1"/>
      <c r="CC315" s="1"/>
    </row>
    <row r="316" spans="1:81" s="52" customFormat="1" ht="84.4" customHeight="1" x14ac:dyDescent="0.25">
      <c r="A316" s="1">
        <v>3</v>
      </c>
      <c r="B316" s="13" t="s">
        <v>1748</v>
      </c>
      <c r="C316" s="572"/>
      <c r="D316" s="573"/>
      <c r="E316" s="10" t="s">
        <v>1120</v>
      </c>
      <c r="F316" s="13" t="s">
        <v>1121</v>
      </c>
      <c r="G316" s="572"/>
      <c r="H316" s="573"/>
      <c r="I316" s="10" t="s">
        <v>1122</v>
      </c>
      <c r="J316" s="13" t="s">
        <v>1123</v>
      </c>
      <c r="K316" s="572"/>
      <c r="L316" s="573"/>
      <c r="M316" s="23"/>
      <c r="N316" s="23" t="s">
        <v>1130</v>
      </c>
      <c r="O316" s="13" t="s">
        <v>1131</v>
      </c>
      <c r="P316" s="1">
        <v>0</v>
      </c>
      <c r="Q316" s="26">
        <v>1</v>
      </c>
      <c r="R316" s="14"/>
      <c r="S316" s="13" t="s">
        <v>1132</v>
      </c>
      <c r="T316" s="13" t="s">
        <v>1132</v>
      </c>
      <c r="U316" s="1">
        <v>0</v>
      </c>
      <c r="V316" s="10">
        <v>1</v>
      </c>
      <c r="W316" s="1" t="s">
        <v>971</v>
      </c>
      <c r="X316" s="1"/>
      <c r="Y316" s="10" t="s">
        <v>1133</v>
      </c>
      <c r="Z316" s="1" t="s">
        <v>1128</v>
      </c>
      <c r="AA316" s="13" t="s">
        <v>1134</v>
      </c>
      <c r="AB316" s="113" t="s">
        <v>1764</v>
      </c>
      <c r="AC316" s="159"/>
      <c r="AD316" s="156"/>
      <c r="AE316" s="156"/>
      <c r="AF316" s="156"/>
      <c r="AG316" s="377">
        <f t="shared" si="41"/>
        <v>0</v>
      </c>
      <c r="AH316" s="377" t="b">
        <f t="shared" si="38"/>
        <v>0</v>
      </c>
      <c r="AI316" s="19"/>
      <c r="AJ316" s="19"/>
      <c r="AK316" s="19"/>
      <c r="AL316" s="19"/>
      <c r="AM316" s="16">
        <f t="shared" si="39"/>
        <v>0</v>
      </c>
      <c r="AN316" s="159"/>
      <c r="AO316" s="19"/>
      <c r="AP316" s="10"/>
      <c r="AQ316" s="10"/>
      <c r="AR316" s="10"/>
      <c r="AS316" s="21" t="s">
        <v>310</v>
      </c>
      <c r="AT316" s="1">
        <f t="shared" si="40"/>
        <v>0</v>
      </c>
      <c r="AU316" s="31"/>
      <c r="AV316" s="31"/>
      <c r="AW316" s="31"/>
      <c r="AX316" s="16">
        <f t="shared" si="53"/>
        <v>0</v>
      </c>
      <c r="AY316" s="156" t="s">
        <v>310</v>
      </c>
      <c r="AZ316" s="76"/>
      <c r="BA316" s="31"/>
      <c r="BB316" s="31"/>
      <c r="BC316" s="31"/>
      <c r="BD316" s="16" t="str">
        <f t="shared" si="42"/>
        <v>NP</v>
      </c>
      <c r="BE316" s="31"/>
      <c r="BF316" s="31"/>
      <c r="BG316" s="31"/>
      <c r="BH316" s="31"/>
      <c r="BI316" s="16"/>
      <c r="BJ316" s="16"/>
      <c r="BK316" s="31"/>
      <c r="BL316" s="31"/>
      <c r="BM316" s="31"/>
      <c r="BN316" s="31"/>
      <c r="BO316" s="16"/>
      <c r="BP316" s="31"/>
      <c r="BQ316" s="31"/>
      <c r="BR316" s="31"/>
      <c r="BS316" s="31"/>
      <c r="BT316" s="16"/>
      <c r="BU316" s="16"/>
      <c r="BV316" s="16"/>
      <c r="BW316" s="16"/>
      <c r="BX316" s="16"/>
      <c r="BY316" s="16"/>
      <c r="BZ316" s="16"/>
      <c r="CA316" s="1"/>
      <c r="CB316" s="1"/>
      <c r="CC316" s="1"/>
    </row>
    <row r="317" spans="1:81" s="52" customFormat="1" ht="78.75" x14ac:dyDescent="0.25">
      <c r="A317" s="1">
        <v>3</v>
      </c>
      <c r="B317" s="13" t="s">
        <v>1748</v>
      </c>
      <c r="C317" s="572"/>
      <c r="D317" s="573"/>
      <c r="E317" s="10" t="s">
        <v>1120</v>
      </c>
      <c r="F317" s="13" t="s">
        <v>1121</v>
      </c>
      <c r="G317" s="572"/>
      <c r="H317" s="573"/>
      <c r="I317" s="10" t="s">
        <v>1122</v>
      </c>
      <c r="J317" s="13" t="s">
        <v>1123</v>
      </c>
      <c r="K317" s="572"/>
      <c r="L317" s="573"/>
      <c r="M317" s="23"/>
      <c r="N317" s="23" t="s">
        <v>1135</v>
      </c>
      <c r="O317" s="13" t="s">
        <v>1136</v>
      </c>
      <c r="P317" s="1">
        <v>0</v>
      </c>
      <c r="Q317" s="26">
        <v>1</v>
      </c>
      <c r="R317" s="14"/>
      <c r="S317" s="13" t="s">
        <v>1137</v>
      </c>
      <c r="T317" s="13" t="s">
        <v>1137</v>
      </c>
      <c r="U317" s="1">
        <v>0</v>
      </c>
      <c r="V317" s="10">
        <v>6</v>
      </c>
      <c r="W317" s="1" t="s">
        <v>971</v>
      </c>
      <c r="X317" s="1"/>
      <c r="Y317" s="10" t="s">
        <v>1127</v>
      </c>
      <c r="Z317" s="1" t="s">
        <v>1128</v>
      </c>
      <c r="AA317" s="13" t="s">
        <v>1129</v>
      </c>
      <c r="AB317" s="113" t="s">
        <v>1764</v>
      </c>
      <c r="AC317" s="316">
        <v>2</v>
      </c>
      <c r="AD317" s="156">
        <v>2</v>
      </c>
      <c r="AE317" s="156"/>
      <c r="AF317" s="156"/>
      <c r="AG317" s="377">
        <f t="shared" si="41"/>
        <v>4</v>
      </c>
      <c r="AH317" s="377" t="b">
        <f t="shared" si="38"/>
        <v>0</v>
      </c>
      <c r="AI317" s="25">
        <v>1</v>
      </c>
      <c r="AJ317" s="25">
        <v>1</v>
      </c>
      <c r="AK317" s="25">
        <v>4</v>
      </c>
      <c r="AL317" s="25">
        <v>4</v>
      </c>
      <c r="AM317" s="16">
        <f>+AL317/V317</f>
        <v>0.66666666666666663</v>
      </c>
      <c r="AN317" s="316">
        <v>2</v>
      </c>
      <c r="AO317" s="19">
        <v>1</v>
      </c>
      <c r="AP317" s="19">
        <v>1</v>
      </c>
      <c r="AQ317" s="19"/>
      <c r="AR317" s="19">
        <f>AL317</f>
        <v>4</v>
      </c>
      <c r="AS317" s="191">
        <v>1</v>
      </c>
      <c r="AT317" s="1">
        <f t="shared" si="40"/>
        <v>6</v>
      </c>
      <c r="AU317" s="31"/>
      <c r="AV317" s="31"/>
      <c r="AW317" s="31"/>
      <c r="AX317" s="16">
        <f t="shared" si="53"/>
        <v>1</v>
      </c>
      <c r="AY317" s="156">
        <v>2</v>
      </c>
      <c r="AZ317" s="76">
        <v>2</v>
      </c>
      <c r="BA317" s="31"/>
      <c r="BB317" s="31"/>
      <c r="BC317" s="31"/>
      <c r="BD317" s="16">
        <f t="shared" si="42"/>
        <v>1</v>
      </c>
      <c r="BE317" s="31"/>
      <c r="BF317" s="31"/>
      <c r="BG317" s="31"/>
      <c r="BH317" s="31"/>
      <c r="BI317" s="16"/>
      <c r="BJ317" s="16"/>
      <c r="BK317" s="31"/>
      <c r="BL317" s="31"/>
      <c r="BM317" s="31"/>
      <c r="BN317" s="31"/>
      <c r="BO317" s="16"/>
      <c r="BP317" s="31"/>
      <c r="BQ317" s="31"/>
      <c r="BR317" s="31"/>
      <c r="BS317" s="31"/>
      <c r="BT317" s="16"/>
      <c r="BU317" s="16"/>
      <c r="BV317" s="16"/>
      <c r="BW317" s="16"/>
      <c r="BX317" s="16"/>
      <c r="BY317" s="16"/>
      <c r="BZ317" s="16"/>
      <c r="CA317" s="1"/>
      <c r="CB317" s="1"/>
      <c r="CC317" s="1"/>
    </row>
    <row r="318" spans="1:81" s="52" customFormat="1" ht="63" x14ac:dyDescent="0.25">
      <c r="A318" s="1">
        <v>3</v>
      </c>
      <c r="B318" s="13" t="s">
        <v>1748</v>
      </c>
      <c r="C318" s="572"/>
      <c r="D318" s="573"/>
      <c r="E318" s="10" t="s">
        <v>1120</v>
      </c>
      <c r="F318" s="13" t="s">
        <v>1121</v>
      </c>
      <c r="G318" s="572"/>
      <c r="H318" s="573"/>
      <c r="I318" s="10" t="s">
        <v>1122</v>
      </c>
      <c r="J318" s="13" t="s">
        <v>1123</v>
      </c>
      <c r="K318" s="572"/>
      <c r="L318" s="573"/>
      <c r="M318" s="23"/>
      <c r="N318" s="23" t="s">
        <v>1138</v>
      </c>
      <c r="O318" s="13" t="s">
        <v>1139</v>
      </c>
      <c r="P318" s="1">
        <v>0</v>
      </c>
      <c r="Q318" s="26">
        <v>1</v>
      </c>
      <c r="R318" s="14"/>
      <c r="S318" s="13" t="s">
        <v>1140</v>
      </c>
      <c r="T318" s="13" t="s">
        <v>1140</v>
      </c>
      <c r="U318" s="1">
        <v>0</v>
      </c>
      <c r="V318" s="10">
        <v>1</v>
      </c>
      <c r="W318" s="1" t="s">
        <v>971</v>
      </c>
      <c r="X318" s="1"/>
      <c r="Y318" s="10" t="s">
        <v>1127</v>
      </c>
      <c r="Z318" s="1" t="s">
        <v>1128</v>
      </c>
      <c r="AA318" s="13" t="s">
        <v>1129</v>
      </c>
      <c r="AB318" s="113" t="s">
        <v>1764</v>
      </c>
      <c r="AC318" s="159"/>
      <c r="AD318" s="156"/>
      <c r="AE318" s="156"/>
      <c r="AF318" s="156"/>
      <c r="AG318" s="377">
        <f t="shared" si="41"/>
        <v>0</v>
      </c>
      <c r="AH318" s="377" t="b">
        <f t="shared" si="38"/>
        <v>0</v>
      </c>
      <c r="AI318" s="25"/>
      <c r="AJ318" s="25"/>
      <c r="AK318" s="25"/>
      <c r="AL318" s="25"/>
      <c r="AM318" s="16">
        <f t="shared" si="39"/>
        <v>0</v>
      </c>
      <c r="AN318" s="159"/>
      <c r="AO318" s="19"/>
      <c r="AP318" s="10"/>
      <c r="AQ318" s="10"/>
      <c r="AR318" s="19"/>
      <c r="AS318" s="21" t="s">
        <v>310</v>
      </c>
      <c r="AT318" s="1">
        <f t="shared" si="40"/>
        <v>0</v>
      </c>
      <c r="AU318" s="31"/>
      <c r="AV318" s="31"/>
      <c r="AW318" s="31"/>
      <c r="AX318" s="16">
        <f t="shared" si="53"/>
        <v>0</v>
      </c>
      <c r="AY318" s="156" t="s">
        <v>310</v>
      </c>
      <c r="AZ318" s="76">
        <v>0</v>
      </c>
      <c r="BA318" s="31"/>
      <c r="BB318" s="31"/>
      <c r="BC318" s="31"/>
      <c r="BD318" s="16" t="str">
        <f t="shared" si="42"/>
        <v>NP</v>
      </c>
      <c r="BE318" s="31"/>
      <c r="BF318" s="31"/>
      <c r="BG318" s="31"/>
      <c r="BH318" s="31"/>
      <c r="BI318" s="16"/>
      <c r="BJ318" s="16"/>
      <c r="BK318" s="31"/>
      <c r="BL318" s="31"/>
      <c r="BM318" s="31"/>
      <c r="BN318" s="31"/>
      <c r="BO318" s="16"/>
      <c r="BP318" s="31"/>
      <c r="BQ318" s="31"/>
      <c r="BR318" s="31"/>
      <c r="BS318" s="31"/>
      <c r="BT318" s="16"/>
      <c r="BU318" s="16"/>
      <c r="BV318" s="16"/>
      <c r="BW318" s="16"/>
      <c r="BX318" s="16"/>
      <c r="BY318" s="16"/>
      <c r="BZ318" s="16"/>
      <c r="CA318" s="1"/>
      <c r="CB318" s="1"/>
      <c r="CC318" s="1"/>
    </row>
    <row r="319" spans="1:81" s="52" customFormat="1" ht="63" x14ac:dyDescent="0.25">
      <c r="A319" s="1">
        <v>3</v>
      </c>
      <c r="B319" s="13" t="s">
        <v>1748</v>
      </c>
      <c r="C319" s="572"/>
      <c r="D319" s="573"/>
      <c r="E319" s="10" t="s">
        <v>1120</v>
      </c>
      <c r="F319" s="13" t="s">
        <v>1121</v>
      </c>
      <c r="G319" s="568"/>
      <c r="H319" s="570"/>
      <c r="I319" s="10" t="s">
        <v>1122</v>
      </c>
      <c r="J319" s="13" t="s">
        <v>1123</v>
      </c>
      <c r="K319" s="568"/>
      <c r="L319" s="570"/>
      <c r="M319" s="23"/>
      <c r="N319" s="23" t="s">
        <v>1141</v>
      </c>
      <c r="O319" s="13" t="s">
        <v>1142</v>
      </c>
      <c r="P319" s="1">
        <v>0</v>
      </c>
      <c r="Q319" s="26">
        <v>1</v>
      </c>
      <c r="R319" s="14"/>
      <c r="S319" s="13" t="s">
        <v>1143</v>
      </c>
      <c r="T319" s="13" t="s">
        <v>1143</v>
      </c>
      <c r="U319" s="1">
        <v>0</v>
      </c>
      <c r="V319" s="10">
        <v>1</v>
      </c>
      <c r="W319" s="1" t="s">
        <v>971</v>
      </c>
      <c r="X319" s="1"/>
      <c r="Y319" s="10" t="s">
        <v>1127</v>
      </c>
      <c r="Z319" s="1" t="s">
        <v>1128</v>
      </c>
      <c r="AA319" s="13" t="s">
        <v>1129</v>
      </c>
      <c r="AB319" s="42" t="s">
        <v>1764</v>
      </c>
      <c r="AC319" s="163">
        <v>1</v>
      </c>
      <c r="AD319" s="156">
        <v>1</v>
      </c>
      <c r="AE319" s="156"/>
      <c r="AF319" s="156"/>
      <c r="AG319" s="377">
        <f t="shared" si="41"/>
        <v>2</v>
      </c>
      <c r="AH319" s="377" t="b">
        <f t="shared" si="38"/>
        <v>0</v>
      </c>
      <c r="AI319" s="25"/>
      <c r="AJ319" s="25"/>
      <c r="AK319" s="25"/>
      <c r="AL319" s="25"/>
      <c r="AM319" s="16">
        <f t="shared" si="39"/>
        <v>0</v>
      </c>
      <c r="AN319" s="163">
        <v>1</v>
      </c>
      <c r="AO319" s="19"/>
      <c r="AP319" s="10"/>
      <c r="AQ319" s="10"/>
      <c r="AR319" s="19"/>
      <c r="AS319" s="21" t="s">
        <v>310</v>
      </c>
      <c r="AT319" s="1">
        <f t="shared" si="40"/>
        <v>0</v>
      </c>
      <c r="AU319" s="31"/>
      <c r="AV319" s="31"/>
      <c r="AW319" s="31"/>
      <c r="AX319" s="16">
        <f t="shared" si="53"/>
        <v>0</v>
      </c>
      <c r="AY319" s="156">
        <v>1</v>
      </c>
      <c r="AZ319" s="76">
        <v>0</v>
      </c>
      <c r="BA319" s="31"/>
      <c r="BB319" s="31"/>
      <c r="BC319" s="31"/>
      <c r="BD319" s="16">
        <f t="shared" si="42"/>
        <v>0</v>
      </c>
      <c r="BE319" s="31"/>
      <c r="BF319" s="31"/>
      <c r="BG319" s="31"/>
      <c r="BH319" s="31"/>
      <c r="BI319" s="16"/>
      <c r="BJ319" s="16"/>
      <c r="BK319" s="31"/>
      <c r="BL319" s="31"/>
      <c r="BM319" s="31"/>
      <c r="BN319" s="31"/>
      <c r="BO319" s="16"/>
      <c r="BP319" s="31"/>
      <c r="BQ319" s="31"/>
      <c r="BR319" s="31"/>
      <c r="BS319" s="31"/>
      <c r="BT319" s="16"/>
      <c r="BU319" s="16"/>
      <c r="BV319" s="16"/>
      <c r="BW319" s="16"/>
      <c r="BX319" s="16"/>
      <c r="BY319" s="16"/>
      <c r="BZ319" s="16"/>
      <c r="CA319" s="1"/>
      <c r="CB319" s="1"/>
      <c r="CC319" s="1"/>
    </row>
    <row r="320" spans="1:81" s="52" customFormat="1" ht="63" x14ac:dyDescent="0.25">
      <c r="A320" s="1">
        <v>3</v>
      </c>
      <c r="B320" s="13" t="s">
        <v>1748</v>
      </c>
      <c r="C320" s="572"/>
      <c r="D320" s="573"/>
      <c r="E320" s="10" t="s">
        <v>1144</v>
      </c>
      <c r="F320" s="13" t="s">
        <v>1145</v>
      </c>
      <c r="G320" s="567">
        <f>+AVERAGEIF(F19:F572,F320,AX14:AX567)</f>
        <v>0.2</v>
      </c>
      <c r="H320" s="569">
        <f>+AVERAGEIF(F14:F567,F320,BD14:BD567)</f>
        <v>0.25</v>
      </c>
      <c r="I320" s="10" t="s">
        <v>1146</v>
      </c>
      <c r="J320" s="13" t="s">
        <v>1147</v>
      </c>
      <c r="K320" s="567">
        <f>AVERAGE(AX320:AX324)</f>
        <v>0.23333333333333334</v>
      </c>
      <c r="L320" s="569">
        <f>AVERAGE(BD320:BD324)</f>
        <v>0.25</v>
      </c>
      <c r="M320" s="23"/>
      <c r="N320" s="23" t="s">
        <v>1148</v>
      </c>
      <c r="O320" s="13" t="s">
        <v>1149</v>
      </c>
      <c r="P320" s="369">
        <v>0.2727</v>
      </c>
      <c r="Q320" s="369">
        <v>0.81820000000000004</v>
      </c>
      <c r="R320" s="41"/>
      <c r="S320" s="13" t="s">
        <v>1150</v>
      </c>
      <c r="T320" s="13" t="s">
        <v>1150</v>
      </c>
      <c r="U320" s="1">
        <v>3</v>
      </c>
      <c r="V320" s="10">
        <v>4</v>
      </c>
      <c r="W320" s="1" t="s">
        <v>971</v>
      </c>
      <c r="X320" s="1"/>
      <c r="Y320" s="1" t="s">
        <v>1151</v>
      </c>
      <c r="Z320" s="1" t="s">
        <v>1152</v>
      </c>
      <c r="AA320" s="13" t="s">
        <v>1153</v>
      </c>
      <c r="AB320" s="42" t="s">
        <v>1764</v>
      </c>
      <c r="AC320" s="163">
        <v>1</v>
      </c>
      <c r="AD320" s="156">
        <v>1</v>
      </c>
      <c r="AE320" s="156"/>
      <c r="AF320" s="156"/>
      <c r="AG320" s="377">
        <f t="shared" si="41"/>
        <v>2</v>
      </c>
      <c r="AH320" s="377" t="b">
        <f t="shared" si="38"/>
        <v>0</v>
      </c>
      <c r="AI320" s="25">
        <v>0</v>
      </c>
      <c r="AJ320" s="25">
        <v>0</v>
      </c>
      <c r="AK320" s="25">
        <v>0</v>
      </c>
      <c r="AL320" s="25">
        <v>0</v>
      </c>
      <c r="AM320" s="16">
        <f t="shared" si="39"/>
        <v>0</v>
      </c>
      <c r="AN320" s="163">
        <v>1</v>
      </c>
      <c r="AO320" s="19">
        <v>0</v>
      </c>
      <c r="AP320" s="19">
        <v>0</v>
      </c>
      <c r="AQ320" s="19"/>
      <c r="AR320" s="19">
        <f>AL320</f>
        <v>0</v>
      </c>
      <c r="AS320" s="21">
        <f>IFERROR(+AR320/AN320,0)</f>
        <v>0</v>
      </c>
      <c r="AT320" s="1">
        <f t="shared" si="40"/>
        <v>0</v>
      </c>
      <c r="AU320" s="31"/>
      <c r="AV320" s="31"/>
      <c r="AW320" s="31"/>
      <c r="AX320" s="16">
        <f t="shared" si="53"/>
        <v>0</v>
      </c>
      <c r="AY320" s="156">
        <v>1</v>
      </c>
      <c r="AZ320" s="76">
        <v>0</v>
      </c>
      <c r="BA320" s="31"/>
      <c r="BB320" s="31"/>
      <c r="BC320" s="31"/>
      <c r="BD320" s="16">
        <f t="shared" si="42"/>
        <v>0</v>
      </c>
      <c r="BE320" s="31"/>
      <c r="BF320" s="31"/>
      <c r="BG320" s="31"/>
      <c r="BH320" s="31"/>
      <c r="BI320" s="16"/>
      <c r="BJ320" s="16"/>
      <c r="BK320" s="31"/>
      <c r="BL320" s="31"/>
      <c r="BM320" s="31"/>
      <c r="BN320" s="31"/>
      <c r="BO320" s="16"/>
      <c r="BP320" s="31"/>
      <c r="BQ320" s="31"/>
      <c r="BR320" s="31"/>
      <c r="BS320" s="31"/>
      <c r="BT320" s="16"/>
      <c r="BU320" s="16"/>
      <c r="BV320" s="16"/>
      <c r="BW320" s="16"/>
      <c r="BX320" s="16"/>
      <c r="BY320" s="16"/>
      <c r="BZ320" s="16"/>
      <c r="CA320" s="1"/>
      <c r="CB320" s="1"/>
      <c r="CC320" s="1"/>
    </row>
    <row r="321" spans="1:81" s="52" customFormat="1" ht="63" x14ac:dyDescent="0.25">
      <c r="A321" s="1">
        <v>3</v>
      </c>
      <c r="B321" s="13" t="s">
        <v>1748</v>
      </c>
      <c r="C321" s="572"/>
      <c r="D321" s="573"/>
      <c r="E321" s="10" t="s">
        <v>1144</v>
      </c>
      <c r="F321" s="13" t="s">
        <v>1145</v>
      </c>
      <c r="G321" s="572"/>
      <c r="H321" s="573"/>
      <c r="I321" s="10" t="s">
        <v>1146</v>
      </c>
      <c r="J321" s="13" t="s">
        <v>1147</v>
      </c>
      <c r="K321" s="572"/>
      <c r="L321" s="573"/>
      <c r="M321" s="23"/>
      <c r="N321" s="23" t="s">
        <v>1154</v>
      </c>
      <c r="O321" s="13" t="s">
        <v>1155</v>
      </c>
      <c r="P321" s="369">
        <v>0.28570000000000001</v>
      </c>
      <c r="Q321" s="369">
        <v>0.57140000000000002</v>
      </c>
      <c r="R321" s="41"/>
      <c r="S321" s="13" t="s">
        <v>1156</v>
      </c>
      <c r="T321" s="13" t="s">
        <v>1156</v>
      </c>
      <c r="U321" s="1">
        <v>2</v>
      </c>
      <c r="V321" s="10">
        <v>2</v>
      </c>
      <c r="W321" s="1" t="s">
        <v>971</v>
      </c>
      <c r="X321" s="1"/>
      <c r="Y321" s="1" t="s">
        <v>1151</v>
      </c>
      <c r="Z321" s="1" t="s">
        <v>1152</v>
      </c>
      <c r="AA321" s="13" t="s">
        <v>1157</v>
      </c>
      <c r="AB321" s="42" t="s">
        <v>1764</v>
      </c>
      <c r="AC321" s="156">
        <v>2</v>
      </c>
      <c r="AD321" s="156">
        <v>2</v>
      </c>
      <c r="AE321" s="156"/>
      <c r="AF321" s="156"/>
      <c r="AG321" s="377">
        <f t="shared" si="41"/>
        <v>4</v>
      </c>
      <c r="AH321" s="377" t="b">
        <f t="shared" si="38"/>
        <v>0</v>
      </c>
      <c r="AI321" s="25">
        <v>2</v>
      </c>
      <c r="AJ321" s="25">
        <v>2</v>
      </c>
      <c r="AK321" s="25">
        <v>2</v>
      </c>
      <c r="AL321" s="25">
        <v>2</v>
      </c>
      <c r="AM321" s="16">
        <f t="shared" si="39"/>
        <v>1</v>
      </c>
      <c r="AN321" s="156">
        <v>2</v>
      </c>
      <c r="AO321" s="19">
        <v>1</v>
      </c>
      <c r="AP321" s="19">
        <v>2</v>
      </c>
      <c r="AQ321" s="19"/>
      <c r="AR321" s="19">
        <f>AL321</f>
        <v>2</v>
      </c>
      <c r="AS321" s="21">
        <f>IFERROR(+AR321/AN321,0)</f>
        <v>1</v>
      </c>
      <c r="AT321" s="1">
        <f t="shared" si="40"/>
        <v>4</v>
      </c>
      <c r="AU321" s="31"/>
      <c r="AV321" s="31"/>
      <c r="AW321" s="31"/>
      <c r="AX321" s="16">
        <f t="shared" si="53"/>
        <v>1</v>
      </c>
      <c r="AY321" s="156">
        <v>2</v>
      </c>
      <c r="AZ321" s="76">
        <v>2</v>
      </c>
      <c r="BA321" s="31"/>
      <c r="BB321" s="31"/>
      <c r="BC321" s="31"/>
      <c r="BD321" s="16">
        <f t="shared" si="42"/>
        <v>1</v>
      </c>
      <c r="BE321" s="31"/>
      <c r="BF321" s="31"/>
      <c r="BG321" s="31"/>
      <c r="BH321" s="31"/>
      <c r="BI321" s="16"/>
      <c r="BJ321" s="16"/>
      <c r="BK321" s="31"/>
      <c r="BL321" s="31"/>
      <c r="BM321" s="31"/>
      <c r="BN321" s="31"/>
      <c r="BO321" s="16"/>
      <c r="BP321" s="31"/>
      <c r="BQ321" s="31"/>
      <c r="BR321" s="31"/>
      <c r="BS321" s="31"/>
      <c r="BT321" s="16"/>
      <c r="BU321" s="16"/>
      <c r="BV321" s="16"/>
      <c r="BW321" s="16"/>
      <c r="BX321" s="16"/>
      <c r="BY321" s="16"/>
      <c r="BZ321" s="16"/>
      <c r="CA321" s="1"/>
      <c r="CB321" s="1"/>
      <c r="CC321" s="1"/>
    </row>
    <row r="322" spans="1:81" s="52" customFormat="1" ht="47.25" x14ac:dyDescent="0.25">
      <c r="A322" s="1">
        <v>3</v>
      </c>
      <c r="B322" s="13" t="s">
        <v>1748</v>
      </c>
      <c r="C322" s="572"/>
      <c r="D322" s="573"/>
      <c r="E322" s="10" t="s">
        <v>1144</v>
      </c>
      <c r="F322" s="13" t="s">
        <v>1145</v>
      </c>
      <c r="G322" s="572"/>
      <c r="H322" s="573"/>
      <c r="I322" s="10" t="s">
        <v>1146</v>
      </c>
      <c r="J322" s="13" t="s">
        <v>1147</v>
      </c>
      <c r="K322" s="572"/>
      <c r="L322" s="573"/>
      <c r="M322" s="23"/>
      <c r="N322" s="23" t="s">
        <v>1158</v>
      </c>
      <c r="O322" s="13" t="s">
        <v>1159</v>
      </c>
      <c r="P322" s="26">
        <v>0.5</v>
      </c>
      <c r="Q322" s="26">
        <v>1</v>
      </c>
      <c r="R322" s="14"/>
      <c r="S322" s="13" t="s">
        <v>1160</v>
      </c>
      <c r="T322" s="13" t="s">
        <v>1160</v>
      </c>
      <c r="U322" s="1">
        <v>6</v>
      </c>
      <c r="V322" s="10">
        <v>6</v>
      </c>
      <c r="W322" s="1" t="s">
        <v>971</v>
      </c>
      <c r="X322" s="1"/>
      <c r="Y322" s="1" t="s">
        <v>1151</v>
      </c>
      <c r="Z322" s="1" t="s">
        <v>1152</v>
      </c>
      <c r="AA322" s="13" t="s">
        <v>1157</v>
      </c>
      <c r="AB322" s="42" t="s">
        <v>1764</v>
      </c>
      <c r="AC322" s="156">
        <v>1</v>
      </c>
      <c r="AD322" s="156">
        <v>1</v>
      </c>
      <c r="AE322" s="156"/>
      <c r="AF322" s="156"/>
      <c r="AG322" s="377">
        <f t="shared" si="41"/>
        <v>2</v>
      </c>
      <c r="AH322" s="377" t="b">
        <f t="shared" si="38"/>
        <v>0</v>
      </c>
      <c r="AI322" s="25">
        <v>1</v>
      </c>
      <c r="AJ322" s="25">
        <v>1</v>
      </c>
      <c r="AK322" s="25">
        <v>1</v>
      </c>
      <c r="AL322" s="25">
        <v>1</v>
      </c>
      <c r="AM322" s="16">
        <f t="shared" si="39"/>
        <v>0.16666666666666666</v>
      </c>
      <c r="AN322" s="156">
        <v>1</v>
      </c>
      <c r="AO322" s="19">
        <v>0</v>
      </c>
      <c r="AP322" s="19">
        <v>1</v>
      </c>
      <c r="AQ322" s="19"/>
      <c r="AR322" s="19">
        <f>AL322</f>
        <v>1</v>
      </c>
      <c r="AS322" s="21">
        <f>IFERROR(+AR322/AN322,0)</f>
        <v>1</v>
      </c>
      <c r="AT322" s="1">
        <f t="shared" si="40"/>
        <v>1</v>
      </c>
      <c r="AU322" s="31"/>
      <c r="AV322" s="31"/>
      <c r="AW322" s="31"/>
      <c r="AX322" s="16">
        <f t="shared" si="53"/>
        <v>0.16666666666666666</v>
      </c>
      <c r="AY322" s="156">
        <v>1</v>
      </c>
      <c r="AZ322" s="76">
        <v>0</v>
      </c>
      <c r="BA322" s="31"/>
      <c r="BB322" s="31"/>
      <c r="BC322" s="31"/>
      <c r="BD322" s="16">
        <f t="shared" si="42"/>
        <v>0</v>
      </c>
      <c r="BE322" s="31"/>
      <c r="BF322" s="31"/>
      <c r="BG322" s="31"/>
      <c r="BH322" s="31"/>
      <c r="BI322" s="16"/>
      <c r="BJ322" s="16"/>
      <c r="BK322" s="31"/>
      <c r="BL322" s="31"/>
      <c r="BM322" s="31"/>
      <c r="BN322" s="31"/>
      <c r="BO322" s="16"/>
      <c r="BP322" s="31"/>
      <c r="BQ322" s="31"/>
      <c r="BR322" s="31"/>
      <c r="BS322" s="31"/>
      <c r="BT322" s="16"/>
      <c r="BU322" s="16"/>
      <c r="BV322" s="16"/>
      <c r="BW322" s="16"/>
      <c r="BX322" s="16"/>
      <c r="BY322" s="16"/>
      <c r="BZ322" s="16"/>
      <c r="CA322" s="1"/>
      <c r="CB322" s="1"/>
      <c r="CC322" s="1"/>
    </row>
    <row r="323" spans="1:81" s="52" customFormat="1" ht="47.25" x14ac:dyDescent="0.25">
      <c r="A323" s="1">
        <v>3</v>
      </c>
      <c r="B323" s="13" t="s">
        <v>1748</v>
      </c>
      <c r="C323" s="572"/>
      <c r="D323" s="573"/>
      <c r="E323" s="10" t="s">
        <v>1144</v>
      </c>
      <c r="F323" s="13" t="s">
        <v>1145</v>
      </c>
      <c r="G323" s="572"/>
      <c r="H323" s="573"/>
      <c r="I323" s="10" t="s">
        <v>1146</v>
      </c>
      <c r="J323" s="13" t="s">
        <v>1147</v>
      </c>
      <c r="K323" s="572"/>
      <c r="L323" s="573"/>
      <c r="M323" s="23"/>
      <c r="N323" s="23" t="s">
        <v>1161</v>
      </c>
      <c r="O323" s="13" t="s">
        <v>1162</v>
      </c>
      <c r="P323" s="369">
        <v>0.33329999999999999</v>
      </c>
      <c r="Q323" s="369">
        <v>0.66659999999999997</v>
      </c>
      <c r="R323" s="41"/>
      <c r="S323" s="13" t="s">
        <v>1163</v>
      </c>
      <c r="T323" s="13" t="s">
        <v>1163</v>
      </c>
      <c r="U323" s="1">
        <v>1</v>
      </c>
      <c r="V323" s="10">
        <v>1</v>
      </c>
      <c r="W323" s="1" t="s">
        <v>971</v>
      </c>
      <c r="X323" s="1"/>
      <c r="Y323" s="1" t="s">
        <v>1151</v>
      </c>
      <c r="Z323" s="1" t="s">
        <v>1152</v>
      </c>
      <c r="AA323" s="13" t="s">
        <v>1134</v>
      </c>
      <c r="AB323" s="42" t="s">
        <v>1764</v>
      </c>
      <c r="AC323" s="156">
        <v>1</v>
      </c>
      <c r="AD323" s="156">
        <v>1</v>
      </c>
      <c r="AE323" s="156"/>
      <c r="AF323" s="156"/>
      <c r="AG323" s="377">
        <f t="shared" si="41"/>
        <v>2</v>
      </c>
      <c r="AH323" s="377" t="b">
        <f t="shared" si="38"/>
        <v>0</v>
      </c>
      <c r="AI323" s="25"/>
      <c r="AJ323" s="25"/>
      <c r="AK323" s="25"/>
      <c r="AL323" s="25"/>
      <c r="AM323" s="16">
        <f t="shared" si="39"/>
        <v>0</v>
      </c>
      <c r="AN323" s="156"/>
      <c r="AO323" s="19"/>
      <c r="AP323" s="19"/>
      <c r="AQ323" s="19"/>
      <c r="AR323" s="19"/>
      <c r="AS323" s="21" t="s">
        <v>310</v>
      </c>
      <c r="AT323" s="1">
        <f t="shared" si="40"/>
        <v>0</v>
      </c>
      <c r="AU323" s="31"/>
      <c r="AV323" s="31"/>
      <c r="AW323" s="31"/>
      <c r="AX323" s="16">
        <f t="shared" si="53"/>
        <v>0</v>
      </c>
      <c r="AY323" s="156">
        <v>1</v>
      </c>
      <c r="AZ323" s="76">
        <v>0</v>
      </c>
      <c r="BA323" s="31"/>
      <c r="BB323" s="31"/>
      <c r="BC323" s="31"/>
      <c r="BD323" s="16">
        <f t="shared" si="42"/>
        <v>0</v>
      </c>
      <c r="BE323" s="31"/>
      <c r="BF323" s="31"/>
      <c r="BG323" s="31"/>
      <c r="BH323" s="31"/>
      <c r="BI323" s="16"/>
      <c r="BJ323" s="16"/>
      <c r="BK323" s="31"/>
      <c r="BL323" s="31"/>
      <c r="BM323" s="31"/>
      <c r="BN323" s="31"/>
      <c r="BO323" s="16"/>
      <c r="BP323" s="31"/>
      <c r="BQ323" s="31"/>
      <c r="BR323" s="31"/>
      <c r="BS323" s="31"/>
      <c r="BT323" s="16"/>
      <c r="BU323" s="16"/>
      <c r="BV323" s="16"/>
      <c r="BW323" s="16"/>
      <c r="BX323" s="16"/>
      <c r="BY323" s="16"/>
      <c r="BZ323" s="16"/>
      <c r="CA323" s="1"/>
      <c r="CB323" s="1"/>
      <c r="CC323" s="1"/>
    </row>
    <row r="324" spans="1:81" s="52" customFormat="1" ht="47.25" x14ac:dyDescent="0.25">
      <c r="A324" s="1">
        <v>3</v>
      </c>
      <c r="B324" s="13" t="s">
        <v>1748</v>
      </c>
      <c r="C324" s="572"/>
      <c r="D324" s="573"/>
      <c r="E324" s="10" t="s">
        <v>1144</v>
      </c>
      <c r="F324" s="13" t="s">
        <v>1145</v>
      </c>
      <c r="G324" s="568"/>
      <c r="H324" s="570"/>
      <c r="I324" s="10" t="s">
        <v>1146</v>
      </c>
      <c r="J324" s="13" t="s">
        <v>1147</v>
      </c>
      <c r="K324" s="568"/>
      <c r="L324" s="570"/>
      <c r="M324" s="23"/>
      <c r="N324" s="23" t="s">
        <v>1164</v>
      </c>
      <c r="O324" s="13" t="s">
        <v>1165</v>
      </c>
      <c r="P324" s="1">
        <v>0</v>
      </c>
      <c r="Q324" s="26">
        <v>1</v>
      </c>
      <c r="R324" s="14"/>
      <c r="S324" s="13" t="s">
        <v>1166</v>
      </c>
      <c r="T324" s="13" t="s">
        <v>1166</v>
      </c>
      <c r="U324" s="1">
        <v>0</v>
      </c>
      <c r="V324" s="10">
        <v>1</v>
      </c>
      <c r="W324" s="1" t="s">
        <v>971</v>
      </c>
      <c r="X324" s="1"/>
      <c r="Y324" s="1" t="s">
        <v>1151</v>
      </c>
      <c r="Z324" s="1" t="s">
        <v>1152</v>
      </c>
      <c r="AA324" s="13" t="s">
        <v>1157</v>
      </c>
      <c r="AB324" s="42" t="s">
        <v>1764</v>
      </c>
      <c r="AC324" s="156"/>
      <c r="AD324" s="108"/>
      <c r="AE324" s="156"/>
      <c r="AF324" s="156"/>
      <c r="AG324" s="377">
        <f t="shared" si="41"/>
        <v>0</v>
      </c>
      <c r="AH324" s="377" t="b">
        <f t="shared" si="38"/>
        <v>0</v>
      </c>
      <c r="AI324" s="1"/>
      <c r="AJ324" s="1"/>
      <c r="AK324" s="1"/>
      <c r="AL324" s="1"/>
      <c r="AM324" s="16">
        <f t="shared" si="39"/>
        <v>0</v>
      </c>
      <c r="AN324" s="156"/>
      <c r="AO324" s="1"/>
      <c r="AP324" s="1"/>
      <c r="AQ324" s="1"/>
      <c r="AR324" s="19"/>
      <c r="AS324" s="21" t="s">
        <v>310</v>
      </c>
      <c r="AT324" s="1">
        <f t="shared" si="40"/>
        <v>0</v>
      </c>
      <c r="AU324" s="31"/>
      <c r="AV324" s="31"/>
      <c r="AW324" s="31"/>
      <c r="AX324" s="16">
        <f t="shared" si="53"/>
        <v>0</v>
      </c>
      <c r="AY324" s="108" t="s">
        <v>310</v>
      </c>
      <c r="AZ324" s="76"/>
      <c r="BA324" s="31"/>
      <c r="BB324" s="31"/>
      <c r="BC324" s="31"/>
      <c r="BD324" s="16" t="str">
        <f t="shared" si="42"/>
        <v>NP</v>
      </c>
      <c r="BE324" s="31"/>
      <c r="BF324" s="31"/>
      <c r="BG324" s="31"/>
      <c r="BH324" s="31"/>
      <c r="BI324" s="16"/>
      <c r="BJ324" s="16"/>
      <c r="BK324" s="31"/>
      <c r="BL324" s="31"/>
      <c r="BM324" s="31"/>
      <c r="BN324" s="31"/>
      <c r="BO324" s="16"/>
      <c r="BP324" s="31"/>
      <c r="BQ324" s="31"/>
      <c r="BR324" s="31"/>
      <c r="BS324" s="31"/>
      <c r="BT324" s="16"/>
      <c r="BU324" s="16"/>
      <c r="BV324" s="16"/>
      <c r="BW324" s="16"/>
      <c r="BX324" s="16"/>
      <c r="BY324" s="16"/>
      <c r="BZ324" s="16"/>
      <c r="CA324" s="1"/>
      <c r="CB324" s="1"/>
      <c r="CC324" s="1"/>
    </row>
    <row r="325" spans="1:81" s="52" customFormat="1" ht="78.75" x14ac:dyDescent="0.25">
      <c r="A325" s="1">
        <v>3</v>
      </c>
      <c r="B325" s="13" t="s">
        <v>1748</v>
      </c>
      <c r="C325" s="572"/>
      <c r="D325" s="573"/>
      <c r="E325" s="10" t="s">
        <v>1167</v>
      </c>
      <c r="F325" s="13" t="s">
        <v>1168</v>
      </c>
      <c r="G325" s="567">
        <f>+AVERAGEIF(F14:F567,F325,AX14:AX567)</f>
        <v>2.5000000000000001E-2</v>
      </c>
      <c r="H325" s="569">
        <f>+AVERAGEIF(F14:F567,F325,BD14:BD567)</f>
        <v>0.05</v>
      </c>
      <c r="I325" s="10" t="s">
        <v>1169</v>
      </c>
      <c r="J325" s="13" t="s">
        <v>1170</v>
      </c>
      <c r="K325" s="567">
        <f>AVERAGE(AX325:AX326)</f>
        <v>2.5000000000000001E-2</v>
      </c>
      <c r="L325" s="569">
        <f>IFERROR(AVERAGE(BD325:BD326),"NP")</f>
        <v>0.05</v>
      </c>
      <c r="M325" s="23"/>
      <c r="N325" s="23" t="s">
        <v>1171</v>
      </c>
      <c r="O325" s="13" t="s">
        <v>1172</v>
      </c>
      <c r="P325" s="1">
        <v>0</v>
      </c>
      <c r="Q325" s="26">
        <v>1</v>
      </c>
      <c r="R325" s="14"/>
      <c r="S325" s="13" t="s">
        <v>1173</v>
      </c>
      <c r="T325" s="13" t="s">
        <v>1173</v>
      </c>
      <c r="U325" s="1">
        <v>0</v>
      </c>
      <c r="V325" s="10">
        <v>1</v>
      </c>
      <c r="W325" s="1" t="s">
        <v>971</v>
      </c>
      <c r="X325" s="1"/>
      <c r="Y325" s="1" t="s">
        <v>1151</v>
      </c>
      <c r="Z325" s="1" t="s">
        <v>1152</v>
      </c>
      <c r="AA325" s="13" t="s">
        <v>1174</v>
      </c>
      <c r="AB325" s="42" t="s">
        <v>1984</v>
      </c>
      <c r="AC325" s="156">
        <v>1</v>
      </c>
      <c r="AD325" s="156">
        <v>1</v>
      </c>
      <c r="AE325" s="156"/>
      <c r="AF325" s="156"/>
      <c r="AG325" s="377">
        <f t="shared" si="41"/>
        <v>2</v>
      </c>
      <c r="AH325" s="377" t="b">
        <f t="shared" si="38"/>
        <v>0</v>
      </c>
      <c r="AI325" s="25"/>
      <c r="AJ325" s="25"/>
      <c r="AK325" s="25"/>
      <c r="AL325" s="25"/>
      <c r="AM325" s="16">
        <f t="shared" si="39"/>
        <v>0</v>
      </c>
      <c r="AN325" s="156"/>
      <c r="AO325" s="19"/>
      <c r="AP325" s="19"/>
      <c r="AQ325" s="19"/>
      <c r="AR325" s="19"/>
      <c r="AS325" s="21" t="s">
        <v>310</v>
      </c>
      <c r="AT325" s="1">
        <f t="shared" si="40"/>
        <v>0.05</v>
      </c>
      <c r="AU325" s="31"/>
      <c r="AV325" s="31"/>
      <c r="AW325" s="31"/>
      <c r="AX325" s="16">
        <f t="shared" si="53"/>
        <v>0.05</v>
      </c>
      <c r="AY325" s="156">
        <v>1</v>
      </c>
      <c r="AZ325" s="76">
        <v>0.05</v>
      </c>
      <c r="BA325" s="31"/>
      <c r="BB325" s="31"/>
      <c r="BC325" s="31"/>
      <c r="BD325" s="16">
        <f t="shared" si="42"/>
        <v>0.05</v>
      </c>
      <c r="BE325" s="31"/>
      <c r="BF325" s="31"/>
      <c r="BG325" s="31"/>
      <c r="BH325" s="31"/>
      <c r="BI325" s="16"/>
      <c r="BJ325" s="16"/>
      <c r="BK325" s="31"/>
      <c r="BL325" s="31"/>
      <c r="BM325" s="31"/>
      <c r="BN325" s="31"/>
      <c r="BO325" s="16"/>
      <c r="BP325" s="31"/>
      <c r="BQ325" s="31"/>
      <c r="BR325" s="31"/>
      <c r="BS325" s="31"/>
      <c r="BT325" s="16"/>
      <c r="BU325" s="16"/>
      <c r="BV325" s="16"/>
      <c r="BW325" s="16"/>
      <c r="BX325" s="16"/>
      <c r="BY325" s="16"/>
      <c r="BZ325" s="16"/>
      <c r="CA325" s="1"/>
      <c r="CB325" s="1"/>
      <c r="CC325" s="1"/>
    </row>
    <row r="326" spans="1:81" s="52" customFormat="1" ht="94.5" x14ac:dyDescent="0.25">
      <c r="A326" s="1">
        <v>3</v>
      </c>
      <c r="B326" s="13" t="s">
        <v>1748</v>
      </c>
      <c r="C326" s="572"/>
      <c r="D326" s="573"/>
      <c r="E326" s="10" t="s">
        <v>1167</v>
      </c>
      <c r="F326" s="13" t="s">
        <v>1168</v>
      </c>
      <c r="G326" s="568"/>
      <c r="H326" s="570"/>
      <c r="I326" s="10" t="s">
        <v>1169</v>
      </c>
      <c r="J326" s="13" t="s">
        <v>1170</v>
      </c>
      <c r="K326" s="568"/>
      <c r="L326" s="570"/>
      <c r="M326" s="23"/>
      <c r="N326" s="23" t="s">
        <v>1175</v>
      </c>
      <c r="O326" s="13" t="s">
        <v>1176</v>
      </c>
      <c r="P326" s="1">
        <v>0</v>
      </c>
      <c r="Q326" s="26">
        <v>1</v>
      </c>
      <c r="R326" s="14"/>
      <c r="S326" s="13" t="s">
        <v>1177</v>
      </c>
      <c r="T326" s="13" t="s">
        <v>1177</v>
      </c>
      <c r="U326" s="1">
        <v>0</v>
      </c>
      <c r="V326" s="10">
        <v>45</v>
      </c>
      <c r="W326" s="1" t="s">
        <v>971</v>
      </c>
      <c r="X326" s="1"/>
      <c r="Y326" s="1" t="s">
        <v>1151</v>
      </c>
      <c r="Z326" s="1" t="s">
        <v>1152</v>
      </c>
      <c r="AA326" s="13" t="s">
        <v>1174</v>
      </c>
      <c r="AB326" s="42" t="s">
        <v>1984</v>
      </c>
      <c r="AC326" s="156"/>
      <c r="AD326" s="108"/>
      <c r="AE326" s="156">
        <v>20</v>
      </c>
      <c r="AF326" s="156">
        <v>5</v>
      </c>
      <c r="AG326" s="377">
        <f t="shared" si="41"/>
        <v>25</v>
      </c>
      <c r="AH326" s="377" t="b">
        <f t="shared" si="38"/>
        <v>0</v>
      </c>
      <c r="AI326" s="25"/>
      <c r="AJ326" s="25"/>
      <c r="AK326" s="25"/>
      <c r="AL326" s="25"/>
      <c r="AM326" s="16">
        <f t="shared" si="39"/>
        <v>0</v>
      </c>
      <c r="AN326" s="156"/>
      <c r="AO326" s="19"/>
      <c r="AP326" s="19"/>
      <c r="AQ326" s="19"/>
      <c r="AR326" s="19"/>
      <c r="AS326" s="21" t="s">
        <v>310</v>
      </c>
      <c r="AT326" s="1">
        <f t="shared" si="40"/>
        <v>0</v>
      </c>
      <c r="AU326" s="31"/>
      <c r="AV326" s="31"/>
      <c r="AW326" s="31"/>
      <c r="AX326" s="16">
        <f t="shared" si="53"/>
        <v>0</v>
      </c>
      <c r="AY326" s="108" t="s">
        <v>310</v>
      </c>
      <c r="AZ326" s="76"/>
      <c r="BA326" s="31"/>
      <c r="BB326" s="31"/>
      <c r="BC326" s="31"/>
      <c r="BD326" s="16" t="str">
        <f t="shared" si="42"/>
        <v>NP</v>
      </c>
      <c r="BE326" s="31"/>
      <c r="BF326" s="31"/>
      <c r="BG326" s="31"/>
      <c r="BH326" s="31"/>
      <c r="BI326" s="16"/>
      <c r="BJ326" s="16"/>
      <c r="BK326" s="31"/>
      <c r="BL326" s="31"/>
      <c r="BM326" s="31"/>
      <c r="BN326" s="31"/>
      <c r="BO326" s="16"/>
      <c r="BP326" s="31"/>
      <c r="BQ326" s="31"/>
      <c r="BR326" s="31"/>
      <c r="BS326" s="31"/>
      <c r="BT326" s="16"/>
      <c r="BU326" s="16"/>
      <c r="BV326" s="16"/>
      <c r="BW326" s="16"/>
      <c r="BX326" s="16"/>
      <c r="BY326" s="16"/>
      <c r="BZ326" s="16"/>
      <c r="CA326" s="1"/>
      <c r="CB326" s="1"/>
      <c r="CC326" s="1"/>
    </row>
    <row r="327" spans="1:81" s="52" customFormat="1" ht="63" x14ac:dyDescent="0.25">
      <c r="A327" s="1">
        <v>3</v>
      </c>
      <c r="B327" s="13" t="s">
        <v>1748</v>
      </c>
      <c r="C327" s="572"/>
      <c r="D327" s="573"/>
      <c r="E327" s="10" t="s">
        <v>1178</v>
      </c>
      <c r="F327" s="24" t="s">
        <v>1179</v>
      </c>
      <c r="G327" s="574">
        <f>+AVERAGEIF(F14:F567,F327,AX14:AX567)</f>
        <v>0.44170846918392503</v>
      </c>
      <c r="H327" s="577">
        <f>+AVERAGEIF(F14:F567,F327,BD14:BD567)</f>
        <v>0.38239130434782609</v>
      </c>
      <c r="I327" s="1" t="s">
        <v>1180</v>
      </c>
      <c r="J327" s="13" t="s">
        <v>1181</v>
      </c>
      <c r="K327" s="567">
        <f>AVERAGE(AX327:AX329)</f>
        <v>0.28354037267080745</v>
      </c>
      <c r="L327" s="569">
        <f>IFERROR(AVERAGE(BD327:BD329),"NP")</f>
        <v>0.52463768115942022</v>
      </c>
      <c r="M327" s="23"/>
      <c r="N327" s="23" t="s">
        <v>1182</v>
      </c>
      <c r="O327" s="13" t="s">
        <v>1182</v>
      </c>
      <c r="P327" s="1">
        <v>56</v>
      </c>
      <c r="Q327" s="26">
        <v>1</v>
      </c>
      <c r="R327" s="14"/>
      <c r="S327" s="13" t="s">
        <v>1988</v>
      </c>
      <c r="T327" s="13" t="s">
        <v>1971</v>
      </c>
      <c r="U327" s="1">
        <v>56</v>
      </c>
      <c r="V327" s="10">
        <v>112</v>
      </c>
      <c r="W327" s="1" t="s">
        <v>49</v>
      </c>
      <c r="X327" s="1"/>
      <c r="Y327" s="1"/>
      <c r="Z327" s="1"/>
      <c r="AA327" s="24"/>
      <c r="AB327" s="10" t="s">
        <v>1766</v>
      </c>
      <c r="AC327" s="156"/>
      <c r="AD327" s="156">
        <v>30</v>
      </c>
      <c r="AE327" s="156">
        <v>50</v>
      </c>
      <c r="AF327" s="156">
        <v>32</v>
      </c>
      <c r="AG327" s="377">
        <f t="shared" si="41"/>
        <v>112</v>
      </c>
      <c r="AH327" s="377" t="b">
        <f t="shared" si="38"/>
        <v>1</v>
      </c>
      <c r="AI327" s="1"/>
      <c r="AJ327" s="1"/>
      <c r="AK327" s="1"/>
      <c r="AL327" s="1"/>
      <c r="AM327" s="16">
        <f t="shared" si="39"/>
        <v>0</v>
      </c>
      <c r="AN327" s="156"/>
      <c r="AO327" s="1"/>
      <c r="AP327" s="1"/>
      <c r="AQ327" s="1"/>
      <c r="AR327" s="1"/>
      <c r="AS327" s="21" t="s">
        <v>310</v>
      </c>
      <c r="AT327" s="1">
        <f t="shared" si="40"/>
        <v>40</v>
      </c>
      <c r="AU327" s="31"/>
      <c r="AV327" s="31"/>
      <c r="AW327" s="31"/>
      <c r="AX327" s="16">
        <f t="shared" si="53"/>
        <v>0.35714285714285715</v>
      </c>
      <c r="AY327" s="156">
        <v>30</v>
      </c>
      <c r="AZ327" s="76">
        <v>40</v>
      </c>
      <c r="BA327" s="31"/>
      <c r="BB327" s="31"/>
      <c r="BC327" s="31"/>
      <c r="BD327" s="16">
        <f t="shared" si="42"/>
        <v>1</v>
      </c>
      <c r="BE327" s="31"/>
      <c r="BF327" s="31"/>
      <c r="BG327" s="31"/>
      <c r="BH327" s="31"/>
      <c r="BI327" s="16"/>
      <c r="BJ327" s="16"/>
      <c r="BK327" s="31"/>
      <c r="BL327" s="31"/>
      <c r="BM327" s="31"/>
      <c r="BN327" s="31"/>
      <c r="BO327" s="16"/>
      <c r="BP327" s="31"/>
      <c r="BQ327" s="31"/>
      <c r="BR327" s="31"/>
      <c r="BS327" s="31"/>
      <c r="BT327" s="16"/>
      <c r="BU327" s="16"/>
      <c r="BV327" s="16"/>
      <c r="BW327" s="16"/>
      <c r="BX327" s="16"/>
      <c r="BY327" s="16"/>
      <c r="BZ327" s="16"/>
      <c r="CA327" s="1"/>
      <c r="CB327" s="1"/>
      <c r="CC327" s="1"/>
    </row>
    <row r="328" spans="1:81" s="52" customFormat="1" ht="110.25" x14ac:dyDescent="0.25">
      <c r="A328" s="1">
        <v>3</v>
      </c>
      <c r="B328" s="13" t="s">
        <v>1748</v>
      </c>
      <c r="C328" s="572"/>
      <c r="D328" s="573"/>
      <c r="E328" s="10" t="s">
        <v>1178</v>
      </c>
      <c r="F328" s="24" t="s">
        <v>1179</v>
      </c>
      <c r="G328" s="575"/>
      <c r="H328" s="578"/>
      <c r="I328" s="1" t="s">
        <v>1180</v>
      </c>
      <c r="J328" s="13" t="s">
        <v>1181</v>
      </c>
      <c r="K328" s="572"/>
      <c r="L328" s="573"/>
      <c r="M328" s="23"/>
      <c r="N328" s="23" t="s">
        <v>1183</v>
      </c>
      <c r="O328" s="13" t="s">
        <v>1183</v>
      </c>
      <c r="P328" s="1">
        <v>0</v>
      </c>
      <c r="Q328" s="26">
        <v>1</v>
      </c>
      <c r="R328" s="14"/>
      <c r="S328" s="13" t="s">
        <v>1184</v>
      </c>
      <c r="T328" s="13" t="s">
        <v>1184</v>
      </c>
      <c r="U328" s="1">
        <v>0</v>
      </c>
      <c r="V328" s="10">
        <v>1</v>
      </c>
      <c r="W328" s="1" t="s">
        <v>49</v>
      </c>
      <c r="X328" s="1"/>
      <c r="Y328" s="1"/>
      <c r="Z328" s="1"/>
      <c r="AA328" s="24"/>
      <c r="AB328" s="10" t="s">
        <v>1766</v>
      </c>
      <c r="AC328" s="156"/>
      <c r="AD328" s="156">
        <v>0.5</v>
      </c>
      <c r="AE328" s="156">
        <v>0.5</v>
      </c>
      <c r="AF328" s="156"/>
      <c r="AG328" s="377">
        <f t="shared" si="41"/>
        <v>1</v>
      </c>
      <c r="AH328" s="377" t="b">
        <f t="shared" si="38"/>
        <v>1</v>
      </c>
      <c r="AI328" s="1"/>
      <c r="AJ328" s="1"/>
      <c r="AK328" s="1"/>
      <c r="AL328" s="1"/>
      <c r="AM328" s="16">
        <f t="shared" si="39"/>
        <v>0</v>
      </c>
      <c r="AN328" s="156"/>
      <c r="AO328" s="1"/>
      <c r="AP328" s="1"/>
      <c r="AQ328" s="1"/>
      <c r="AR328" s="1"/>
      <c r="AS328" s="21" t="s">
        <v>310</v>
      </c>
      <c r="AT328" s="1">
        <f t="shared" si="40"/>
        <v>0.2</v>
      </c>
      <c r="AU328" s="31"/>
      <c r="AV328" s="31"/>
      <c r="AW328" s="31"/>
      <c r="AX328" s="16">
        <f t="shared" si="53"/>
        <v>0.2</v>
      </c>
      <c r="AY328" s="156">
        <v>0.5</v>
      </c>
      <c r="AZ328" s="76">
        <v>0.2</v>
      </c>
      <c r="BA328" s="31"/>
      <c r="BB328" s="31"/>
      <c r="BC328" s="31"/>
      <c r="BD328" s="16">
        <f t="shared" si="42"/>
        <v>0.4</v>
      </c>
      <c r="BE328" s="31"/>
      <c r="BF328" s="31"/>
      <c r="BG328" s="31"/>
      <c r="BH328" s="31"/>
      <c r="BI328" s="16"/>
      <c r="BJ328" s="16"/>
      <c r="BK328" s="31"/>
      <c r="BL328" s="31"/>
      <c r="BM328" s="31"/>
      <c r="BN328" s="31"/>
      <c r="BO328" s="16"/>
      <c r="BP328" s="31"/>
      <c r="BQ328" s="31"/>
      <c r="BR328" s="31"/>
      <c r="BS328" s="31"/>
      <c r="BT328" s="16"/>
      <c r="BU328" s="16"/>
      <c r="BV328" s="16"/>
      <c r="BW328" s="16"/>
      <c r="BX328" s="16"/>
      <c r="BY328" s="16"/>
      <c r="BZ328" s="16"/>
      <c r="CA328" s="1"/>
      <c r="CB328" s="1"/>
      <c r="CC328" s="1"/>
    </row>
    <row r="329" spans="1:81" s="52" customFormat="1" ht="78.75" x14ac:dyDescent="0.25">
      <c r="A329" s="1">
        <v>3</v>
      </c>
      <c r="B329" s="13" t="s">
        <v>1748</v>
      </c>
      <c r="C329" s="572"/>
      <c r="D329" s="573"/>
      <c r="E329" s="10" t="s">
        <v>1178</v>
      </c>
      <c r="F329" s="24" t="s">
        <v>1179</v>
      </c>
      <c r="G329" s="575"/>
      <c r="H329" s="578"/>
      <c r="I329" s="1" t="s">
        <v>1180</v>
      </c>
      <c r="J329" s="13" t="s">
        <v>1181</v>
      </c>
      <c r="K329" s="568"/>
      <c r="L329" s="570"/>
      <c r="M329" s="23"/>
      <c r="N329" s="23" t="s">
        <v>1185</v>
      </c>
      <c r="O329" s="13" t="s">
        <v>1185</v>
      </c>
      <c r="P329" s="1">
        <v>56</v>
      </c>
      <c r="Q329" s="1">
        <v>100</v>
      </c>
      <c r="R329" s="24"/>
      <c r="S329" s="13" t="s">
        <v>1186</v>
      </c>
      <c r="T329" s="13" t="s">
        <v>1186</v>
      </c>
      <c r="U329" s="1">
        <v>46</v>
      </c>
      <c r="V329" s="1">
        <v>46</v>
      </c>
      <c r="W329" s="1" t="s">
        <v>78</v>
      </c>
      <c r="X329" s="1"/>
      <c r="Y329" s="1"/>
      <c r="Z329" s="1"/>
      <c r="AA329" s="24"/>
      <c r="AB329" s="10" t="s">
        <v>1766</v>
      </c>
      <c r="AC329" s="156">
        <v>46</v>
      </c>
      <c r="AD329" s="156">
        <v>46</v>
      </c>
      <c r="AE329" s="156">
        <v>46</v>
      </c>
      <c r="AF329" s="156">
        <v>46</v>
      </c>
      <c r="AG329" s="377">
        <f t="shared" si="41"/>
        <v>184</v>
      </c>
      <c r="AH329" s="377" t="b">
        <f t="shared" ref="AH329:AH393" si="54">V329=AG329</f>
        <v>0</v>
      </c>
      <c r="AI329" s="1">
        <v>46</v>
      </c>
      <c r="AJ329" s="1">
        <v>46</v>
      </c>
      <c r="AK329" s="1">
        <v>46</v>
      </c>
      <c r="AL329" s="1">
        <v>46</v>
      </c>
      <c r="AM329" s="16">
        <f>+AL329/V329</f>
        <v>1</v>
      </c>
      <c r="AN329" s="156">
        <v>46</v>
      </c>
      <c r="AO329" s="1">
        <v>46</v>
      </c>
      <c r="AP329" s="1">
        <v>46</v>
      </c>
      <c r="AQ329" s="1"/>
      <c r="AR329" s="1">
        <f>AL329</f>
        <v>46</v>
      </c>
      <c r="AS329" s="21">
        <f>+AR329/AN329</f>
        <v>1</v>
      </c>
      <c r="AT329" s="1">
        <f t="shared" si="40"/>
        <v>13.5</v>
      </c>
      <c r="AU329" s="31"/>
      <c r="AV329" s="31"/>
      <c r="AW329" s="31"/>
      <c r="AX329" s="16">
        <f t="shared" si="53"/>
        <v>0.29347826086956524</v>
      </c>
      <c r="AY329" s="156">
        <v>46</v>
      </c>
      <c r="AZ329" s="76">
        <v>8</v>
      </c>
      <c r="BA329" s="31"/>
      <c r="BB329" s="31"/>
      <c r="BC329" s="31"/>
      <c r="BD329" s="16">
        <f t="shared" si="42"/>
        <v>0.17391304347826086</v>
      </c>
      <c r="BE329" s="31"/>
      <c r="BF329" s="31"/>
      <c r="BG329" s="31"/>
      <c r="BH329" s="31"/>
      <c r="BI329" s="16"/>
      <c r="BJ329" s="16"/>
      <c r="BK329" s="31"/>
      <c r="BL329" s="31"/>
      <c r="BM329" s="31"/>
      <c r="BN329" s="31"/>
      <c r="BO329" s="16"/>
      <c r="BP329" s="31"/>
      <c r="BQ329" s="31"/>
      <c r="BR329" s="31"/>
      <c r="BS329" s="31"/>
      <c r="BT329" s="16"/>
      <c r="BU329" s="16"/>
      <c r="BV329" s="16"/>
      <c r="BW329" s="16"/>
      <c r="BX329" s="16"/>
      <c r="BY329" s="16"/>
      <c r="BZ329" s="16"/>
      <c r="CA329" s="1"/>
      <c r="CB329" s="1"/>
      <c r="CC329" s="1"/>
    </row>
    <row r="330" spans="1:81" s="52" customFormat="1" ht="47.25" x14ac:dyDescent="0.25">
      <c r="A330" s="1">
        <v>3</v>
      </c>
      <c r="B330" s="13" t="s">
        <v>1748</v>
      </c>
      <c r="C330" s="572"/>
      <c r="D330" s="573"/>
      <c r="E330" s="10" t="s">
        <v>1178</v>
      </c>
      <c r="F330" s="24" t="s">
        <v>1179</v>
      </c>
      <c r="G330" s="575"/>
      <c r="H330" s="578"/>
      <c r="I330" s="1" t="s">
        <v>1187</v>
      </c>
      <c r="J330" s="13" t="s">
        <v>1188</v>
      </c>
      <c r="K330" s="567">
        <f>AVERAGE(AX330:AX332)</f>
        <v>0.55161290322580647</v>
      </c>
      <c r="L330" s="569">
        <f>IFERROR(AVERAGE(BD330:BD332),"NP")</f>
        <v>7.4999999999999997E-2</v>
      </c>
      <c r="M330" s="23"/>
      <c r="N330" s="23" t="s">
        <v>1189</v>
      </c>
      <c r="O330" s="13" t="s">
        <v>1189</v>
      </c>
      <c r="P330" s="1">
        <v>0</v>
      </c>
      <c r="Q330" s="26">
        <v>0.02</v>
      </c>
      <c r="R330" s="14"/>
      <c r="S330" s="13" t="s">
        <v>1190</v>
      </c>
      <c r="T330" s="13" t="s">
        <v>1190</v>
      </c>
      <c r="U330" s="1">
        <v>0</v>
      </c>
      <c r="V330" s="10">
        <v>2</v>
      </c>
      <c r="W330" s="1" t="s">
        <v>49</v>
      </c>
      <c r="X330" s="1"/>
      <c r="Y330" s="1"/>
      <c r="Z330" s="1"/>
      <c r="AA330" s="24"/>
      <c r="AB330" s="10" t="s">
        <v>1766</v>
      </c>
      <c r="AC330" s="371">
        <v>2</v>
      </c>
      <c r="AD330" s="156">
        <v>1</v>
      </c>
      <c r="AE330" s="371">
        <v>1</v>
      </c>
      <c r="AF330" s="371"/>
      <c r="AG330" s="377">
        <f t="shared" si="41"/>
        <v>4</v>
      </c>
      <c r="AH330" s="396" t="b">
        <f t="shared" si="54"/>
        <v>0</v>
      </c>
      <c r="AI330" s="1">
        <v>0</v>
      </c>
      <c r="AJ330" s="1">
        <v>0</v>
      </c>
      <c r="AK330" s="1">
        <v>0</v>
      </c>
      <c r="AL330" s="1">
        <v>0</v>
      </c>
      <c r="AM330" s="16">
        <f>+AL330/V330</f>
        <v>0</v>
      </c>
      <c r="AN330" s="156">
        <v>2</v>
      </c>
      <c r="AO330" s="1">
        <v>0</v>
      </c>
      <c r="AP330" s="1">
        <v>0</v>
      </c>
      <c r="AQ330" s="1"/>
      <c r="AR330" s="1">
        <f>AL330</f>
        <v>0</v>
      </c>
      <c r="AS330" s="21">
        <f>+AR330/AN330</f>
        <v>0</v>
      </c>
      <c r="AT330" s="1">
        <f t="shared" si="40"/>
        <v>0.15</v>
      </c>
      <c r="AU330" s="31"/>
      <c r="AV330" s="31"/>
      <c r="AW330" s="31"/>
      <c r="AX330" s="16">
        <f t="shared" si="53"/>
        <v>7.4999999999999997E-2</v>
      </c>
      <c r="AY330" s="156">
        <v>1</v>
      </c>
      <c r="AZ330" s="76">
        <v>0.15</v>
      </c>
      <c r="BA330" s="31"/>
      <c r="BB330" s="31"/>
      <c r="BC330" s="31"/>
      <c r="BD330" s="16">
        <f t="shared" si="42"/>
        <v>0.15</v>
      </c>
      <c r="BE330" s="31"/>
      <c r="BF330" s="31"/>
      <c r="BG330" s="31"/>
      <c r="BH330" s="31"/>
      <c r="BI330" s="16"/>
      <c r="BJ330" s="16"/>
      <c r="BK330" s="31"/>
      <c r="BL330" s="31"/>
      <c r="BM330" s="31"/>
      <c r="BN330" s="31"/>
      <c r="BO330" s="16"/>
      <c r="BP330" s="31"/>
      <c r="BQ330" s="31"/>
      <c r="BR330" s="31"/>
      <c r="BS330" s="31"/>
      <c r="BT330" s="16"/>
      <c r="BU330" s="16"/>
      <c r="BV330" s="16"/>
      <c r="BW330" s="16"/>
      <c r="BX330" s="16"/>
      <c r="BY330" s="16"/>
      <c r="BZ330" s="16"/>
      <c r="CA330" s="1"/>
      <c r="CB330" s="1"/>
      <c r="CC330" s="1"/>
    </row>
    <row r="331" spans="1:81" s="52" customFormat="1" ht="75.75" customHeight="1" x14ac:dyDescent="0.25">
      <c r="A331" s="1">
        <v>3</v>
      </c>
      <c r="B331" s="13" t="s">
        <v>1748</v>
      </c>
      <c r="C331" s="572"/>
      <c r="D331" s="573"/>
      <c r="E331" s="10" t="s">
        <v>1178</v>
      </c>
      <c r="F331" s="24" t="s">
        <v>1179</v>
      </c>
      <c r="G331" s="575"/>
      <c r="H331" s="578"/>
      <c r="I331" s="1" t="s">
        <v>1187</v>
      </c>
      <c r="J331" s="13" t="s">
        <v>1188</v>
      </c>
      <c r="K331" s="572"/>
      <c r="L331" s="573"/>
      <c r="M331" s="23"/>
      <c r="N331" s="23" t="s">
        <v>1191</v>
      </c>
      <c r="O331" s="13" t="s">
        <v>1191</v>
      </c>
      <c r="P331" s="369">
        <v>1.8E-3</v>
      </c>
      <c r="Q331" s="369">
        <v>2.3999999999999998E-3</v>
      </c>
      <c r="R331" s="41"/>
      <c r="S331" s="13" t="s">
        <v>1192</v>
      </c>
      <c r="T331" s="13" t="s">
        <v>1192</v>
      </c>
      <c r="U331" s="1">
        <v>1.8E-3</v>
      </c>
      <c r="V331" s="412">
        <v>2.3999999999999998E-3</v>
      </c>
      <c r="W331" s="1" t="s">
        <v>49</v>
      </c>
      <c r="X331" s="1"/>
      <c r="Y331" s="1"/>
      <c r="Z331" s="1"/>
      <c r="AA331" s="24"/>
      <c r="AB331" s="10" t="s">
        <v>1766</v>
      </c>
      <c r="AC331" s="374">
        <v>0.18</v>
      </c>
      <c r="AD331" s="378">
        <v>0.2</v>
      </c>
      <c r="AE331" s="374">
        <v>0.28000000000000003</v>
      </c>
      <c r="AF331" s="374">
        <v>0.24</v>
      </c>
      <c r="AG331" s="377">
        <f t="shared" si="41"/>
        <v>0.9</v>
      </c>
      <c r="AH331" s="377" t="b">
        <f t="shared" si="54"/>
        <v>0</v>
      </c>
      <c r="AI331" s="1">
        <v>1.8E-3</v>
      </c>
      <c r="AJ331" s="1">
        <v>1.8E-3</v>
      </c>
      <c r="AK331" s="1">
        <v>1.8E-3</v>
      </c>
      <c r="AL331" s="1">
        <v>1.8E-3</v>
      </c>
      <c r="AM331" s="16">
        <f>+AL331/V331</f>
        <v>0.75</v>
      </c>
      <c r="AN331" s="156">
        <v>1.8E-3</v>
      </c>
      <c r="AO331" s="1">
        <v>1.8E-3</v>
      </c>
      <c r="AP331" s="1">
        <v>1.8E-3</v>
      </c>
      <c r="AQ331" s="1">
        <v>1.8E-3</v>
      </c>
      <c r="AR331" s="1">
        <v>1.8E-3</v>
      </c>
      <c r="AS331" s="21">
        <f>+AR331/AN331</f>
        <v>1</v>
      </c>
      <c r="AT331" s="1">
        <f t="shared" si="40"/>
        <v>1.8E-3</v>
      </c>
      <c r="AU331" s="31"/>
      <c r="AV331" s="31"/>
      <c r="AW331" s="31"/>
      <c r="AX331" s="16">
        <f t="shared" si="53"/>
        <v>0.75</v>
      </c>
      <c r="AY331" s="378">
        <v>0.2</v>
      </c>
      <c r="AZ331" s="76"/>
      <c r="BA331" s="31"/>
      <c r="BB331" s="31"/>
      <c r="BC331" s="31"/>
      <c r="BD331" s="16">
        <f t="shared" si="42"/>
        <v>0</v>
      </c>
      <c r="BE331" s="31"/>
      <c r="BF331" s="31"/>
      <c r="BG331" s="31"/>
      <c r="BH331" s="31"/>
      <c r="BI331" s="16"/>
      <c r="BJ331" s="16"/>
      <c r="BK331" s="31"/>
      <c r="BL331" s="31"/>
      <c r="BM331" s="31"/>
      <c r="BN331" s="31"/>
      <c r="BO331" s="16"/>
      <c r="BP331" s="31"/>
      <c r="BQ331" s="31"/>
      <c r="BR331" s="31"/>
      <c r="BS331" s="31"/>
      <c r="BT331" s="16"/>
      <c r="BU331" s="16"/>
      <c r="BV331" s="16"/>
      <c r="BW331" s="16"/>
      <c r="BX331" s="16"/>
      <c r="BY331" s="16"/>
      <c r="BZ331" s="16"/>
      <c r="CA331" s="1"/>
      <c r="CB331" s="1"/>
      <c r="CC331" s="1"/>
    </row>
    <row r="332" spans="1:81" s="52" customFormat="1" ht="78.75" x14ac:dyDescent="0.25">
      <c r="A332" s="1">
        <v>3</v>
      </c>
      <c r="B332" s="13" t="s">
        <v>1748</v>
      </c>
      <c r="C332" s="572"/>
      <c r="D332" s="573"/>
      <c r="E332" s="10" t="s">
        <v>1178</v>
      </c>
      <c r="F332" s="24" t="s">
        <v>1179</v>
      </c>
      <c r="G332" s="575"/>
      <c r="H332" s="578"/>
      <c r="I332" s="1" t="s">
        <v>1187</v>
      </c>
      <c r="J332" s="13" t="s">
        <v>1188</v>
      </c>
      <c r="K332" s="568"/>
      <c r="L332" s="570"/>
      <c r="M332" s="23"/>
      <c r="N332" s="23" t="s">
        <v>1193</v>
      </c>
      <c r="O332" s="13" t="s">
        <v>1194</v>
      </c>
      <c r="P332" s="1">
        <v>102900</v>
      </c>
      <c r="Q332" s="26">
        <v>0.06</v>
      </c>
      <c r="R332" s="14"/>
      <c r="S332" s="13" t="s">
        <v>1195</v>
      </c>
      <c r="T332" s="13" t="s">
        <v>1195</v>
      </c>
      <c r="U332" s="1">
        <v>102900</v>
      </c>
      <c r="V332" s="10">
        <v>124000</v>
      </c>
      <c r="W332" s="1" t="s">
        <v>49</v>
      </c>
      <c r="X332" s="1"/>
      <c r="Y332" s="1"/>
      <c r="Z332" s="1"/>
      <c r="AA332" s="24"/>
      <c r="AB332" s="10" t="s">
        <v>1766</v>
      </c>
      <c r="AC332" s="156">
        <v>102900</v>
      </c>
      <c r="AD332" s="108"/>
      <c r="AE332" s="156">
        <v>50000</v>
      </c>
      <c r="AF332" s="156">
        <v>50000</v>
      </c>
      <c r="AG332" s="377">
        <f t="shared" si="41"/>
        <v>202900</v>
      </c>
      <c r="AH332" s="396" t="b">
        <f t="shared" si="54"/>
        <v>0</v>
      </c>
      <c r="AI332" s="1">
        <v>102900</v>
      </c>
      <c r="AJ332" s="1">
        <v>102900</v>
      </c>
      <c r="AK332" s="1">
        <v>102900</v>
      </c>
      <c r="AL332" s="1">
        <v>102900</v>
      </c>
      <c r="AM332" s="16">
        <f t="shared" ref="AM332:AM393" si="55">+AL332/V332</f>
        <v>0.82983870967741935</v>
      </c>
      <c r="AN332" s="156">
        <v>102900</v>
      </c>
      <c r="AO332" s="1">
        <v>102900</v>
      </c>
      <c r="AP332" s="1">
        <v>102900</v>
      </c>
      <c r="AQ332" s="1"/>
      <c r="AR332" s="1">
        <f>AL332</f>
        <v>102900</v>
      </c>
      <c r="AS332" s="21">
        <f>+AR332/AN332</f>
        <v>1</v>
      </c>
      <c r="AT332" s="1">
        <f t="shared" si="40"/>
        <v>102900</v>
      </c>
      <c r="AU332" s="31"/>
      <c r="AV332" s="31"/>
      <c r="AW332" s="31"/>
      <c r="AX332" s="16">
        <f t="shared" si="53"/>
        <v>0.82983870967741935</v>
      </c>
      <c r="AY332" s="108" t="s">
        <v>310</v>
      </c>
      <c r="AZ332" s="76"/>
      <c r="BA332" s="31"/>
      <c r="BB332" s="31"/>
      <c r="BC332" s="31"/>
      <c r="BD332" s="16" t="str">
        <f t="shared" si="42"/>
        <v>NP</v>
      </c>
      <c r="BE332" s="31"/>
      <c r="BF332" s="31"/>
      <c r="BG332" s="31"/>
      <c r="BH332" s="31"/>
      <c r="BI332" s="16"/>
      <c r="BJ332" s="16"/>
      <c r="BK332" s="31"/>
      <c r="BL332" s="31"/>
      <c r="BM332" s="31"/>
      <c r="BN332" s="31"/>
      <c r="BO332" s="16"/>
      <c r="BP332" s="31"/>
      <c r="BQ332" s="31"/>
      <c r="BR332" s="31"/>
      <c r="BS332" s="31"/>
      <c r="BT332" s="16"/>
      <c r="BU332" s="16"/>
      <c r="BV332" s="16"/>
      <c r="BW332" s="16"/>
      <c r="BX332" s="16"/>
      <c r="BY332" s="16"/>
      <c r="BZ332" s="16"/>
      <c r="CA332" s="1"/>
      <c r="CB332" s="1"/>
      <c r="CC332" s="1"/>
    </row>
    <row r="333" spans="1:81" s="52" customFormat="1" ht="82.5" customHeight="1" x14ac:dyDescent="0.25">
      <c r="A333" s="1">
        <v>3</v>
      </c>
      <c r="B333" s="13" t="s">
        <v>1748</v>
      </c>
      <c r="C333" s="572"/>
      <c r="D333" s="573"/>
      <c r="E333" s="10" t="s">
        <v>1178</v>
      </c>
      <c r="F333" s="24" t="s">
        <v>1179</v>
      </c>
      <c r="G333" s="575"/>
      <c r="H333" s="578"/>
      <c r="I333" s="1" t="s">
        <v>1196</v>
      </c>
      <c r="J333" s="13" t="s">
        <v>1197</v>
      </c>
      <c r="K333" s="567">
        <f>AVERAGE(AX333:AX337)</f>
        <v>0.47066666666666668</v>
      </c>
      <c r="L333" s="569">
        <f>IFERROR(AVERAGE(BD333:BD337),"NP")</f>
        <v>0.42000000000000004</v>
      </c>
      <c r="M333" s="23"/>
      <c r="N333" s="23" t="s">
        <v>1198</v>
      </c>
      <c r="O333" s="13" t="s">
        <v>1198</v>
      </c>
      <c r="P333" s="26">
        <v>1</v>
      </c>
      <c r="Q333" s="369">
        <v>0.8155</v>
      </c>
      <c r="R333" s="41"/>
      <c r="S333" s="13" t="s">
        <v>1199</v>
      </c>
      <c r="T333" s="13" t="s">
        <v>1199</v>
      </c>
      <c r="U333" s="10">
        <v>147150</v>
      </c>
      <c r="V333" s="10">
        <v>120000</v>
      </c>
      <c r="W333" s="1" t="s">
        <v>49</v>
      </c>
      <c r="X333" s="1"/>
      <c r="Y333" s="1"/>
      <c r="Z333" s="1"/>
      <c r="AA333" s="24"/>
      <c r="AB333" s="10" t="s">
        <v>1766</v>
      </c>
      <c r="AC333" s="156">
        <v>147150</v>
      </c>
      <c r="AD333" s="156">
        <v>30000</v>
      </c>
      <c r="AE333" s="156">
        <v>30000</v>
      </c>
      <c r="AF333" s="156">
        <v>30000</v>
      </c>
      <c r="AG333" s="377">
        <f t="shared" si="41"/>
        <v>237150</v>
      </c>
      <c r="AH333" s="377" t="b">
        <f t="shared" si="54"/>
        <v>0</v>
      </c>
      <c r="AI333" s="1">
        <v>127150</v>
      </c>
      <c r="AJ333" s="1">
        <v>147150</v>
      </c>
      <c r="AK333" s="1">
        <v>147150</v>
      </c>
      <c r="AL333" s="1">
        <v>147150</v>
      </c>
      <c r="AM333" s="16">
        <v>1</v>
      </c>
      <c r="AN333" s="156">
        <v>147150</v>
      </c>
      <c r="AO333" s="1">
        <v>127150</v>
      </c>
      <c r="AP333" s="1">
        <v>147150</v>
      </c>
      <c r="AQ333" s="1"/>
      <c r="AR333" s="1">
        <f>AL333</f>
        <v>147150</v>
      </c>
      <c r="AS333" s="21">
        <f>+AR333/AN333</f>
        <v>1</v>
      </c>
      <c r="AT333" s="1">
        <f t="shared" si="40"/>
        <v>242654</v>
      </c>
      <c r="AU333" s="31"/>
      <c r="AV333" s="31"/>
      <c r="AW333" s="31"/>
      <c r="AX333" s="16">
        <f t="shared" si="53"/>
        <v>1</v>
      </c>
      <c r="AY333" s="156">
        <v>30000</v>
      </c>
      <c r="AZ333" s="76">
        <v>95504</v>
      </c>
      <c r="BA333" s="31"/>
      <c r="BB333" s="31"/>
      <c r="BC333" s="31"/>
      <c r="BD333" s="16">
        <f t="shared" si="42"/>
        <v>1</v>
      </c>
      <c r="BE333" s="31"/>
      <c r="BF333" s="31"/>
      <c r="BG333" s="31"/>
      <c r="BH333" s="31"/>
      <c r="BI333" s="16"/>
      <c r="BJ333" s="16"/>
      <c r="BK333" s="31"/>
      <c r="BL333" s="31"/>
      <c r="BM333" s="31"/>
      <c r="BN333" s="31"/>
      <c r="BO333" s="16"/>
      <c r="BP333" s="31"/>
      <c r="BQ333" s="31"/>
      <c r="BR333" s="31"/>
      <c r="BS333" s="31"/>
      <c r="BT333" s="16"/>
      <c r="BU333" s="16"/>
      <c r="BV333" s="16"/>
      <c r="BW333" s="16"/>
      <c r="BX333" s="16"/>
      <c r="BY333" s="16"/>
      <c r="BZ333" s="16"/>
      <c r="CA333" s="1"/>
      <c r="CB333" s="1"/>
      <c r="CC333" s="1"/>
    </row>
    <row r="334" spans="1:81" s="52" customFormat="1" ht="79.5" customHeight="1" x14ac:dyDescent="0.25">
      <c r="A334" s="1">
        <v>3</v>
      </c>
      <c r="B334" s="13" t="s">
        <v>1748</v>
      </c>
      <c r="C334" s="572"/>
      <c r="D334" s="573"/>
      <c r="E334" s="10" t="s">
        <v>1178</v>
      </c>
      <c r="F334" s="24" t="s">
        <v>1179</v>
      </c>
      <c r="G334" s="575"/>
      <c r="H334" s="578"/>
      <c r="I334" s="1" t="s">
        <v>1196</v>
      </c>
      <c r="J334" s="13" t="s">
        <v>1197</v>
      </c>
      <c r="K334" s="572"/>
      <c r="L334" s="573"/>
      <c r="M334" s="23"/>
      <c r="N334" s="23" t="s">
        <v>1200</v>
      </c>
      <c r="O334" s="13" t="s">
        <v>1200</v>
      </c>
      <c r="P334" s="26">
        <v>0.85</v>
      </c>
      <c r="Q334" s="26">
        <v>1</v>
      </c>
      <c r="R334" s="14"/>
      <c r="S334" s="13" t="s">
        <v>1989</v>
      </c>
      <c r="T334" s="13" t="s">
        <v>1201</v>
      </c>
      <c r="U334" s="1">
        <v>50</v>
      </c>
      <c r="V334" s="10">
        <v>30</v>
      </c>
      <c r="W334" s="1" t="s">
        <v>49</v>
      </c>
      <c r="X334" s="1"/>
      <c r="Y334" s="1"/>
      <c r="Z334" s="1"/>
      <c r="AA334" s="24"/>
      <c r="AB334" s="10" t="s">
        <v>1766</v>
      </c>
      <c r="AC334" s="156">
        <v>50</v>
      </c>
      <c r="AD334" s="156">
        <v>20</v>
      </c>
      <c r="AE334" s="156">
        <v>20</v>
      </c>
      <c r="AF334" s="156">
        <v>20</v>
      </c>
      <c r="AG334" s="377">
        <f t="shared" si="41"/>
        <v>110</v>
      </c>
      <c r="AH334" s="377" t="b">
        <f t="shared" si="54"/>
        <v>0</v>
      </c>
      <c r="AI334" s="1">
        <v>90</v>
      </c>
      <c r="AJ334" s="1">
        <v>97</v>
      </c>
      <c r="AK334" s="1">
        <v>97</v>
      </c>
      <c r="AL334" s="1">
        <v>97</v>
      </c>
      <c r="AM334" s="16">
        <v>1</v>
      </c>
      <c r="AN334" s="156">
        <v>50</v>
      </c>
      <c r="AO334" s="1">
        <v>90</v>
      </c>
      <c r="AP334" s="1">
        <v>97</v>
      </c>
      <c r="AQ334" s="1"/>
      <c r="AR334" s="1">
        <f>AL334</f>
        <v>97</v>
      </c>
      <c r="AS334" s="21">
        <v>1</v>
      </c>
      <c r="AT334" s="1">
        <f t="shared" ref="AT334:AT397" si="56">IF(W334="Mantenimiento",(AL334+AZ334)/4*100%,AL334+AZ334)</f>
        <v>99</v>
      </c>
      <c r="AU334" s="31"/>
      <c r="AV334" s="31"/>
      <c r="AW334" s="31"/>
      <c r="AX334" s="16">
        <f t="shared" si="53"/>
        <v>1</v>
      </c>
      <c r="AY334" s="156">
        <v>20</v>
      </c>
      <c r="AZ334" s="76">
        <v>2</v>
      </c>
      <c r="BA334" s="31"/>
      <c r="BB334" s="31"/>
      <c r="BC334" s="31"/>
      <c r="BD334" s="16">
        <f t="shared" si="42"/>
        <v>0.1</v>
      </c>
      <c r="BE334" s="31"/>
      <c r="BF334" s="31"/>
      <c r="BG334" s="31"/>
      <c r="BH334" s="31"/>
      <c r="BI334" s="16"/>
      <c r="BJ334" s="16"/>
      <c r="BK334" s="31"/>
      <c r="BL334" s="31"/>
      <c r="BM334" s="31"/>
      <c r="BN334" s="31"/>
      <c r="BO334" s="16"/>
      <c r="BP334" s="31"/>
      <c r="BQ334" s="31"/>
      <c r="BR334" s="31"/>
      <c r="BS334" s="31"/>
      <c r="BT334" s="16"/>
      <c r="BU334" s="16"/>
      <c r="BV334" s="16"/>
      <c r="BW334" s="16"/>
      <c r="BX334" s="16"/>
      <c r="BY334" s="16"/>
      <c r="BZ334" s="16"/>
      <c r="CA334" s="1"/>
      <c r="CB334" s="1"/>
      <c r="CC334" s="1"/>
    </row>
    <row r="335" spans="1:81" s="52" customFormat="1" ht="90.75" customHeight="1" x14ac:dyDescent="0.25">
      <c r="A335" s="1">
        <v>3</v>
      </c>
      <c r="B335" s="13" t="s">
        <v>1748</v>
      </c>
      <c r="C335" s="572"/>
      <c r="D335" s="573"/>
      <c r="E335" s="10" t="s">
        <v>1178</v>
      </c>
      <c r="F335" s="24" t="s">
        <v>1179</v>
      </c>
      <c r="G335" s="575"/>
      <c r="H335" s="578"/>
      <c r="I335" s="1" t="s">
        <v>1196</v>
      </c>
      <c r="J335" s="13" t="s">
        <v>1197</v>
      </c>
      <c r="K335" s="572"/>
      <c r="L335" s="573"/>
      <c r="M335" s="23"/>
      <c r="N335" s="23"/>
      <c r="O335" s="421" t="s">
        <v>1991</v>
      </c>
      <c r="P335" s="1">
        <v>50</v>
      </c>
      <c r="Q335" s="1">
        <v>25</v>
      </c>
      <c r="R335" s="14"/>
      <c r="S335" s="420" t="s">
        <v>1990</v>
      </c>
      <c r="T335" s="420" t="s">
        <v>1990</v>
      </c>
      <c r="U335" s="1">
        <v>50</v>
      </c>
      <c r="V335" s="10">
        <v>25</v>
      </c>
      <c r="W335" s="1" t="s">
        <v>49</v>
      </c>
      <c r="X335" s="1"/>
      <c r="Y335" s="1"/>
      <c r="Z335" s="1"/>
      <c r="AA335" s="24"/>
      <c r="AB335" s="10" t="s">
        <v>1766</v>
      </c>
      <c r="AC335" s="156">
        <v>7</v>
      </c>
      <c r="AD335" s="156">
        <v>6</v>
      </c>
      <c r="AE335" s="156">
        <v>6</v>
      </c>
      <c r="AF335" s="156">
        <v>6</v>
      </c>
      <c r="AG335" s="377">
        <f t="shared" si="41"/>
        <v>25</v>
      </c>
      <c r="AH335" s="377" t="b">
        <f t="shared" si="54"/>
        <v>1</v>
      </c>
      <c r="AI335" s="1"/>
      <c r="AJ335" s="1"/>
      <c r="AK335" s="1"/>
      <c r="AL335" s="1"/>
      <c r="AM335" s="16"/>
      <c r="AN335" s="156"/>
      <c r="AO335" s="1"/>
      <c r="AP335" s="1"/>
      <c r="AQ335" s="1"/>
      <c r="AR335" s="1"/>
      <c r="AS335" s="21"/>
      <c r="AT335" s="1">
        <f t="shared" si="56"/>
        <v>0</v>
      </c>
      <c r="AU335" s="31"/>
      <c r="AV335" s="31"/>
      <c r="AW335" s="31"/>
      <c r="AX335" s="16">
        <f t="shared" si="53"/>
        <v>0</v>
      </c>
      <c r="AY335" s="156">
        <v>6</v>
      </c>
      <c r="AZ335" s="76"/>
      <c r="BA335" s="31"/>
      <c r="BB335" s="31"/>
      <c r="BC335" s="31"/>
      <c r="BD335" s="16">
        <f t="shared" ref="BD335:BD398" si="57">IFERROR(IF((+AZ335/AY335)&gt;100%,100%,(+AZ335/AY335)),"NP")</f>
        <v>0</v>
      </c>
      <c r="BE335" s="31"/>
      <c r="BF335" s="31"/>
      <c r="BG335" s="31"/>
      <c r="BH335" s="31"/>
      <c r="BI335" s="16"/>
      <c r="BJ335" s="16"/>
      <c r="BK335" s="31"/>
      <c r="BL335" s="31"/>
      <c r="BM335" s="31"/>
      <c r="BN335" s="31"/>
      <c r="BO335" s="16"/>
      <c r="BP335" s="31"/>
      <c r="BQ335" s="31"/>
      <c r="BR335" s="31"/>
      <c r="BS335" s="31"/>
      <c r="BT335" s="16"/>
      <c r="BU335" s="16"/>
      <c r="BV335" s="16"/>
      <c r="BW335" s="16"/>
      <c r="BX335" s="16"/>
      <c r="BY335" s="16"/>
      <c r="BZ335" s="16"/>
      <c r="CA335" s="1"/>
      <c r="CB335" s="1"/>
      <c r="CC335" s="1"/>
    </row>
    <row r="336" spans="1:81" s="52" customFormat="1" ht="95.25" customHeight="1" x14ac:dyDescent="0.25">
      <c r="A336" s="1">
        <v>3</v>
      </c>
      <c r="B336" s="13" t="s">
        <v>1748</v>
      </c>
      <c r="C336" s="572"/>
      <c r="D336" s="573"/>
      <c r="E336" s="10" t="s">
        <v>1178</v>
      </c>
      <c r="F336" s="24" t="s">
        <v>1179</v>
      </c>
      <c r="G336" s="575"/>
      <c r="H336" s="578"/>
      <c r="I336" s="1" t="s">
        <v>1196</v>
      </c>
      <c r="J336" s="13" t="s">
        <v>1197</v>
      </c>
      <c r="K336" s="572"/>
      <c r="L336" s="573"/>
      <c r="M336" s="23"/>
      <c r="N336" s="23" t="s">
        <v>1202</v>
      </c>
      <c r="O336" s="13" t="s">
        <v>1202</v>
      </c>
      <c r="P336" s="26">
        <v>1</v>
      </c>
      <c r="Q336" s="369">
        <v>0.65900000000000003</v>
      </c>
      <c r="R336" s="41"/>
      <c r="S336" s="13" t="s">
        <v>1203</v>
      </c>
      <c r="T336" s="13" t="s">
        <v>1203</v>
      </c>
      <c r="U336" s="1">
        <v>800</v>
      </c>
      <c r="V336" s="10">
        <v>300</v>
      </c>
      <c r="W336" s="1" t="s">
        <v>49</v>
      </c>
      <c r="X336" s="1"/>
      <c r="Y336" s="1"/>
      <c r="Z336" s="1"/>
      <c r="AA336" s="24"/>
      <c r="AB336" s="10" t="s">
        <v>1766</v>
      </c>
      <c r="AC336" s="371"/>
      <c r="AD336" s="156">
        <v>100</v>
      </c>
      <c r="AE336" s="371">
        <v>100</v>
      </c>
      <c r="AF336" s="371">
        <v>100</v>
      </c>
      <c r="AG336" s="377">
        <f t="shared" ref="AG336:AG399" si="58">SUBTOTAL(9,AC336:AF336)</f>
        <v>300</v>
      </c>
      <c r="AH336" s="377" t="b">
        <f t="shared" si="54"/>
        <v>1</v>
      </c>
      <c r="AI336" s="1"/>
      <c r="AJ336" s="1"/>
      <c r="AK336" s="1"/>
      <c r="AL336" s="1"/>
      <c r="AM336" s="16">
        <f t="shared" si="55"/>
        <v>0</v>
      </c>
      <c r="AN336" s="156"/>
      <c r="AO336" s="1"/>
      <c r="AP336" s="1"/>
      <c r="AQ336" s="1"/>
      <c r="AR336" s="1"/>
      <c r="AS336" s="21" t="s">
        <v>310</v>
      </c>
      <c r="AT336" s="1">
        <f t="shared" si="56"/>
        <v>106</v>
      </c>
      <c r="AU336" s="31"/>
      <c r="AV336" s="31"/>
      <c r="AW336" s="31"/>
      <c r="AX336" s="16">
        <f t="shared" si="53"/>
        <v>0.35333333333333333</v>
      </c>
      <c r="AY336" s="156">
        <v>100</v>
      </c>
      <c r="AZ336" s="108">
        <v>106</v>
      </c>
      <c r="BA336" s="31"/>
      <c r="BB336" s="31"/>
      <c r="BC336" s="31"/>
      <c r="BD336" s="16">
        <f t="shared" si="57"/>
        <v>1</v>
      </c>
      <c r="BE336" s="31"/>
      <c r="BF336" s="31"/>
      <c r="BG336" s="31"/>
      <c r="BH336" s="31"/>
      <c r="BI336" s="16"/>
      <c r="BJ336" s="16"/>
      <c r="BK336" s="31"/>
      <c r="BL336" s="31"/>
      <c r="BM336" s="31"/>
      <c r="BN336" s="31"/>
      <c r="BO336" s="16"/>
      <c r="BP336" s="31"/>
      <c r="BQ336" s="31"/>
      <c r="BR336" s="31"/>
      <c r="BS336" s="31"/>
      <c r="BT336" s="16"/>
      <c r="BU336" s="16"/>
      <c r="BV336" s="16"/>
      <c r="BW336" s="16"/>
      <c r="BX336" s="16"/>
      <c r="BY336" s="16"/>
      <c r="BZ336" s="16"/>
      <c r="CA336" s="1"/>
      <c r="CB336" s="1"/>
      <c r="CC336" s="1"/>
    </row>
    <row r="337" spans="1:81" s="52" customFormat="1" ht="83.25" customHeight="1" x14ac:dyDescent="0.25">
      <c r="A337" s="1">
        <v>3</v>
      </c>
      <c r="B337" s="13" t="s">
        <v>1748</v>
      </c>
      <c r="C337" s="568"/>
      <c r="D337" s="570"/>
      <c r="E337" s="10" t="s">
        <v>1178</v>
      </c>
      <c r="F337" s="24" t="s">
        <v>1179</v>
      </c>
      <c r="G337" s="576"/>
      <c r="H337" s="579"/>
      <c r="I337" s="1" t="s">
        <v>1196</v>
      </c>
      <c r="J337" s="13" t="s">
        <v>1197</v>
      </c>
      <c r="K337" s="568"/>
      <c r="L337" s="570"/>
      <c r="M337" s="23"/>
      <c r="N337" s="23" t="s">
        <v>1204</v>
      </c>
      <c r="O337" s="13" t="s">
        <v>1204</v>
      </c>
      <c r="P337" s="26">
        <v>0.1</v>
      </c>
      <c r="Q337" s="26">
        <v>0.5</v>
      </c>
      <c r="R337" s="14"/>
      <c r="S337" s="13" t="s">
        <v>1205</v>
      </c>
      <c r="T337" s="13" t="s">
        <v>1205</v>
      </c>
      <c r="U337" s="1">
        <v>0</v>
      </c>
      <c r="V337" s="10">
        <v>1000</v>
      </c>
      <c r="W337" s="1" t="s">
        <v>49</v>
      </c>
      <c r="X337" s="1"/>
      <c r="Y337" s="1"/>
      <c r="Z337" s="1"/>
      <c r="AA337" s="24"/>
      <c r="AB337" s="10" t="s">
        <v>1766</v>
      </c>
      <c r="AC337" s="371"/>
      <c r="AD337" s="156">
        <v>200</v>
      </c>
      <c r="AE337" s="371">
        <v>400</v>
      </c>
      <c r="AF337" s="371">
        <v>400</v>
      </c>
      <c r="AG337" s="377">
        <f t="shared" si="58"/>
        <v>1000</v>
      </c>
      <c r="AH337" s="377" t="b">
        <f t="shared" si="54"/>
        <v>1</v>
      </c>
      <c r="AI337" s="1"/>
      <c r="AJ337" s="1"/>
      <c r="AK337" s="1"/>
      <c r="AL337" s="1"/>
      <c r="AM337" s="16">
        <f t="shared" si="55"/>
        <v>0</v>
      </c>
      <c r="AN337" s="156"/>
      <c r="AO337" s="1"/>
      <c r="AP337" s="1"/>
      <c r="AQ337" s="1"/>
      <c r="AR337" s="1"/>
      <c r="AS337" s="21" t="s">
        <v>310</v>
      </c>
      <c r="AT337" s="1">
        <f t="shared" si="56"/>
        <v>0</v>
      </c>
      <c r="AU337" s="31"/>
      <c r="AV337" s="31"/>
      <c r="AW337" s="31"/>
      <c r="AX337" s="16">
        <f t="shared" si="53"/>
        <v>0</v>
      </c>
      <c r="AY337" s="156">
        <v>200</v>
      </c>
      <c r="AZ337" s="76"/>
      <c r="BA337" s="31"/>
      <c r="BB337" s="31"/>
      <c r="BC337" s="31"/>
      <c r="BD337" s="16">
        <f t="shared" si="57"/>
        <v>0</v>
      </c>
      <c r="BE337" s="31"/>
      <c r="BF337" s="31"/>
      <c r="BG337" s="31"/>
      <c r="BH337" s="31"/>
      <c r="BI337" s="16"/>
      <c r="BJ337" s="16"/>
      <c r="BK337" s="31"/>
      <c r="BL337" s="31"/>
      <c r="BM337" s="31"/>
      <c r="BN337" s="31"/>
      <c r="BO337" s="16"/>
      <c r="BP337" s="31"/>
      <c r="BQ337" s="31"/>
      <c r="BR337" s="31"/>
      <c r="BS337" s="31"/>
      <c r="BT337" s="16"/>
      <c r="BU337" s="16"/>
      <c r="BV337" s="16"/>
      <c r="BW337" s="16"/>
      <c r="BX337" s="16"/>
      <c r="BY337" s="16"/>
      <c r="BZ337" s="16"/>
      <c r="CA337" s="1"/>
      <c r="CB337" s="1"/>
      <c r="CC337" s="1"/>
    </row>
    <row r="338" spans="1:81" s="52" customFormat="1" ht="63" x14ac:dyDescent="0.25">
      <c r="A338" s="1">
        <v>4</v>
      </c>
      <c r="B338" s="13" t="s">
        <v>1749</v>
      </c>
      <c r="C338" s="567">
        <f>+AVERAGEIF(B14:B567,B338,AX14:AX567)</f>
        <v>0.28307083588079196</v>
      </c>
      <c r="D338" s="569">
        <f>+AVERAGEIF(B14:B567,B338,BD14:BD567)</f>
        <v>0.17915143369175621</v>
      </c>
      <c r="E338" s="10" t="s">
        <v>1206</v>
      </c>
      <c r="F338" s="24" t="s">
        <v>1207</v>
      </c>
      <c r="G338" s="574">
        <f>+AVERAGEIF(F14:F567,F338,AX14:AX567)</f>
        <v>5.9583333333333335E-2</v>
      </c>
      <c r="H338" s="577">
        <f>+AVERAGEIF(F14:F567,F338,BD14:BD567)</f>
        <v>0.25</v>
      </c>
      <c r="I338" s="10" t="s">
        <v>1208</v>
      </c>
      <c r="J338" s="13" t="s">
        <v>1862</v>
      </c>
      <c r="K338" s="567">
        <f>AVERAGE(AX338:AX341)</f>
        <v>5.9583333333333335E-2</v>
      </c>
      <c r="L338" s="569">
        <f>AVERAGE(BD338:BD341)</f>
        <v>0.25</v>
      </c>
      <c r="M338" s="10"/>
      <c r="N338" s="10" t="s">
        <v>1209</v>
      </c>
      <c r="O338" s="10" t="s">
        <v>1209</v>
      </c>
      <c r="P338" s="1">
        <v>0</v>
      </c>
      <c r="Q338" s="1">
        <v>50</v>
      </c>
      <c r="R338" s="24"/>
      <c r="S338" s="13" t="s">
        <v>1210</v>
      </c>
      <c r="T338" s="13" t="s">
        <v>1211</v>
      </c>
      <c r="U338" s="1">
        <v>100</v>
      </c>
      <c r="V338" s="1">
        <v>100</v>
      </c>
      <c r="W338" s="1" t="s">
        <v>420</v>
      </c>
      <c r="X338" s="10" t="s">
        <v>1212</v>
      </c>
      <c r="Y338" s="1">
        <v>45</v>
      </c>
      <c r="Z338" s="1">
        <v>16</v>
      </c>
      <c r="AA338" s="24"/>
      <c r="AB338" s="10" t="s">
        <v>1333</v>
      </c>
      <c r="AC338" s="157">
        <v>5</v>
      </c>
      <c r="AD338" s="156">
        <v>25</v>
      </c>
      <c r="AE338" s="156">
        <v>45</v>
      </c>
      <c r="AF338" s="156">
        <v>25</v>
      </c>
      <c r="AG338" s="377">
        <f t="shared" si="58"/>
        <v>100</v>
      </c>
      <c r="AH338" s="377" t="b">
        <f t="shared" si="54"/>
        <v>1</v>
      </c>
      <c r="AI338" s="1">
        <v>0</v>
      </c>
      <c r="AJ338" s="27">
        <v>5</v>
      </c>
      <c r="AK338" s="27">
        <v>25</v>
      </c>
      <c r="AL338" s="27">
        <v>25</v>
      </c>
      <c r="AM338" s="16">
        <f t="shared" si="55"/>
        <v>0.25</v>
      </c>
      <c r="AN338" s="157">
        <v>5</v>
      </c>
      <c r="AO338" s="1">
        <v>0</v>
      </c>
      <c r="AP338" s="27">
        <v>5</v>
      </c>
      <c r="AQ338" s="27"/>
      <c r="AR338" s="27">
        <v>5</v>
      </c>
      <c r="AS338" s="21">
        <f>IFERROR(+AR338/AN338,0)</f>
        <v>1</v>
      </c>
      <c r="AT338" s="1">
        <f t="shared" si="56"/>
        <v>8.75</v>
      </c>
      <c r="AU338" s="31"/>
      <c r="AV338" s="31"/>
      <c r="AW338" s="31"/>
      <c r="AX338" s="16">
        <f t="shared" si="53"/>
        <v>8.7499999999999994E-2</v>
      </c>
      <c r="AY338" s="156">
        <v>25</v>
      </c>
      <c r="AZ338" s="76">
        <v>10</v>
      </c>
      <c r="BA338" s="31"/>
      <c r="BB338" s="31"/>
      <c r="BC338" s="31"/>
      <c r="BD338" s="16">
        <f t="shared" si="57"/>
        <v>0.4</v>
      </c>
      <c r="BE338" s="31"/>
      <c r="BF338" s="31"/>
      <c r="BG338" s="31"/>
      <c r="BH338" s="31"/>
      <c r="BI338" s="16"/>
      <c r="BJ338" s="16"/>
      <c r="BK338" s="31"/>
      <c r="BL338" s="31"/>
      <c r="BM338" s="31"/>
      <c r="BN338" s="31"/>
      <c r="BO338" s="16"/>
      <c r="BP338" s="31"/>
      <c r="BQ338" s="31"/>
      <c r="BR338" s="31"/>
      <c r="BS338" s="31"/>
      <c r="BT338" s="16"/>
      <c r="BU338" s="16"/>
      <c r="BV338" s="16"/>
      <c r="BW338" s="16"/>
      <c r="BX338" s="16"/>
      <c r="BY338" s="16"/>
      <c r="BZ338" s="16"/>
      <c r="CA338" s="1"/>
      <c r="CB338" s="1"/>
      <c r="CC338" s="1"/>
    </row>
    <row r="339" spans="1:81" s="52" customFormat="1" ht="46.9" customHeight="1" x14ac:dyDescent="0.25">
      <c r="A339" s="1">
        <v>4</v>
      </c>
      <c r="B339" s="13" t="s">
        <v>1749</v>
      </c>
      <c r="C339" s="572"/>
      <c r="D339" s="573"/>
      <c r="E339" s="10" t="s">
        <v>1206</v>
      </c>
      <c r="F339" s="24" t="s">
        <v>1207</v>
      </c>
      <c r="G339" s="575"/>
      <c r="H339" s="578"/>
      <c r="I339" s="10" t="s">
        <v>1208</v>
      </c>
      <c r="J339" s="13" t="s">
        <v>1862</v>
      </c>
      <c r="K339" s="572"/>
      <c r="L339" s="573"/>
      <c r="M339" s="10"/>
      <c r="N339" s="10" t="s">
        <v>1209</v>
      </c>
      <c r="O339" s="10" t="s">
        <v>1209</v>
      </c>
      <c r="P339" s="1">
        <v>0</v>
      </c>
      <c r="Q339" s="1">
        <v>50</v>
      </c>
      <c r="R339" s="24"/>
      <c r="S339" s="13" t="s">
        <v>1213</v>
      </c>
      <c r="T339" s="13" t="s">
        <v>1211</v>
      </c>
      <c r="U339" s="1">
        <v>2</v>
      </c>
      <c r="V339" s="1">
        <v>6</v>
      </c>
      <c r="W339" s="1" t="s">
        <v>420</v>
      </c>
      <c r="X339" s="10" t="s">
        <v>1212</v>
      </c>
      <c r="Y339" s="1">
        <v>45</v>
      </c>
      <c r="Z339" s="1">
        <v>16</v>
      </c>
      <c r="AA339" s="24"/>
      <c r="AB339" s="10" t="s">
        <v>1333</v>
      </c>
      <c r="AC339" s="157"/>
      <c r="AD339" s="156">
        <v>1</v>
      </c>
      <c r="AE339" s="156">
        <v>2</v>
      </c>
      <c r="AF339" s="156">
        <v>3</v>
      </c>
      <c r="AG339" s="377">
        <f t="shared" si="58"/>
        <v>6</v>
      </c>
      <c r="AH339" s="377" t="b">
        <f t="shared" si="54"/>
        <v>1</v>
      </c>
      <c r="AI339" s="1"/>
      <c r="AJ339" s="27"/>
      <c r="AK339" s="27"/>
      <c r="AL339" s="27"/>
      <c r="AM339" s="16">
        <f t="shared" si="55"/>
        <v>0</v>
      </c>
      <c r="AN339" s="157"/>
      <c r="AO339" s="1"/>
      <c r="AP339" s="27"/>
      <c r="AQ339" s="27"/>
      <c r="AR339" s="27"/>
      <c r="AS339" s="21" t="s">
        <v>310</v>
      </c>
      <c r="AT339" s="1">
        <f t="shared" si="56"/>
        <v>0</v>
      </c>
      <c r="AU339" s="31"/>
      <c r="AV339" s="31"/>
      <c r="AW339" s="31"/>
      <c r="AX339" s="16">
        <f t="shared" si="53"/>
        <v>0</v>
      </c>
      <c r="AY339" s="156">
        <v>1</v>
      </c>
      <c r="AZ339" s="76">
        <v>0</v>
      </c>
      <c r="BA339" s="31"/>
      <c r="BB339" s="31"/>
      <c r="BC339" s="31"/>
      <c r="BD339" s="16">
        <f t="shared" si="57"/>
        <v>0</v>
      </c>
      <c r="BE339" s="31"/>
      <c r="BF339" s="31"/>
      <c r="BG339" s="31"/>
      <c r="BH339" s="31"/>
      <c r="BI339" s="16"/>
      <c r="BJ339" s="16"/>
      <c r="BK339" s="31"/>
      <c r="BL339" s="31"/>
      <c r="BM339" s="31"/>
      <c r="BN339" s="31"/>
      <c r="BO339" s="16"/>
      <c r="BP339" s="31"/>
      <c r="BQ339" s="31"/>
      <c r="BR339" s="31"/>
      <c r="BS339" s="31"/>
      <c r="BT339" s="16"/>
      <c r="BU339" s="16"/>
      <c r="BV339" s="16"/>
      <c r="BW339" s="16"/>
      <c r="BX339" s="16"/>
      <c r="BY339" s="16"/>
      <c r="BZ339" s="16"/>
      <c r="CA339" s="1"/>
      <c r="CB339" s="1"/>
      <c r="CC339" s="1"/>
    </row>
    <row r="340" spans="1:81" s="52" customFormat="1" ht="63" x14ac:dyDescent="0.25">
      <c r="A340" s="1">
        <v>4</v>
      </c>
      <c r="B340" s="13" t="s">
        <v>1749</v>
      </c>
      <c r="C340" s="572"/>
      <c r="D340" s="573"/>
      <c r="E340" s="10" t="s">
        <v>1206</v>
      </c>
      <c r="F340" s="24" t="s">
        <v>1207</v>
      </c>
      <c r="G340" s="575"/>
      <c r="H340" s="578"/>
      <c r="I340" s="10" t="s">
        <v>1208</v>
      </c>
      <c r="J340" s="13" t="s">
        <v>1862</v>
      </c>
      <c r="K340" s="572"/>
      <c r="L340" s="573"/>
      <c r="M340" s="10"/>
      <c r="N340" s="10" t="s">
        <v>1209</v>
      </c>
      <c r="O340" s="10" t="s">
        <v>1209</v>
      </c>
      <c r="P340" s="1">
        <v>0</v>
      </c>
      <c r="Q340" s="1">
        <v>50</v>
      </c>
      <c r="R340" s="24"/>
      <c r="S340" s="13" t="s">
        <v>1214</v>
      </c>
      <c r="T340" s="13" t="s">
        <v>1211</v>
      </c>
      <c r="U340" s="1">
        <v>100</v>
      </c>
      <c r="V340" s="1">
        <v>100</v>
      </c>
      <c r="W340" s="1" t="s">
        <v>420</v>
      </c>
      <c r="X340" s="10" t="s">
        <v>1212</v>
      </c>
      <c r="Y340" s="1">
        <v>45</v>
      </c>
      <c r="Z340" s="1">
        <v>16</v>
      </c>
      <c r="AA340" s="24"/>
      <c r="AB340" s="10" t="s">
        <v>1333</v>
      </c>
      <c r="AC340" s="157"/>
      <c r="AD340" s="156">
        <v>20</v>
      </c>
      <c r="AE340" s="156">
        <v>15</v>
      </c>
      <c r="AF340" s="156">
        <v>10</v>
      </c>
      <c r="AG340" s="377">
        <f t="shared" si="58"/>
        <v>45</v>
      </c>
      <c r="AH340" s="377" t="b">
        <f t="shared" si="54"/>
        <v>0</v>
      </c>
      <c r="AI340" s="1"/>
      <c r="AJ340" s="27"/>
      <c r="AK340" s="27"/>
      <c r="AL340" s="27"/>
      <c r="AM340" s="16">
        <f t="shared" si="55"/>
        <v>0</v>
      </c>
      <c r="AN340" s="157"/>
      <c r="AO340" s="1"/>
      <c r="AP340" s="27"/>
      <c r="AQ340" s="27"/>
      <c r="AR340" s="27"/>
      <c r="AS340" s="21" t="s">
        <v>310</v>
      </c>
      <c r="AT340" s="1">
        <f t="shared" si="56"/>
        <v>0.5</v>
      </c>
      <c r="AU340" s="31"/>
      <c r="AV340" s="31"/>
      <c r="AW340" s="31"/>
      <c r="AX340" s="16">
        <f t="shared" si="53"/>
        <v>5.0000000000000001E-3</v>
      </c>
      <c r="AY340" s="156">
        <v>20</v>
      </c>
      <c r="AZ340" s="76">
        <v>2</v>
      </c>
      <c r="BA340" s="31"/>
      <c r="BB340" s="31"/>
      <c r="BC340" s="31"/>
      <c r="BD340" s="16">
        <f t="shared" si="57"/>
        <v>0.1</v>
      </c>
      <c r="BE340" s="31"/>
      <c r="BF340" s="31"/>
      <c r="BG340" s="31"/>
      <c r="BH340" s="31"/>
      <c r="BI340" s="16"/>
      <c r="BJ340" s="16"/>
      <c r="BK340" s="31"/>
      <c r="BL340" s="31"/>
      <c r="BM340" s="31"/>
      <c r="BN340" s="31"/>
      <c r="BO340" s="16"/>
      <c r="BP340" s="31"/>
      <c r="BQ340" s="31"/>
      <c r="BR340" s="31"/>
      <c r="BS340" s="31"/>
      <c r="BT340" s="16"/>
      <c r="BU340" s="16"/>
      <c r="BV340" s="16"/>
      <c r="BW340" s="16"/>
      <c r="BX340" s="16"/>
      <c r="BY340" s="16"/>
      <c r="BZ340" s="16"/>
      <c r="CA340" s="1"/>
      <c r="CB340" s="1"/>
      <c r="CC340" s="1"/>
    </row>
    <row r="341" spans="1:81" s="52" customFormat="1" ht="94.5" x14ac:dyDescent="0.25">
      <c r="A341" s="1">
        <v>4</v>
      </c>
      <c r="B341" s="13" t="s">
        <v>1749</v>
      </c>
      <c r="C341" s="572"/>
      <c r="D341" s="573"/>
      <c r="E341" s="10" t="s">
        <v>1206</v>
      </c>
      <c r="F341" s="24" t="s">
        <v>1207</v>
      </c>
      <c r="G341" s="576"/>
      <c r="H341" s="579"/>
      <c r="I341" s="10" t="s">
        <v>1208</v>
      </c>
      <c r="J341" s="13" t="s">
        <v>1862</v>
      </c>
      <c r="K341" s="568"/>
      <c r="L341" s="570"/>
      <c r="M341" s="10"/>
      <c r="N341" s="10" t="s">
        <v>1209</v>
      </c>
      <c r="O341" s="10" t="s">
        <v>1209</v>
      </c>
      <c r="P341" s="1">
        <v>0</v>
      </c>
      <c r="Q341" s="1">
        <v>50</v>
      </c>
      <c r="R341" s="24"/>
      <c r="S341" s="13" t="s">
        <v>1215</v>
      </c>
      <c r="T341" s="13" t="s">
        <v>1215</v>
      </c>
      <c r="U341" s="1">
        <v>8</v>
      </c>
      <c r="V341" s="1">
        <v>12</v>
      </c>
      <c r="W341" s="1" t="s">
        <v>420</v>
      </c>
      <c r="X341" s="10" t="s">
        <v>1212</v>
      </c>
      <c r="Y341" s="1">
        <v>45</v>
      </c>
      <c r="Z341" s="1">
        <v>16</v>
      </c>
      <c r="AA341" s="24"/>
      <c r="AB341" s="10" t="s">
        <v>1333</v>
      </c>
      <c r="AC341" s="157">
        <v>4</v>
      </c>
      <c r="AD341" s="156">
        <v>6</v>
      </c>
      <c r="AE341" s="156">
        <v>3</v>
      </c>
      <c r="AF341" s="156">
        <v>6</v>
      </c>
      <c r="AG341" s="377">
        <f t="shared" si="58"/>
        <v>19</v>
      </c>
      <c r="AH341" s="377" t="b">
        <f t="shared" si="54"/>
        <v>0</v>
      </c>
      <c r="AI341" s="26">
        <v>0.16</v>
      </c>
      <c r="AJ341" s="27">
        <v>4</v>
      </c>
      <c r="AK341" s="27">
        <v>4</v>
      </c>
      <c r="AL341" s="27">
        <v>4</v>
      </c>
      <c r="AM341" s="16">
        <f t="shared" si="55"/>
        <v>0.33333333333333331</v>
      </c>
      <c r="AN341" s="157">
        <v>4</v>
      </c>
      <c r="AO341" s="27">
        <v>4</v>
      </c>
      <c r="AP341" s="27">
        <v>4</v>
      </c>
      <c r="AQ341" s="27"/>
      <c r="AR341" s="27">
        <f>AL341</f>
        <v>4</v>
      </c>
      <c r="AS341" s="21">
        <f>IFERROR(+AR341/AN341,0)</f>
        <v>1</v>
      </c>
      <c r="AT341" s="1">
        <f t="shared" si="56"/>
        <v>1.75</v>
      </c>
      <c r="AU341" s="31"/>
      <c r="AV341" s="31"/>
      <c r="AW341" s="31"/>
      <c r="AX341" s="16">
        <f t="shared" si="53"/>
        <v>0.14583333333333334</v>
      </c>
      <c r="AY341" s="156">
        <v>6</v>
      </c>
      <c r="AZ341" s="76">
        <v>3</v>
      </c>
      <c r="BA341" s="31"/>
      <c r="BB341" s="31"/>
      <c r="BC341" s="31"/>
      <c r="BD341" s="16">
        <f t="shared" si="57"/>
        <v>0.5</v>
      </c>
      <c r="BE341" s="31"/>
      <c r="BF341" s="31"/>
      <c r="BG341" s="31"/>
      <c r="BH341" s="31"/>
      <c r="BI341" s="16"/>
      <c r="BJ341" s="16"/>
      <c r="BK341" s="31"/>
      <c r="BL341" s="31"/>
      <c r="BM341" s="31"/>
      <c r="BN341" s="31"/>
      <c r="BO341" s="16"/>
      <c r="BP341" s="31"/>
      <c r="BQ341" s="31"/>
      <c r="BR341" s="31"/>
      <c r="BS341" s="31"/>
      <c r="BT341" s="16"/>
      <c r="BU341" s="16"/>
      <c r="BV341" s="16"/>
      <c r="BW341" s="16"/>
      <c r="BX341" s="16"/>
      <c r="BY341" s="16"/>
      <c r="BZ341" s="16"/>
      <c r="CA341" s="1"/>
      <c r="CB341" s="1"/>
      <c r="CC341" s="1"/>
    </row>
    <row r="342" spans="1:81" s="52" customFormat="1" ht="63" x14ac:dyDescent="0.25">
      <c r="A342" s="1">
        <v>4</v>
      </c>
      <c r="B342" s="13" t="s">
        <v>1749</v>
      </c>
      <c r="C342" s="572"/>
      <c r="D342" s="573"/>
      <c r="E342" s="10" t="s">
        <v>1216</v>
      </c>
      <c r="F342" s="13" t="s">
        <v>1815</v>
      </c>
      <c r="G342" s="567">
        <f>+AVERAGEIF(F14:F567,F342,AX14:AX567)</f>
        <v>0.3392857142857143</v>
      </c>
      <c r="H342" s="569">
        <f>+AVERAGEIF(F14:F567,F342,BD14:BD567)</f>
        <v>0.51904761904761909</v>
      </c>
      <c r="I342" s="10" t="s">
        <v>1217</v>
      </c>
      <c r="J342" s="13" t="s">
        <v>1863</v>
      </c>
      <c r="K342" s="567">
        <f>AVERAGE(AX342:AX348)</f>
        <v>0.3392857142857143</v>
      </c>
      <c r="L342" s="569">
        <f>AVERAGE(BD342:BD348)</f>
        <v>0.51904761904761909</v>
      </c>
      <c r="M342" s="10"/>
      <c r="N342" s="10" t="s">
        <v>1218</v>
      </c>
      <c r="O342" s="10" t="s">
        <v>1218</v>
      </c>
      <c r="P342" s="1">
        <v>0</v>
      </c>
      <c r="Q342" s="1">
        <v>50</v>
      </c>
      <c r="R342" s="24"/>
      <c r="S342" s="13" t="s">
        <v>1219</v>
      </c>
      <c r="T342" s="13" t="s">
        <v>1220</v>
      </c>
      <c r="U342" s="1">
        <v>0</v>
      </c>
      <c r="V342" s="1">
        <v>80</v>
      </c>
      <c r="W342" s="1" t="s">
        <v>412</v>
      </c>
      <c r="X342" s="10" t="s">
        <v>1212</v>
      </c>
      <c r="Y342" s="1">
        <v>45</v>
      </c>
      <c r="Z342" s="1">
        <v>16</v>
      </c>
      <c r="AA342" s="24"/>
      <c r="AB342" s="10" t="s">
        <v>1333</v>
      </c>
      <c r="AC342" s="157">
        <v>5</v>
      </c>
      <c r="AD342" s="156">
        <v>15</v>
      </c>
      <c r="AE342" s="156">
        <v>45</v>
      </c>
      <c r="AF342" s="156">
        <v>25</v>
      </c>
      <c r="AG342" s="377">
        <f t="shared" si="58"/>
        <v>90</v>
      </c>
      <c r="AH342" s="377" t="b">
        <f t="shared" si="54"/>
        <v>0</v>
      </c>
      <c r="AI342" s="1">
        <v>0</v>
      </c>
      <c r="AJ342" s="27">
        <v>5</v>
      </c>
      <c r="AK342" s="27">
        <v>5</v>
      </c>
      <c r="AL342" s="27">
        <v>5</v>
      </c>
      <c r="AM342" s="16">
        <f t="shared" si="55"/>
        <v>6.25E-2</v>
      </c>
      <c r="AN342" s="157">
        <v>5</v>
      </c>
      <c r="AO342" s="1">
        <v>0</v>
      </c>
      <c r="AP342" s="27">
        <v>5</v>
      </c>
      <c r="AQ342" s="27"/>
      <c r="AR342" s="27">
        <f t="shared" ref="AR342:AR348" si="59">AL342</f>
        <v>5</v>
      </c>
      <c r="AS342" s="21">
        <f t="shared" ref="AS342:AS348" si="60">IFERROR(+AR342/AN342,0)</f>
        <v>1</v>
      </c>
      <c r="AT342" s="1">
        <f t="shared" si="56"/>
        <v>10</v>
      </c>
      <c r="AU342" s="31"/>
      <c r="AV342" s="31"/>
      <c r="AW342" s="31"/>
      <c r="AX342" s="16">
        <f t="shared" si="53"/>
        <v>0.125</v>
      </c>
      <c r="AY342" s="156">
        <v>15</v>
      </c>
      <c r="AZ342" s="76">
        <v>5</v>
      </c>
      <c r="BA342" s="31"/>
      <c r="BB342" s="31"/>
      <c r="BC342" s="31"/>
      <c r="BD342" s="16">
        <f t="shared" si="57"/>
        <v>0.33333333333333331</v>
      </c>
      <c r="BE342" s="31"/>
      <c r="BF342" s="31"/>
      <c r="BG342" s="31"/>
      <c r="BH342" s="31"/>
      <c r="BI342" s="16"/>
      <c r="BJ342" s="16"/>
      <c r="BK342" s="31"/>
      <c r="BL342" s="31"/>
      <c r="BM342" s="31"/>
      <c r="BN342" s="31"/>
      <c r="BO342" s="16"/>
      <c r="BP342" s="31"/>
      <c r="BQ342" s="31"/>
      <c r="BR342" s="31"/>
      <c r="BS342" s="31"/>
      <c r="BT342" s="16"/>
      <c r="BU342" s="16"/>
      <c r="BV342" s="16"/>
      <c r="BW342" s="16"/>
      <c r="BX342" s="16"/>
      <c r="BY342" s="16"/>
      <c r="BZ342" s="16"/>
      <c r="CA342" s="1"/>
      <c r="CB342" s="1"/>
      <c r="CC342" s="1"/>
    </row>
    <row r="343" spans="1:81" s="52" customFormat="1" ht="63" x14ac:dyDescent="0.25">
      <c r="A343" s="1">
        <v>4</v>
      </c>
      <c r="B343" s="13" t="s">
        <v>1749</v>
      </c>
      <c r="C343" s="572"/>
      <c r="D343" s="573"/>
      <c r="E343" s="10" t="s">
        <v>1216</v>
      </c>
      <c r="F343" s="13" t="s">
        <v>1815</v>
      </c>
      <c r="G343" s="572"/>
      <c r="H343" s="573"/>
      <c r="I343" s="10" t="s">
        <v>1217</v>
      </c>
      <c r="J343" s="13" t="s">
        <v>1863</v>
      </c>
      <c r="K343" s="572"/>
      <c r="L343" s="573"/>
      <c r="M343" s="10"/>
      <c r="N343" s="10" t="s">
        <v>1218</v>
      </c>
      <c r="O343" s="10" t="s">
        <v>1218</v>
      </c>
      <c r="P343" s="1">
        <v>0</v>
      </c>
      <c r="Q343" s="1">
        <v>50</v>
      </c>
      <c r="R343" s="24"/>
      <c r="S343" s="13" t="s">
        <v>1221</v>
      </c>
      <c r="T343" s="13" t="s">
        <v>1211</v>
      </c>
      <c r="U343" s="1">
        <v>0</v>
      </c>
      <c r="V343" s="1">
        <v>50</v>
      </c>
      <c r="W343" s="1" t="s">
        <v>412</v>
      </c>
      <c r="X343" s="10" t="s">
        <v>1212</v>
      </c>
      <c r="Y343" s="1">
        <v>45</v>
      </c>
      <c r="Z343" s="1">
        <v>16</v>
      </c>
      <c r="AA343" s="24"/>
      <c r="AB343" s="10" t="s">
        <v>1333</v>
      </c>
      <c r="AC343" s="157">
        <v>10</v>
      </c>
      <c r="AD343" s="156">
        <v>15</v>
      </c>
      <c r="AE343" s="156">
        <v>15</v>
      </c>
      <c r="AF343" s="156">
        <v>10</v>
      </c>
      <c r="AG343" s="377">
        <f t="shared" si="58"/>
        <v>50</v>
      </c>
      <c r="AH343" s="377" t="b">
        <f t="shared" si="54"/>
        <v>1</v>
      </c>
      <c r="AI343" s="1">
        <v>0</v>
      </c>
      <c r="AJ343" s="27">
        <v>5</v>
      </c>
      <c r="AK343" s="27">
        <v>5</v>
      </c>
      <c r="AL343" s="27">
        <v>5</v>
      </c>
      <c r="AM343" s="16">
        <f t="shared" si="55"/>
        <v>0.1</v>
      </c>
      <c r="AN343" s="157">
        <v>10</v>
      </c>
      <c r="AO343" s="1">
        <v>0</v>
      </c>
      <c r="AP343" s="27">
        <v>5</v>
      </c>
      <c r="AQ343" s="27"/>
      <c r="AR343" s="27">
        <f t="shared" si="59"/>
        <v>5</v>
      </c>
      <c r="AS343" s="21">
        <f t="shared" si="60"/>
        <v>0.5</v>
      </c>
      <c r="AT343" s="1">
        <f t="shared" si="56"/>
        <v>5</v>
      </c>
      <c r="AU343" s="31"/>
      <c r="AV343" s="31"/>
      <c r="AW343" s="31"/>
      <c r="AX343" s="16">
        <f t="shared" si="53"/>
        <v>0.1</v>
      </c>
      <c r="AY343" s="156">
        <v>15</v>
      </c>
      <c r="AZ343" s="76">
        <v>0</v>
      </c>
      <c r="BA343" s="31"/>
      <c r="BB343" s="31"/>
      <c r="BC343" s="31"/>
      <c r="BD343" s="16">
        <f t="shared" si="57"/>
        <v>0</v>
      </c>
      <c r="BE343" s="31"/>
      <c r="BF343" s="31"/>
      <c r="BG343" s="31"/>
      <c r="BH343" s="31"/>
      <c r="BI343" s="16"/>
      <c r="BJ343" s="16"/>
      <c r="BK343" s="31"/>
      <c r="BL343" s="31"/>
      <c r="BM343" s="31"/>
      <c r="BN343" s="31"/>
      <c r="BO343" s="16"/>
      <c r="BP343" s="31"/>
      <c r="BQ343" s="31"/>
      <c r="BR343" s="31"/>
      <c r="BS343" s="31"/>
      <c r="BT343" s="16"/>
      <c r="BU343" s="16"/>
      <c r="BV343" s="16"/>
      <c r="BW343" s="16"/>
      <c r="BX343" s="16"/>
      <c r="BY343" s="16"/>
      <c r="BZ343" s="16"/>
      <c r="CA343" s="1"/>
      <c r="CB343" s="1"/>
      <c r="CC343" s="1"/>
    </row>
    <row r="344" spans="1:81" s="52" customFormat="1" ht="78.75" x14ac:dyDescent="0.25">
      <c r="A344" s="1">
        <v>4</v>
      </c>
      <c r="B344" s="13" t="s">
        <v>1749</v>
      </c>
      <c r="C344" s="572"/>
      <c r="D344" s="573"/>
      <c r="E344" s="10" t="s">
        <v>1216</v>
      </c>
      <c r="F344" s="13" t="s">
        <v>1815</v>
      </c>
      <c r="G344" s="572"/>
      <c r="H344" s="573"/>
      <c r="I344" s="10" t="s">
        <v>1217</v>
      </c>
      <c r="J344" s="13" t="s">
        <v>1863</v>
      </c>
      <c r="K344" s="572"/>
      <c r="L344" s="573"/>
      <c r="M344" s="10"/>
      <c r="N344" s="10" t="s">
        <v>1218</v>
      </c>
      <c r="O344" s="10" t="s">
        <v>1218</v>
      </c>
      <c r="P344" s="1">
        <v>0</v>
      </c>
      <c r="Q344" s="1">
        <v>50</v>
      </c>
      <c r="R344" s="24"/>
      <c r="S344" s="13" t="s">
        <v>1222</v>
      </c>
      <c r="T344" s="13" t="s">
        <v>1222</v>
      </c>
      <c r="U344" s="1">
        <v>0</v>
      </c>
      <c r="V344" s="1">
        <v>200</v>
      </c>
      <c r="W344" s="1" t="s">
        <v>412</v>
      </c>
      <c r="X344" s="10" t="s">
        <v>1212</v>
      </c>
      <c r="Y344" s="1">
        <v>45</v>
      </c>
      <c r="Z344" s="1">
        <v>16</v>
      </c>
      <c r="AA344" s="24"/>
      <c r="AB344" s="10" t="s">
        <v>1333</v>
      </c>
      <c r="AC344" s="157">
        <v>5</v>
      </c>
      <c r="AD344" s="156">
        <v>80</v>
      </c>
      <c r="AE344" s="156">
        <v>65</v>
      </c>
      <c r="AF344" s="156">
        <v>50</v>
      </c>
      <c r="AG344" s="377">
        <f t="shared" si="58"/>
        <v>200</v>
      </c>
      <c r="AH344" s="377" t="b">
        <f t="shared" si="54"/>
        <v>1</v>
      </c>
      <c r="AI344" s="105">
        <v>2.5000000000000001E-2</v>
      </c>
      <c r="AJ344" s="27">
        <v>4</v>
      </c>
      <c r="AK344" s="27">
        <v>20</v>
      </c>
      <c r="AL344" s="27">
        <v>20</v>
      </c>
      <c r="AM344" s="16">
        <f t="shared" si="55"/>
        <v>0.1</v>
      </c>
      <c r="AN344" s="157">
        <v>5</v>
      </c>
      <c r="AO344" s="1">
        <v>0</v>
      </c>
      <c r="AP344" s="27">
        <v>4</v>
      </c>
      <c r="AQ344" s="27"/>
      <c r="AR344" s="27">
        <f t="shared" si="59"/>
        <v>20</v>
      </c>
      <c r="AS344" s="21">
        <v>1</v>
      </c>
      <c r="AT344" s="1">
        <f t="shared" si="56"/>
        <v>20</v>
      </c>
      <c r="AU344" s="31"/>
      <c r="AV344" s="31"/>
      <c r="AW344" s="31"/>
      <c r="AX344" s="16">
        <f t="shared" si="53"/>
        <v>0.1</v>
      </c>
      <c r="AY344" s="156">
        <v>80</v>
      </c>
      <c r="AZ344" s="76">
        <v>0</v>
      </c>
      <c r="BA344" s="31"/>
      <c r="BB344" s="31"/>
      <c r="BC344" s="31"/>
      <c r="BD344" s="16">
        <f t="shared" si="57"/>
        <v>0</v>
      </c>
      <c r="BE344" s="31"/>
      <c r="BF344" s="31"/>
      <c r="BG344" s="31"/>
      <c r="BH344" s="31"/>
      <c r="BI344" s="16"/>
      <c r="BJ344" s="16"/>
      <c r="BK344" s="31"/>
      <c r="BL344" s="31"/>
      <c r="BM344" s="31"/>
      <c r="BN344" s="31"/>
      <c r="BO344" s="16"/>
      <c r="BP344" s="31"/>
      <c r="BQ344" s="31"/>
      <c r="BR344" s="31"/>
      <c r="BS344" s="31"/>
      <c r="BT344" s="16"/>
      <c r="BU344" s="16"/>
      <c r="BV344" s="16"/>
      <c r="BW344" s="16"/>
      <c r="BX344" s="16"/>
      <c r="BY344" s="16"/>
      <c r="BZ344" s="16"/>
      <c r="CA344" s="1"/>
      <c r="CB344" s="1"/>
      <c r="CC344" s="1"/>
    </row>
    <row r="345" spans="1:81" s="52" customFormat="1" ht="78" customHeight="1" x14ac:dyDescent="0.25">
      <c r="A345" s="1">
        <v>4</v>
      </c>
      <c r="B345" s="13" t="s">
        <v>1749</v>
      </c>
      <c r="C345" s="572"/>
      <c r="D345" s="573"/>
      <c r="E345" s="10" t="s">
        <v>1216</v>
      </c>
      <c r="F345" s="13" t="s">
        <v>1815</v>
      </c>
      <c r="G345" s="572"/>
      <c r="H345" s="573"/>
      <c r="I345" s="10" t="s">
        <v>1217</v>
      </c>
      <c r="J345" s="13" t="s">
        <v>1863</v>
      </c>
      <c r="K345" s="572"/>
      <c r="L345" s="573"/>
      <c r="M345" s="10"/>
      <c r="N345" s="10" t="s">
        <v>1218</v>
      </c>
      <c r="O345" s="10" t="s">
        <v>1218</v>
      </c>
      <c r="P345" s="1">
        <v>0</v>
      </c>
      <c r="Q345" s="1">
        <v>50</v>
      </c>
      <c r="R345" s="24"/>
      <c r="S345" s="13" t="s">
        <v>1223</v>
      </c>
      <c r="T345" s="13" t="s">
        <v>1211</v>
      </c>
      <c r="U345" s="1">
        <v>0</v>
      </c>
      <c r="V345" s="1">
        <v>100</v>
      </c>
      <c r="W345" s="1" t="s">
        <v>412</v>
      </c>
      <c r="X345" s="10" t="s">
        <v>1212</v>
      </c>
      <c r="Y345" s="1">
        <v>45</v>
      </c>
      <c r="Z345" s="1">
        <v>16</v>
      </c>
      <c r="AA345" s="24"/>
      <c r="AB345" s="10" t="s">
        <v>1333</v>
      </c>
      <c r="AC345" s="157">
        <v>25</v>
      </c>
      <c r="AD345" s="156">
        <v>100</v>
      </c>
      <c r="AE345" s="156">
        <v>25</v>
      </c>
      <c r="AF345" s="156">
        <v>25</v>
      </c>
      <c r="AG345" s="377">
        <f t="shared" si="58"/>
        <v>175</v>
      </c>
      <c r="AH345" s="377" t="b">
        <f t="shared" si="54"/>
        <v>0</v>
      </c>
      <c r="AI345" s="26">
        <v>0.1</v>
      </c>
      <c r="AJ345" s="27">
        <v>15</v>
      </c>
      <c r="AK345" s="27">
        <v>25</v>
      </c>
      <c r="AL345" s="27">
        <v>25</v>
      </c>
      <c r="AM345" s="16">
        <f t="shared" si="55"/>
        <v>0.25</v>
      </c>
      <c r="AN345" s="157">
        <v>25</v>
      </c>
      <c r="AO345" s="1">
        <v>10</v>
      </c>
      <c r="AP345" s="27">
        <v>15</v>
      </c>
      <c r="AQ345" s="27"/>
      <c r="AR345" s="27">
        <f t="shared" si="59"/>
        <v>25</v>
      </c>
      <c r="AS345" s="21">
        <f t="shared" si="60"/>
        <v>1</v>
      </c>
      <c r="AT345" s="1">
        <f t="shared" si="56"/>
        <v>55</v>
      </c>
      <c r="AU345" s="31"/>
      <c r="AV345" s="31"/>
      <c r="AW345" s="31"/>
      <c r="AX345" s="16">
        <f t="shared" si="53"/>
        <v>0.55000000000000004</v>
      </c>
      <c r="AY345" s="156">
        <v>100</v>
      </c>
      <c r="AZ345" s="76">
        <v>30</v>
      </c>
      <c r="BA345" s="31"/>
      <c r="BB345" s="31"/>
      <c r="BC345" s="31"/>
      <c r="BD345" s="16">
        <f t="shared" si="57"/>
        <v>0.3</v>
      </c>
      <c r="BE345" s="31"/>
      <c r="BF345" s="31"/>
      <c r="BG345" s="31"/>
      <c r="BH345" s="31"/>
      <c r="BI345" s="16"/>
      <c r="BJ345" s="16"/>
      <c r="BK345" s="31"/>
      <c r="BL345" s="31"/>
      <c r="BM345" s="31"/>
      <c r="BN345" s="31"/>
      <c r="BO345" s="16"/>
      <c r="BP345" s="31"/>
      <c r="BQ345" s="31"/>
      <c r="BR345" s="31"/>
      <c r="BS345" s="31"/>
      <c r="BT345" s="16"/>
      <c r="BU345" s="16"/>
      <c r="BV345" s="16"/>
      <c r="BW345" s="16"/>
      <c r="BX345" s="16"/>
      <c r="BY345" s="16"/>
      <c r="BZ345" s="16"/>
      <c r="CA345" s="1"/>
      <c r="CB345" s="1"/>
      <c r="CC345" s="1"/>
    </row>
    <row r="346" spans="1:81" s="52" customFormat="1" ht="218.65" customHeight="1" x14ac:dyDescent="0.25">
      <c r="A346" s="1">
        <v>4</v>
      </c>
      <c r="B346" s="13" t="s">
        <v>1749</v>
      </c>
      <c r="C346" s="572"/>
      <c r="D346" s="573"/>
      <c r="E346" s="10" t="s">
        <v>1216</v>
      </c>
      <c r="F346" s="13" t="s">
        <v>1815</v>
      </c>
      <c r="G346" s="572"/>
      <c r="H346" s="573"/>
      <c r="I346" s="10" t="s">
        <v>1217</v>
      </c>
      <c r="J346" s="13" t="s">
        <v>1863</v>
      </c>
      <c r="K346" s="572"/>
      <c r="L346" s="573"/>
      <c r="M346" s="10"/>
      <c r="N346" s="10" t="s">
        <v>1218</v>
      </c>
      <c r="O346" s="10" t="s">
        <v>1218</v>
      </c>
      <c r="P346" s="1">
        <v>0</v>
      </c>
      <c r="Q346" s="1">
        <v>50</v>
      </c>
      <c r="R346" s="24"/>
      <c r="S346" s="13" t="s">
        <v>1224</v>
      </c>
      <c r="T346" s="13" t="s">
        <v>1224</v>
      </c>
      <c r="U346" s="1">
        <v>1</v>
      </c>
      <c r="V346" s="1">
        <v>4</v>
      </c>
      <c r="W346" s="1" t="s">
        <v>412</v>
      </c>
      <c r="X346" s="10" t="s">
        <v>1212</v>
      </c>
      <c r="Y346" s="1">
        <v>45</v>
      </c>
      <c r="Z346" s="1">
        <v>16</v>
      </c>
      <c r="AA346" s="24"/>
      <c r="AB346" s="10" t="s">
        <v>1333</v>
      </c>
      <c r="AC346" s="157">
        <v>1</v>
      </c>
      <c r="AD346" s="156">
        <v>1</v>
      </c>
      <c r="AE346" s="156">
        <v>1</v>
      </c>
      <c r="AF346" s="156">
        <v>1</v>
      </c>
      <c r="AG346" s="377">
        <f t="shared" si="58"/>
        <v>4</v>
      </c>
      <c r="AH346" s="377" t="b">
        <f t="shared" si="54"/>
        <v>1</v>
      </c>
      <c r="AI346" s="26">
        <v>0.25</v>
      </c>
      <c r="AJ346" s="27">
        <v>1</v>
      </c>
      <c r="AK346" s="27">
        <v>1</v>
      </c>
      <c r="AL346" s="27">
        <v>1</v>
      </c>
      <c r="AM346" s="16">
        <f t="shared" si="55"/>
        <v>0.25</v>
      </c>
      <c r="AN346" s="157">
        <v>1</v>
      </c>
      <c r="AO346" s="27">
        <v>1</v>
      </c>
      <c r="AP346" s="27">
        <v>1</v>
      </c>
      <c r="AQ346" s="27"/>
      <c r="AR346" s="27">
        <f t="shared" si="59"/>
        <v>1</v>
      </c>
      <c r="AS346" s="21">
        <f t="shared" si="60"/>
        <v>1</v>
      </c>
      <c r="AT346" s="1">
        <f t="shared" si="56"/>
        <v>2</v>
      </c>
      <c r="AU346" s="31"/>
      <c r="AV346" s="31"/>
      <c r="AW346" s="31"/>
      <c r="AX346" s="16">
        <f t="shared" si="53"/>
        <v>0.5</v>
      </c>
      <c r="AY346" s="156">
        <v>1</v>
      </c>
      <c r="AZ346" s="76">
        <v>1</v>
      </c>
      <c r="BA346" s="31"/>
      <c r="BB346" s="31"/>
      <c r="BC346" s="31"/>
      <c r="BD346" s="16">
        <f t="shared" si="57"/>
        <v>1</v>
      </c>
      <c r="BE346" s="31"/>
      <c r="BF346" s="31"/>
      <c r="BG346" s="31"/>
      <c r="BH346" s="31"/>
      <c r="BI346" s="16"/>
      <c r="BJ346" s="16"/>
      <c r="BK346" s="31"/>
      <c r="BL346" s="31"/>
      <c r="BM346" s="31"/>
      <c r="BN346" s="31"/>
      <c r="BO346" s="16"/>
      <c r="BP346" s="31"/>
      <c r="BQ346" s="31"/>
      <c r="BR346" s="31"/>
      <c r="BS346" s="31"/>
      <c r="BT346" s="16"/>
      <c r="BU346" s="16"/>
      <c r="BV346" s="16"/>
      <c r="BW346" s="16"/>
      <c r="BX346" s="16"/>
      <c r="BY346" s="16"/>
      <c r="BZ346" s="16"/>
      <c r="CA346" s="1"/>
      <c r="CB346" s="1"/>
      <c r="CC346" s="1"/>
    </row>
    <row r="347" spans="1:81" s="52" customFormat="1" ht="94.5" x14ac:dyDescent="0.25">
      <c r="A347" s="1">
        <v>4</v>
      </c>
      <c r="B347" s="13" t="s">
        <v>1749</v>
      </c>
      <c r="C347" s="572"/>
      <c r="D347" s="573"/>
      <c r="E347" s="10" t="s">
        <v>1216</v>
      </c>
      <c r="F347" s="13" t="s">
        <v>1815</v>
      </c>
      <c r="G347" s="572"/>
      <c r="H347" s="573"/>
      <c r="I347" s="10" t="s">
        <v>1217</v>
      </c>
      <c r="J347" s="13" t="s">
        <v>1863</v>
      </c>
      <c r="K347" s="572"/>
      <c r="L347" s="573"/>
      <c r="M347" s="10"/>
      <c r="N347" s="10" t="s">
        <v>1218</v>
      </c>
      <c r="O347" s="10" t="s">
        <v>1218</v>
      </c>
      <c r="P347" s="1">
        <v>0</v>
      </c>
      <c r="Q347" s="1">
        <v>50</v>
      </c>
      <c r="R347" s="24"/>
      <c r="S347" s="13" t="s">
        <v>1225</v>
      </c>
      <c r="T347" s="13" t="s">
        <v>1225</v>
      </c>
      <c r="U347" s="1">
        <v>1</v>
      </c>
      <c r="V347" s="1">
        <v>4</v>
      </c>
      <c r="W347" s="1" t="s">
        <v>412</v>
      </c>
      <c r="X347" s="10" t="s">
        <v>1212</v>
      </c>
      <c r="Y347" s="1">
        <v>45</v>
      </c>
      <c r="Z347" s="1">
        <v>16</v>
      </c>
      <c r="AA347" s="24"/>
      <c r="AB347" s="10" t="s">
        <v>1333</v>
      </c>
      <c r="AC347" s="157">
        <v>1</v>
      </c>
      <c r="AD347" s="156">
        <v>1</v>
      </c>
      <c r="AE347" s="156">
        <v>1</v>
      </c>
      <c r="AF347" s="156">
        <v>1</v>
      </c>
      <c r="AG347" s="377">
        <f t="shared" si="58"/>
        <v>4</v>
      </c>
      <c r="AH347" s="377" t="b">
        <f t="shared" si="54"/>
        <v>1</v>
      </c>
      <c r="AI347" s="26">
        <v>0.25</v>
      </c>
      <c r="AJ347" s="27">
        <v>1</v>
      </c>
      <c r="AK347" s="27">
        <v>1</v>
      </c>
      <c r="AL347" s="27">
        <v>1</v>
      </c>
      <c r="AM347" s="16">
        <f t="shared" si="55"/>
        <v>0.25</v>
      </c>
      <c r="AN347" s="157">
        <v>1</v>
      </c>
      <c r="AO347" s="27">
        <v>1</v>
      </c>
      <c r="AP347" s="27">
        <v>1</v>
      </c>
      <c r="AQ347" s="27"/>
      <c r="AR347" s="27">
        <f t="shared" si="59"/>
        <v>1</v>
      </c>
      <c r="AS347" s="21">
        <f t="shared" si="60"/>
        <v>1</v>
      </c>
      <c r="AT347" s="1">
        <f t="shared" si="56"/>
        <v>2</v>
      </c>
      <c r="AU347" s="31"/>
      <c r="AV347" s="31"/>
      <c r="AW347" s="31"/>
      <c r="AX347" s="16">
        <f t="shared" si="53"/>
        <v>0.5</v>
      </c>
      <c r="AY347" s="156">
        <v>1</v>
      </c>
      <c r="AZ347" s="76">
        <v>1</v>
      </c>
      <c r="BA347" s="31"/>
      <c r="BB347" s="31"/>
      <c r="BC347" s="31"/>
      <c r="BD347" s="16">
        <f t="shared" si="57"/>
        <v>1</v>
      </c>
      <c r="BE347" s="31"/>
      <c r="BF347" s="31"/>
      <c r="BG347" s="31"/>
      <c r="BH347" s="31"/>
      <c r="BI347" s="16"/>
      <c r="BJ347" s="16"/>
      <c r="BK347" s="31"/>
      <c r="BL347" s="31"/>
      <c r="BM347" s="31"/>
      <c r="BN347" s="31"/>
      <c r="BO347" s="16"/>
      <c r="BP347" s="31"/>
      <c r="BQ347" s="31"/>
      <c r="BR347" s="31"/>
      <c r="BS347" s="31"/>
      <c r="BT347" s="16"/>
      <c r="BU347" s="16"/>
      <c r="BV347" s="16"/>
      <c r="BW347" s="16"/>
      <c r="BX347" s="16"/>
      <c r="BY347" s="16"/>
      <c r="BZ347" s="16"/>
      <c r="CA347" s="1"/>
      <c r="CB347" s="1"/>
      <c r="CC347" s="1"/>
    </row>
    <row r="348" spans="1:81" s="52" customFormat="1" ht="94.5" x14ac:dyDescent="0.25">
      <c r="A348" s="1">
        <v>4</v>
      </c>
      <c r="B348" s="13" t="s">
        <v>1749</v>
      </c>
      <c r="C348" s="572"/>
      <c r="D348" s="573"/>
      <c r="E348" s="10" t="s">
        <v>1216</v>
      </c>
      <c r="F348" s="13" t="s">
        <v>1815</v>
      </c>
      <c r="G348" s="568"/>
      <c r="H348" s="570"/>
      <c r="I348" s="10" t="s">
        <v>1217</v>
      </c>
      <c r="J348" s="13" t="s">
        <v>1863</v>
      </c>
      <c r="K348" s="568"/>
      <c r="L348" s="570"/>
      <c r="M348" s="10"/>
      <c r="N348" s="10" t="s">
        <v>1218</v>
      </c>
      <c r="O348" s="10" t="s">
        <v>1218</v>
      </c>
      <c r="P348" s="1">
        <v>0</v>
      </c>
      <c r="Q348" s="1">
        <v>50</v>
      </c>
      <c r="R348" s="24"/>
      <c r="S348" s="13" t="s">
        <v>1226</v>
      </c>
      <c r="T348" s="13" t="s">
        <v>1226</v>
      </c>
      <c r="U348" s="1">
        <v>1</v>
      </c>
      <c r="V348" s="1">
        <v>4</v>
      </c>
      <c r="W348" s="1" t="s">
        <v>412</v>
      </c>
      <c r="X348" s="10" t="s">
        <v>1212</v>
      </c>
      <c r="Y348" s="1">
        <v>45</v>
      </c>
      <c r="Z348" s="1">
        <v>16</v>
      </c>
      <c r="AA348" s="24"/>
      <c r="AB348" s="10" t="s">
        <v>1333</v>
      </c>
      <c r="AC348" s="157">
        <v>1</v>
      </c>
      <c r="AD348" s="156">
        <v>1</v>
      </c>
      <c r="AE348" s="156">
        <v>1</v>
      </c>
      <c r="AF348" s="156">
        <v>1</v>
      </c>
      <c r="AG348" s="377">
        <f t="shared" si="58"/>
        <v>4</v>
      </c>
      <c r="AH348" s="377" t="b">
        <f t="shared" si="54"/>
        <v>1</v>
      </c>
      <c r="AI348" s="26">
        <v>0.25</v>
      </c>
      <c r="AJ348" s="27">
        <v>1</v>
      </c>
      <c r="AK348" s="27">
        <v>1</v>
      </c>
      <c r="AL348" s="27">
        <v>1</v>
      </c>
      <c r="AM348" s="16">
        <f t="shared" si="55"/>
        <v>0.25</v>
      </c>
      <c r="AN348" s="157">
        <v>1</v>
      </c>
      <c r="AO348" s="27">
        <v>1</v>
      </c>
      <c r="AP348" s="27">
        <v>1</v>
      </c>
      <c r="AQ348" s="27"/>
      <c r="AR348" s="27">
        <f t="shared" si="59"/>
        <v>1</v>
      </c>
      <c r="AS348" s="21">
        <f t="shared" si="60"/>
        <v>1</v>
      </c>
      <c r="AT348" s="1">
        <f t="shared" si="56"/>
        <v>2</v>
      </c>
      <c r="AU348" s="31"/>
      <c r="AV348" s="31"/>
      <c r="AW348" s="31"/>
      <c r="AX348" s="16">
        <f t="shared" si="53"/>
        <v>0.5</v>
      </c>
      <c r="AY348" s="156">
        <v>1</v>
      </c>
      <c r="AZ348" s="76">
        <v>1</v>
      </c>
      <c r="BA348" s="31"/>
      <c r="BB348" s="31"/>
      <c r="BC348" s="31"/>
      <c r="BD348" s="16">
        <f t="shared" si="57"/>
        <v>1</v>
      </c>
      <c r="BE348" s="31"/>
      <c r="BF348" s="31"/>
      <c r="BG348" s="31"/>
      <c r="BH348" s="31"/>
      <c r="BI348" s="16"/>
      <c r="BJ348" s="16"/>
      <c r="BK348" s="31"/>
      <c r="BL348" s="31"/>
      <c r="BM348" s="31"/>
      <c r="BN348" s="31"/>
      <c r="BO348" s="16"/>
      <c r="BP348" s="31"/>
      <c r="BQ348" s="31"/>
      <c r="BR348" s="31"/>
      <c r="BS348" s="31"/>
      <c r="BT348" s="16"/>
      <c r="BU348" s="16"/>
      <c r="BV348" s="16"/>
      <c r="BW348" s="16"/>
      <c r="BX348" s="16"/>
      <c r="BY348" s="16"/>
      <c r="BZ348" s="16"/>
      <c r="CA348" s="1"/>
      <c r="CB348" s="1"/>
      <c r="CC348" s="1"/>
    </row>
    <row r="349" spans="1:81" s="52" customFormat="1" ht="90" customHeight="1" x14ac:dyDescent="0.25">
      <c r="A349" s="1">
        <v>4</v>
      </c>
      <c r="B349" s="13" t="s">
        <v>1749</v>
      </c>
      <c r="C349" s="572"/>
      <c r="D349" s="573"/>
      <c r="E349" s="10" t="s">
        <v>1227</v>
      </c>
      <c r="F349" s="13" t="s">
        <v>1816</v>
      </c>
      <c r="G349" s="567">
        <f>+AVERAGEIF(F14:F567,F349,AX14:AX567)</f>
        <v>0.32881562881562876</v>
      </c>
      <c r="H349" s="569">
        <f>+AVERAGEIF(F14:F567,F349,BD14:BD567)</f>
        <v>0.31296296296296294</v>
      </c>
      <c r="I349" s="10" t="s">
        <v>1228</v>
      </c>
      <c r="J349" s="13" t="s">
        <v>1864</v>
      </c>
      <c r="K349" s="567">
        <f>AVERAGE(AX349:AX356)</f>
        <v>0.39196428571428565</v>
      </c>
      <c r="L349" s="569">
        <f>AVERAGE(BD349:BD356)</f>
        <v>0.33333333333333331</v>
      </c>
      <c r="M349" s="13"/>
      <c r="N349" s="13" t="s">
        <v>1229</v>
      </c>
      <c r="O349" s="13" t="s">
        <v>1229</v>
      </c>
      <c r="P349" s="31">
        <v>0.3</v>
      </c>
      <c r="Q349" s="31">
        <v>1</v>
      </c>
      <c r="R349" s="39"/>
      <c r="S349" s="13" t="s">
        <v>1230</v>
      </c>
      <c r="T349" s="13" t="s">
        <v>1230</v>
      </c>
      <c r="U349" s="1">
        <v>0</v>
      </c>
      <c r="V349" s="1">
        <v>7</v>
      </c>
      <c r="W349" s="1" t="s">
        <v>49</v>
      </c>
      <c r="X349" s="10"/>
      <c r="Y349" s="10" t="s">
        <v>1231</v>
      </c>
      <c r="Z349" s="1" t="s">
        <v>1128</v>
      </c>
      <c r="AA349" s="13" t="s">
        <v>1232</v>
      </c>
      <c r="AB349" s="10" t="s">
        <v>1763</v>
      </c>
      <c r="AC349" s="156">
        <v>1</v>
      </c>
      <c r="AD349" s="156">
        <v>2</v>
      </c>
      <c r="AE349" s="156">
        <v>3</v>
      </c>
      <c r="AF349" s="156">
        <v>1</v>
      </c>
      <c r="AG349" s="377">
        <f t="shared" si="58"/>
        <v>7</v>
      </c>
      <c r="AH349" s="377" t="b">
        <f t="shared" si="54"/>
        <v>1</v>
      </c>
      <c r="AI349" s="1">
        <v>0.5</v>
      </c>
      <c r="AJ349" s="1">
        <v>0.5</v>
      </c>
      <c r="AK349" s="1">
        <v>1</v>
      </c>
      <c r="AL349" s="1">
        <v>1</v>
      </c>
      <c r="AM349" s="16">
        <f t="shared" si="55"/>
        <v>0.14285714285714285</v>
      </c>
      <c r="AN349" s="156">
        <v>1</v>
      </c>
      <c r="AO349" s="1">
        <v>0.5</v>
      </c>
      <c r="AP349" s="1">
        <v>0.5</v>
      </c>
      <c r="AQ349" s="1"/>
      <c r="AR349" s="1">
        <f>AL349</f>
        <v>1</v>
      </c>
      <c r="AS349" s="21">
        <f>IFERROR(+AR349/AN349,0)</f>
        <v>1</v>
      </c>
      <c r="AT349" s="1">
        <f t="shared" si="56"/>
        <v>1</v>
      </c>
      <c r="AU349" s="31"/>
      <c r="AV349" s="31"/>
      <c r="AW349" s="31"/>
      <c r="AX349" s="16">
        <f t="shared" si="53"/>
        <v>0.14285714285714285</v>
      </c>
      <c r="AY349" s="156">
        <v>2</v>
      </c>
      <c r="AZ349" s="76">
        <v>0</v>
      </c>
      <c r="BA349" s="31"/>
      <c r="BB349" s="31"/>
      <c r="BC349" s="31"/>
      <c r="BD349" s="16">
        <f t="shared" si="57"/>
        <v>0</v>
      </c>
      <c r="BE349" s="31"/>
      <c r="BF349" s="31"/>
      <c r="BG349" s="31"/>
      <c r="BH349" s="31"/>
      <c r="BI349" s="16"/>
      <c r="BJ349" s="16"/>
      <c r="BK349" s="31"/>
      <c r="BL349" s="31"/>
      <c r="BM349" s="31"/>
      <c r="BN349" s="31"/>
      <c r="BO349" s="16"/>
      <c r="BP349" s="31"/>
      <c r="BQ349" s="31"/>
      <c r="BR349" s="31"/>
      <c r="BS349" s="31"/>
      <c r="BT349" s="16"/>
      <c r="BU349" s="16"/>
      <c r="BV349" s="16"/>
      <c r="BW349" s="16"/>
      <c r="BX349" s="16"/>
      <c r="BY349" s="16"/>
      <c r="BZ349" s="16"/>
      <c r="CA349" s="1"/>
      <c r="CB349" s="1"/>
      <c r="CC349" s="1"/>
    </row>
    <row r="350" spans="1:81" s="52" customFormat="1" ht="80.25" customHeight="1" x14ac:dyDescent="0.25">
      <c r="A350" s="1">
        <v>4</v>
      </c>
      <c r="B350" s="13" t="s">
        <v>1749</v>
      </c>
      <c r="C350" s="572"/>
      <c r="D350" s="573"/>
      <c r="E350" s="10" t="s">
        <v>1227</v>
      </c>
      <c r="F350" s="13" t="s">
        <v>1816</v>
      </c>
      <c r="G350" s="572"/>
      <c r="H350" s="573"/>
      <c r="I350" s="10" t="s">
        <v>1228</v>
      </c>
      <c r="J350" s="13" t="s">
        <v>1864</v>
      </c>
      <c r="K350" s="572"/>
      <c r="L350" s="573"/>
      <c r="M350" s="23"/>
      <c r="N350" s="23" t="s">
        <v>1233</v>
      </c>
      <c r="O350" s="23" t="s">
        <v>1233</v>
      </c>
      <c r="P350" s="31">
        <v>0.6</v>
      </c>
      <c r="Q350" s="31">
        <v>1</v>
      </c>
      <c r="R350" s="39"/>
      <c r="S350" s="13" t="s">
        <v>1234</v>
      </c>
      <c r="T350" s="13" t="s">
        <v>1234</v>
      </c>
      <c r="U350" s="1">
        <v>0</v>
      </c>
      <c r="V350" s="1">
        <v>1</v>
      </c>
      <c r="W350" s="1" t="s">
        <v>49</v>
      </c>
      <c r="X350" s="1"/>
      <c r="Y350" s="1">
        <v>1</v>
      </c>
      <c r="Z350" s="1">
        <v>0</v>
      </c>
      <c r="AA350" s="24">
        <v>0</v>
      </c>
      <c r="AB350" s="10" t="s">
        <v>1763</v>
      </c>
      <c r="AC350" s="156">
        <v>1</v>
      </c>
      <c r="AD350" s="156">
        <v>1</v>
      </c>
      <c r="AE350" s="156"/>
      <c r="AF350" s="156"/>
      <c r="AG350" s="377">
        <f t="shared" si="58"/>
        <v>2</v>
      </c>
      <c r="AH350" s="377" t="b">
        <f t="shared" si="54"/>
        <v>0</v>
      </c>
      <c r="AI350" s="1">
        <v>0</v>
      </c>
      <c r="AJ350" s="1">
        <v>0</v>
      </c>
      <c r="AK350" s="1">
        <v>0</v>
      </c>
      <c r="AL350" s="1">
        <v>0</v>
      </c>
      <c r="AM350" s="16">
        <f t="shared" si="55"/>
        <v>0</v>
      </c>
      <c r="AN350" s="156">
        <v>1</v>
      </c>
      <c r="AO350" s="1">
        <v>0</v>
      </c>
      <c r="AP350" s="1">
        <v>0</v>
      </c>
      <c r="AQ350" s="1"/>
      <c r="AR350" s="1">
        <f>AL350</f>
        <v>0</v>
      </c>
      <c r="AS350" s="21">
        <f>IFERROR(+AR350/AN350,0)</f>
        <v>0</v>
      </c>
      <c r="AT350" s="1">
        <f t="shared" si="56"/>
        <v>0</v>
      </c>
      <c r="AU350" s="31"/>
      <c r="AV350" s="31"/>
      <c r="AW350" s="31"/>
      <c r="AX350" s="16">
        <f t="shared" si="53"/>
        <v>0</v>
      </c>
      <c r="AY350" s="156">
        <v>1</v>
      </c>
      <c r="AZ350" s="76"/>
      <c r="BA350" s="31"/>
      <c r="BB350" s="31"/>
      <c r="BC350" s="31"/>
      <c r="BD350" s="16">
        <f t="shared" si="57"/>
        <v>0</v>
      </c>
      <c r="BE350" s="31"/>
      <c r="BF350" s="31"/>
      <c r="BG350" s="31"/>
      <c r="BH350" s="31"/>
      <c r="BI350" s="16"/>
      <c r="BJ350" s="16"/>
      <c r="BK350" s="31"/>
      <c r="BL350" s="31"/>
      <c r="BM350" s="31"/>
      <c r="BN350" s="31"/>
      <c r="BO350" s="16"/>
      <c r="BP350" s="31"/>
      <c r="BQ350" s="31"/>
      <c r="BR350" s="31"/>
      <c r="BS350" s="31"/>
      <c r="BT350" s="16"/>
      <c r="BU350" s="16"/>
      <c r="BV350" s="16"/>
      <c r="BW350" s="16"/>
      <c r="BX350" s="16"/>
      <c r="BY350" s="16"/>
      <c r="BZ350" s="16"/>
      <c r="CA350" s="1"/>
      <c r="CB350" s="1"/>
      <c r="CC350" s="1"/>
    </row>
    <row r="351" spans="1:81" s="52" customFormat="1" ht="120.75" customHeight="1" x14ac:dyDescent="0.25">
      <c r="A351" s="1">
        <v>4</v>
      </c>
      <c r="B351" s="13" t="s">
        <v>1749</v>
      </c>
      <c r="C351" s="572"/>
      <c r="D351" s="573"/>
      <c r="E351" s="10" t="s">
        <v>1227</v>
      </c>
      <c r="F351" s="13" t="s">
        <v>1816</v>
      </c>
      <c r="G351" s="572"/>
      <c r="H351" s="573"/>
      <c r="I351" s="10" t="s">
        <v>1228</v>
      </c>
      <c r="J351" s="13" t="s">
        <v>1864</v>
      </c>
      <c r="K351" s="572"/>
      <c r="L351" s="573"/>
      <c r="M351" s="13"/>
      <c r="N351" s="13" t="s">
        <v>1233</v>
      </c>
      <c r="O351" s="13" t="s">
        <v>1233</v>
      </c>
      <c r="P351" s="31">
        <v>0.6</v>
      </c>
      <c r="Q351" s="31">
        <v>1</v>
      </c>
      <c r="R351" s="39"/>
      <c r="S351" s="13" t="s">
        <v>1235</v>
      </c>
      <c r="T351" s="13" t="s">
        <v>1235</v>
      </c>
      <c r="U351" s="1">
        <v>0</v>
      </c>
      <c r="V351" s="1">
        <v>10</v>
      </c>
      <c r="W351" s="1" t="s">
        <v>49</v>
      </c>
      <c r="X351" s="1"/>
      <c r="Y351" s="10" t="s">
        <v>1231</v>
      </c>
      <c r="Z351" s="10" t="s">
        <v>1128</v>
      </c>
      <c r="AA351" s="448" t="s">
        <v>1232</v>
      </c>
      <c r="AB351" s="10" t="s">
        <v>1763</v>
      </c>
      <c r="AC351" s="156">
        <v>2</v>
      </c>
      <c r="AD351" s="156">
        <v>3</v>
      </c>
      <c r="AE351" s="156">
        <v>5</v>
      </c>
      <c r="AF351" s="156">
        <v>0</v>
      </c>
      <c r="AG351" s="377">
        <f t="shared" si="58"/>
        <v>10</v>
      </c>
      <c r="AH351" s="377" t="b">
        <f t="shared" si="54"/>
        <v>1</v>
      </c>
      <c r="AI351" s="1">
        <v>1</v>
      </c>
      <c r="AJ351" s="1">
        <v>2</v>
      </c>
      <c r="AK351" s="1">
        <v>2</v>
      </c>
      <c r="AL351" s="1">
        <v>2</v>
      </c>
      <c r="AM351" s="16">
        <f t="shared" si="55"/>
        <v>0.2</v>
      </c>
      <c r="AN351" s="156">
        <v>2</v>
      </c>
      <c r="AO351" s="1">
        <f t="shared" ref="AO351:AO356" si="61">AI351</f>
        <v>1</v>
      </c>
      <c r="AP351" s="1">
        <v>2</v>
      </c>
      <c r="AQ351" s="1"/>
      <c r="AR351" s="1">
        <f>AL351</f>
        <v>2</v>
      </c>
      <c r="AS351" s="21">
        <f>IFERROR(+AR351/AN351,0)</f>
        <v>1</v>
      </c>
      <c r="AT351" s="1">
        <f t="shared" si="56"/>
        <v>3</v>
      </c>
      <c r="AU351" s="31"/>
      <c r="AV351" s="31"/>
      <c r="AW351" s="31"/>
      <c r="AX351" s="16">
        <f t="shared" si="53"/>
        <v>0.3</v>
      </c>
      <c r="AY351" s="156">
        <v>3</v>
      </c>
      <c r="AZ351" s="76">
        <v>1</v>
      </c>
      <c r="BA351" s="31"/>
      <c r="BB351" s="31"/>
      <c r="BC351" s="31"/>
      <c r="BD351" s="16">
        <f t="shared" si="57"/>
        <v>0.33333333333333331</v>
      </c>
      <c r="BE351" s="31"/>
      <c r="BF351" s="31"/>
      <c r="BG351" s="31"/>
      <c r="BH351" s="31"/>
      <c r="BI351" s="16"/>
      <c r="BJ351" s="16"/>
      <c r="BK351" s="31"/>
      <c r="BL351" s="31"/>
      <c r="BM351" s="31"/>
      <c r="BN351" s="31"/>
      <c r="BO351" s="16"/>
      <c r="BP351" s="31"/>
      <c r="BQ351" s="31"/>
      <c r="BR351" s="31"/>
      <c r="BS351" s="31"/>
      <c r="BT351" s="16"/>
      <c r="BU351" s="16"/>
      <c r="BV351" s="16"/>
      <c r="BW351" s="16"/>
      <c r="BX351" s="16"/>
      <c r="BY351" s="16"/>
      <c r="BZ351" s="16"/>
      <c r="CA351" s="1"/>
      <c r="CB351" s="1"/>
      <c r="CC351" s="1"/>
    </row>
    <row r="352" spans="1:81" s="52" customFormat="1" ht="85.5" customHeight="1" x14ac:dyDescent="0.25">
      <c r="A352" s="1">
        <v>4</v>
      </c>
      <c r="B352" s="13" t="s">
        <v>1749</v>
      </c>
      <c r="C352" s="572"/>
      <c r="D352" s="573"/>
      <c r="E352" s="10" t="s">
        <v>1227</v>
      </c>
      <c r="F352" s="13" t="s">
        <v>1816</v>
      </c>
      <c r="G352" s="572"/>
      <c r="H352" s="573"/>
      <c r="I352" s="10" t="s">
        <v>1228</v>
      </c>
      <c r="J352" s="13" t="s">
        <v>1864</v>
      </c>
      <c r="K352" s="572"/>
      <c r="L352" s="573"/>
      <c r="M352" s="13"/>
      <c r="N352" s="13" t="s">
        <v>1233</v>
      </c>
      <c r="O352" s="13" t="s">
        <v>1233</v>
      </c>
      <c r="P352" s="31">
        <v>0.6</v>
      </c>
      <c r="Q352" s="31">
        <v>1</v>
      </c>
      <c r="R352" s="39"/>
      <c r="S352" s="13" t="s">
        <v>1236</v>
      </c>
      <c r="T352" s="13" t="s">
        <v>1236</v>
      </c>
      <c r="U352" s="1">
        <v>0</v>
      </c>
      <c r="V352" s="1">
        <v>1</v>
      </c>
      <c r="W352" s="1" t="s">
        <v>49</v>
      </c>
      <c r="X352" s="1"/>
      <c r="Y352" s="10" t="s">
        <v>1231</v>
      </c>
      <c r="Z352" s="10" t="s">
        <v>1128</v>
      </c>
      <c r="AA352" s="13" t="s">
        <v>1232</v>
      </c>
      <c r="AB352" s="10" t="s">
        <v>1763</v>
      </c>
      <c r="AC352" s="156">
        <v>1</v>
      </c>
      <c r="AD352" s="156"/>
      <c r="AE352" s="156"/>
      <c r="AF352" s="156"/>
      <c r="AG352" s="377">
        <f t="shared" si="58"/>
        <v>1</v>
      </c>
      <c r="AH352" s="377" t="b">
        <f t="shared" si="54"/>
        <v>1</v>
      </c>
      <c r="AI352" s="1">
        <v>0.4</v>
      </c>
      <c r="AJ352" s="1">
        <v>0.8</v>
      </c>
      <c r="AK352" s="1">
        <v>1</v>
      </c>
      <c r="AL352" s="1">
        <v>1</v>
      </c>
      <c r="AM352" s="16">
        <f t="shared" si="55"/>
        <v>1</v>
      </c>
      <c r="AN352" s="156">
        <v>1</v>
      </c>
      <c r="AO352" s="1">
        <f t="shared" si="61"/>
        <v>0.4</v>
      </c>
      <c r="AP352" s="1">
        <v>0.8</v>
      </c>
      <c r="AQ352" s="1"/>
      <c r="AR352" s="1">
        <f>AL352</f>
        <v>1</v>
      </c>
      <c r="AS352" s="21">
        <f>IFERROR(+AR352/AN352,0)</f>
        <v>1</v>
      </c>
      <c r="AT352" s="1">
        <f t="shared" si="56"/>
        <v>1</v>
      </c>
      <c r="AU352" s="31"/>
      <c r="AV352" s="31"/>
      <c r="AW352" s="31"/>
      <c r="AX352" s="16">
        <f t="shared" si="53"/>
        <v>1</v>
      </c>
      <c r="AY352" s="156" t="s">
        <v>310</v>
      </c>
      <c r="AZ352" s="76"/>
      <c r="BA352" s="31"/>
      <c r="BB352" s="31"/>
      <c r="BC352" s="31"/>
      <c r="BD352" s="16" t="str">
        <f t="shared" si="57"/>
        <v>NP</v>
      </c>
      <c r="BE352" s="31"/>
      <c r="BF352" s="31"/>
      <c r="BG352" s="31"/>
      <c r="BH352" s="31"/>
      <c r="BI352" s="16"/>
      <c r="BJ352" s="16"/>
      <c r="BK352" s="31"/>
      <c r="BL352" s="31"/>
      <c r="BM352" s="31"/>
      <c r="BN352" s="31"/>
      <c r="BO352" s="16"/>
      <c r="BP352" s="31"/>
      <c r="BQ352" s="31"/>
      <c r="BR352" s="31"/>
      <c r="BS352" s="31"/>
      <c r="BT352" s="16"/>
      <c r="BU352" s="16"/>
      <c r="BV352" s="16"/>
      <c r="BW352" s="16"/>
      <c r="BX352" s="16"/>
      <c r="BY352" s="16"/>
      <c r="BZ352" s="16"/>
      <c r="CA352" s="1"/>
      <c r="CB352" s="1"/>
      <c r="CC352" s="1"/>
    </row>
    <row r="353" spans="1:81" s="52" customFormat="1" ht="116.25" customHeight="1" x14ac:dyDescent="0.25">
      <c r="A353" s="1">
        <v>4</v>
      </c>
      <c r="B353" s="13" t="s">
        <v>1749</v>
      </c>
      <c r="C353" s="572"/>
      <c r="D353" s="573"/>
      <c r="E353" s="10" t="s">
        <v>1227</v>
      </c>
      <c r="F353" s="13" t="s">
        <v>1816</v>
      </c>
      <c r="G353" s="572"/>
      <c r="H353" s="573"/>
      <c r="I353" s="10" t="s">
        <v>1228</v>
      </c>
      <c r="J353" s="13" t="s">
        <v>1864</v>
      </c>
      <c r="K353" s="572"/>
      <c r="L353" s="573"/>
      <c r="M353" s="13"/>
      <c r="N353" s="13" t="s">
        <v>1233</v>
      </c>
      <c r="O353" s="13" t="s">
        <v>1233</v>
      </c>
      <c r="P353" s="31">
        <v>0.6</v>
      </c>
      <c r="Q353" s="31">
        <v>1</v>
      </c>
      <c r="R353" s="39"/>
      <c r="S353" s="13" t="s">
        <v>1237</v>
      </c>
      <c r="T353" s="13" t="s">
        <v>1237</v>
      </c>
      <c r="U353" s="1">
        <v>0</v>
      </c>
      <c r="V353" s="1">
        <v>7</v>
      </c>
      <c r="W353" s="1" t="s">
        <v>49</v>
      </c>
      <c r="X353" s="1"/>
      <c r="Y353" s="10" t="s">
        <v>1231</v>
      </c>
      <c r="Z353" s="10" t="s">
        <v>1128</v>
      </c>
      <c r="AA353" s="13" t="s">
        <v>1232</v>
      </c>
      <c r="AB353" s="10" t="s">
        <v>1763</v>
      </c>
      <c r="AC353" s="156">
        <v>1</v>
      </c>
      <c r="AD353" s="156">
        <v>2</v>
      </c>
      <c r="AE353" s="156">
        <v>3</v>
      </c>
      <c r="AF353" s="156">
        <v>1</v>
      </c>
      <c r="AG353" s="377">
        <f t="shared" si="58"/>
        <v>7</v>
      </c>
      <c r="AH353" s="377" t="b">
        <f t="shared" si="54"/>
        <v>1</v>
      </c>
      <c r="AI353" s="1">
        <v>0.5</v>
      </c>
      <c r="AJ353" s="1">
        <v>0.8</v>
      </c>
      <c r="AK353" s="1">
        <v>1</v>
      </c>
      <c r="AL353" s="1">
        <v>1</v>
      </c>
      <c r="AM353" s="16">
        <f t="shared" si="55"/>
        <v>0.14285714285714285</v>
      </c>
      <c r="AN353" s="156">
        <v>1</v>
      </c>
      <c r="AO353" s="1">
        <f t="shared" si="61"/>
        <v>0.5</v>
      </c>
      <c r="AP353" s="1">
        <v>0.8</v>
      </c>
      <c r="AQ353" s="1"/>
      <c r="AR353" s="1">
        <f>AL353</f>
        <v>1</v>
      </c>
      <c r="AS353" s="21">
        <f>IFERROR(+AR353/AN353,0)</f>
        <v>1</v>
      </c>
      <c r="AT353" s="1">
        <f t="shared" si="56"/>
        <v>1</v>
      </c>
      <c r="AU353" s="31"/>
      <c r="AV353" s="31"/>
      <c r="AW353" s="31"/>
      <c r="AX353" s="16">
        <f t="shared" si="53"/>
        <v>0.14285714285714285</v>
      </c>
      <c r="AY353" s="156">
        <v>2</v>
      </c>
      <c r="AZ353" s="76"/>
      <c r="BA353" s="31"/>
      <c r="BB353" s="31"/>
      <c r="BC353" s="31"/>
      <c r="BD353" s="16">
        <f t="shared" si="57"/>
        <v>0</v>
      </c>
      <c r="BE353" s="31"/>
      <c r="BF353" s="31"/>
      <c r="BG353" s="31"/>
      <c r="BH353" s="31"/>
      <c r="BI353" s="16"/>
      <c r="BJ353" s="16"/>
      <c r="BK353" s="31"/>
      <c r="BL353" s="31"/>
      <c r="BM353" s="31"/>
      <c r="BN353" s="31"/>
      <c r="BO353" s="16"/>
      <c r="BP353" s="31"/>
      <c r="BQ353" s="31"/>
      <c r="BR353" s="31"/>
      <c r="BS353" s="31"/>
      <c r="BT353" s="16"/>
      <c r="BU353" s="16"/>
      <c r="BV353" s="16"/>
      <c r="BW353" s="16"/>
      <c r="BX353" s="16"/>
      <c r="BY353" s="16"/>
      <c r="BZ353" s="16"/>
      <c r="CA353" s="1"/>
      <c r="CB353" s="1"/>
      <c r="CC353" s="1"/>
    </row>
    <row r="354" spans="1:81" s="52" customFormat="1" ht="78.75" x14ac:dyDescent="0.25">
      <c r="A354" s="1">
        <v>4</v>
      </c>
      <c r="B354" s="13" t="s">
        <v>1749</v>
      </c>
      <c r="C354" s="572"/>
      <c r="D354" s="573"/>
      <c r="E354" s="10" t="s">
        <v>1227</v>
      </c>
      <c r="F354" s="13" t="s">
        <v>1816</v>
      </c>
      <c r="G354" s="572"/>
      <c r="H354" s="573"/>
      <c r="I354" s="10" t="s">
        <v>1228</v>
      </c>
      <c r="J354" s="13" t="s">
        <v>1864</v>
      </c>
      <c r="K354" s="572"/>
      <c r="L354" s="573"/>
      <c r="M354" s="23"/>
      <c r="N354" s="23" t="s">
        <v>1233</v>
      </c>
      <c r="O354" s="23" t="s">
        <v>1233</v>
      </c>
      <c r="P354" s="31">
        <v>0.6</v>
      </c>
      <c r="Q354" s="31">
        <v>1</v>
      </c>
      <c r="R354" s="39"/>
      <c r="S354" s="13" t="s">
        <v>1238</v>
      </c>
      <c r="T354" s="291" t="s">
        <v>1238</v>
      </c>
      <c r="U354" s="292" t="s">
        <v>55</v>
      </c>
      <c r="V354" s="292">
        <v>1</v>
      </c>
      <c r="W354" s="1" t="s">
        <v>49</v>
      </c>
      <c r="X354" s="1"/>
      <c r="Y354" s="1">
        <v>0</v>
      </c>
      <c r="Z354" s="1"/>
      <c r="AA354" s="24"/>
      <c r="AB354" s="10" t="s">
        <v>1763</v>
      </c>
      <c r="AC354" s="156"/>
      <c r="AD354" s="156">
        <v>1</v>
      </c>
      <c r="AE354" s="156"/>
      <c r="AF354" s="156"/>
      <c r="AG354" s="377">
        <f t="shared" si="58"/>
        <v>1</v>
      </c>
      <c r="AH354" s="377" t="b">
        <f t="shared" si="54"/>
        <v>1</v>
      </c>
      <c r="AI354" s="292">
        <v>0</v>
      </c>
      <c r="AJ354" s="292">
        <v>0</v>
      </c>
      <c r="AK354" s="292"/>
      <c r="AL354" s="292"/>
      <c r="AM354" s="16">
        <f t="shared" si="55"/>
        <v>0</v>
      </c>
      <c r="AN354" s="156"/>
      <c r="AO354" s="1">
        <f t="shared" si="61"/>
        <v>0</v>
      </c>
      <c r="AP354" s="1">
        <v>0</v>
      </c>
      <c r="AQ354" s="1"/>
      <c r="AR354" s="1"/>
      <c r="AS354" s="21" t="s">
        <v>310</v>
      </c>
      <c r="AT354" s="1">
        <f t="shared" si="56"/>
        <v>1</v>
      </c>
      <c r="AU354" s="31"/>
      <c r="AV354" s="31"/>
      <c r="AW354" s="31"/>
      <c r="AX354" s="16">
        <f t="shared" si="53"/>
        <v>1</v>
      </c>
      <c r="AY354" s="156">
        <v>1</v>
      </c>
      <c r="AZ354" s="76">
        <v>1</v>
      </c>
      <c r="BA354" s="31"/>
      <c r="BB354" s="31"/>
      <c r="BC354" s="31"/>
      <c r="BD354" s="16">
        <f t="shared" si="57"/>
        <v>1</v>
      </c>
      <c r="BE354" s="31"/>
      <c r="BF354" s="31"/>
      <c r="BG354" s="31"/>
      <c r="BH354" s="31"/>
      <c r="BI354" s="16"/>
      <c r="BJ354" s="16"/>
      <c r="BK354" s="31"/>
      <c r="BL354" s="31"/>
      <c r="BM354" s="31"/>
      <c r="BN354" s="31"/>
      <c r="BO354" s="16"/>
      <c r="BP354" s="31"/>
      <c r="BQ354" s="31"/>
      <c r="BR354" s="31"/>
      <c r="BS354" s="31"/>
      <c r="BT354" s="16"/>
      <c r="BU354" s="16"/>
      <c r="BV354" s="16"/>
      <c r="BW354" s="16"/>
      <c r="BX354" s="16"/>
      <c r="BY354" s="16"/>
      <c r="BZ354" s="16"/>
      <c r="CA354" s="1"/>
      <c r="CB354" s="1"/>
      <c r="CC354" s="1"/>
    </row>
    <row r="355" spans="1:81" s="52" customFormat="1" ht="146.25" customHeight="1" x14ac:dyDescent="0.25">
      <c r="A355" s="1">
        <v>4</v>
      </c>
      <c r="B355" s="13" t="s">
        <v>1749</v>
      </c>
      <c r="C355" s="572"/>
      <c r="D355" s="573"/>
      <c r="E355" s="10" t="s">
        <v>1227</v>
      </c>
      <c r="F355" s="13" t="s">
        <v>1816</v>
      </c>
      <c r="G355" s="572"/>
      <c r="H355" s="573"/>
      <c r="I355" s="10" t="s">
        <v>1228</v>
      </c>
      <c r="J355" s="13" t="s">
        <v>1864</v>
      </c>
      <c r="K355" s="572"/>
      <c r="L355" s="573"/>
      <c r="M355" s="13"/>
      <c r="N355" s="13" t="s">
        <v>1233</v>
      </c>
      <c r="O355" s="13" t="s">
        <v>1233</v>
      </c>
      <c r="P355" s="31">
        <v>0.6</v>
      </c>
      <c r="Q355" s="31">
        <v>1</v>
      </c>
      <c r="R355" s="39"/>
      <c r="S355" s="13" t="s">
        <v>1239</v>
      </c>
      <c r="T355" s="13" t="s">
        <v>1239</v>
      </c>
      <c r="U355" s="1">
        <v>45</v>
      </c>
      <c r="V355" s="1">
        <v>45</v>
      </c>
      <c r="W355" s="1" t="s">
        <v>78</v>
      </c>
      <c r="X355" s="1"/>
      <c r="Y355" s="10" t="s">
        <v>1231</v>
      </c>
      <c r="Z355" s="10" t="s">
        <v>1128</v>
      </c>
      <c r="AA355" s="13" t="s">
        <v>1232</v>
      </c>
      <c r="AB355" s="10" t="s">
        <v>1763</v>
      </c>
      <c r="AC355" s="156">
        <v>45</v>
      </c>
      <c r="AD355" s="156">
        <v>45</v>
      </c>
      <c r="AE355" s="156">
        <v>45</v>
      </c>
      <c r="AF355" s="156">
        <v>45</v>
      </c>
      <c r="AG355" s="377">
        <f t="shared" si="58"/>
        <v>180</v>
      </c>
      <c r="AH355" s="377" t="b">
        <f t="shared" si="54"/>
        <v>0</v>
      </c>
      <c r="AI355" s="1">
        <v>20</v>
      </c>
      <c r="AJ355" s="1">
        <v>40</v>
      </c>
      <c r="AK355" s="1">
        <v>45</v>
      </c>
      <c r="AL355" s="1">
        <v>45</v>
      </c>
      <c r="AM355" s="16">
        <f t="shared" si="55"/>
        <v>1</v>
      </c>
      <c r="AN355" s="156">
        <v>45</v>
      </c>
      <c r="AO355" s="1">
        <f t="shared" si="61"/>
        <v>20</v>
      </c>
      <c r="AP355" s="1">
        <v>40</v>
      </c>
      <c r="AQ355" s="1"/>
      <c r="AR355" s="1">
        <f>AL355</f>
        <v>45</v>
      </c>
      <c r="AS355" s="21">
        <f>IFERROR(+AR355/AN355,0)</f>
        <v>1</v>
      </c>
      <c r="AT355" s="1">
        <f t="shared" si="56"/>
        <v>22.5</v>
      </c>
      <c r="AU355" s="31"/>
      <c r="AV355" s="31"/>
      <c r="AW355" s="31"/>
      <c r="AX355" s="16">
        <f t="shared" si="53"/>
        <v>0.5</v>
      </c>
      <c r="AY355" s="156">
        <v>45</v>
      </c>
      <c r="AZ355" s="76">
        <v>45</v>
      </c>
      <c r="BA355" s="31"/>
      <c r="BB355" s="31"/>
      <c r="BC355" s="31"/>
      <c r="BD355" s="16">
        <f t="shared" si="57"/>
        <v>1</v>
      </c>
      <c r="BE355" s="31"/>
      <c r="BF355" s="31"/>
      <c r="BG355" s="31"/>
      <c r="BH355" s="31"/>
      <c r="BI355" s="16"/>
      <c r="BJ355" s="16"/>
      <c r="BK355" s="31"/>
      <c r="BL355" s="31"/>
      <c r="BM355" s="31"/>
      <c r="BN355" s="31"/>
      <c r="BO355" s="16"/>
      <c r="BP355" s="31"/>
      <c r="BQ355" s="31"/>
      <c r="BR355" s="31"/>
      <c r="BS355" s="31"/>
      <c r="BT355" s="16"/>
      <c r="BU355" s="16"/>
      <c r="BV355" s="16"/>
      <c r="BW355" s="16"/>
      <c r="BX355" s="16"/>
      <c r="BY355" s="16"/>
      <c r="BZ355" s="16"/>
      <c r="CA355" s="1"/>
      <c r="CB355" s="1"/>
      <c r="CC355" s="1"/>
    </row>
    <row r="356" spans="1:81" s="52" customFormat="1" ht="110.25" customHeight="1" x14ac:dyDescent="0.25">
      <c r="A356" s="1">
        <v>4</v>
      </c>
      <c r="B356" s="13" t="s">
        <v>1749</v>
      </c>
      <c r="C356" s="572"/>
      <c r="D356" s="573"/>
      <c r="E356" s="10" t="s">
        <v>1227</v>
      </c>
      <c r="F356" s="13" t="s">
        <v>1816</v>
      </c>
      <c r="G356" s="572"/>
      <c r="H356" s="573"/>
      <c r="I356" s="10" t="s">
        <v>1228</v>
      </c>
      <c r="J356" s="13" t="s">
        <v>1864</v>
      </c>
      <c r="K356" s="568"/>
      <c r="L356" s="570"/>
      <c r="M356" s="13"/>
      <c r="N356" s="13" t="s">
        <v>1233</v>
      </c>
      <c r="O356" s="13" t="s">
        <v>1233</v>
      </c>
      <c r="P356" s="31">
        <v>0.6</v>
      </c>
      <c r="Q356" s="31">
        <v>1</v>
      </c>
      <c r="R356" s="39"/>
      <c r="S356" s="13" t="s">
        <v>1240</v>
      </c>
      <c r="T356" s="13" t="s">
        <v>1240</v>
      </c>
      <c r="U356" s="1">
        <v>15</v>
      </c>
      <c r="V356" s="1">
        <v>20</v>
      </c>
      <c r="W356" s="1" t="s">
        <v>49</v>
      </c>
      <c r="X356" s="1"/>
      <c r="Y356" s="10" t="s">
        <v>1231</v>
      </c>
      <c r="Z356" s="10" t="s">
        <v>1128</v>
      </c>
      <c r="AA356" s="13" t="s">
        <v>1232</v>
      </c>
      <c r="AB356" s="10" t="s">
        <v>1763</v>
      </c>
      <c r="AC356" s="156">
        <v>2</v>
      </c>
      <c r="AD356" s="156">
        <v>5</v>
      </c>
      <c r="AE356" s="156">
        <v>8</v>
      </c>
      <c r="AF356" s="156">
        <v>5</v>
      </c>
      <c r="AG356" s="377">
        <f t="shared" si="58"/>
        <v>20</v>
      </c>
      <c r="AH356" s="377" t="b">
        <f t="shared" si="54"/>
        <v>1</v>
      </c>
      <c r="AI356" s="1">
        <v>1</v>
      </c>
      <c r="AJ356" s="1">
        <v>1</v>
      </c>
      <c r="AK356" s="1">
        <v>1</v>
      </c>
      <c r="AL356" s="1">
        <v>1</v>
      </c>
      <c r="AM356" s="16">
        <f t="shared" si="55"/>
        <v>0.05</v>
      </c>
      <c r="AN356" s="156">
        <v>2</v>
      </c>
      <c r="AO356" s="1">
        <f t="shared" si="61"/>
        <v>1</v>
      </c>
      <c r="AP356" s="1">
        <v>1</v>
      </c>
      <c r="AQ356" s="1"/>
      <c r="AR356" s="1">
        <f>AL356</f>
        <v>1</v>
      </c>
      <c r="AS356" s="21">
        <f>IFERROR(+AR356/AN356,0)</f>
        <v>0.5</v>
      </c>
      <c r="AT356" s="1">
        <f t="shared" si="56"/>
        <v>1</v>
      </c>
      <c r="AU356" s="31"/>
      <c r="AV356" s="31"/>
      <c r="AW356" s="31"/>
      <c r="AX356" s="16">
        <f t="shared" si="53"/>
        <v>0.05</v>
      </c>
      <c r="AY356" s="156">
        <v>5</v>
      </c>
      <c r="AZ356" s="76"/>
      <c r="BA356" s="31"/>
      <c r="BB356" s="31"/>
      <c r="BC356" s="31"/>
      <c r="BD356" s="16">
        <f t="shared" si="57"/>
        <v>0</v>
      </c>
      <c r="BE356" s="31"/>
      <c r="BF356" s="31"/>
      <c r="BG356" s="31"/>
      <c r="BH356" s="31"/>
      <c r="BI356" s="16"/>
      <c r="BJ356" s="16"/>
      <c r="BK356" s="31"/>
      <c r="BL356" s="31"/>
      <c r="BM356" s="31"/>
      <c r="BN356" s="31"/>
      <c r="BO356" s="16"/>
      <c r="BP356" s="31"/>
      <c r="BQ356" s="31"/>
      <c r="BR356" s="31"/>
      <c r="BS356" s="31"/>
      <c r="BT356" s="16"/>
      <c r="BU356" s="16"/>
      <c r="BV356" s="16"/>
      <c r="BW356" s="16"/>
      <c r="BX356" s="16"/>
      <c r="BY356" s="16"/>
      <c r="BZ356" s="16"/>
      <c r="CA356" s="1"/>
      <c r="CB356" s="1"/>
      <c r="CC356" s="1"/>
    </row>
    <row r="357" spans="1:81" s="52" customFormat="1" ht="75.75" customHeight="1" x14ac:dyDescent="0.25">
      <c r="A357" s="1">
        <v>4</v>
      </c>
      <c r="B357" s="13" t="s">
        <v>1749</v>
      </c>
      <c r="C357" s="572"/>
      <c r="D357" s="573"/>
      <c r="E357" s="10" t="s">
        <v>1227</v>
      </c>
      <c r="F357" s="13" t="s">
        <v>1816</v>
      </c>
      <c r="G357" s="572"/>
      <c r="H357" s="573"/>
      <c r="I357" s="10" t="s">
        <v>1241</v>
      </c>
      <c r="J357" s="13" t="s">
        <v>1865</v>
      </c>
      <c r="K357" s="567">
        <f>AVERAGE(AX357:AX361)</f>
        <v>0.22777777777777777</v>
      </c>
      <c r="L357" s="569">
        <f>AVERAGE(BD357:BD361)</f>
        <v>0.28444444444444444</v>
      </c>
      <c r="M357" s="23"/>
      <c r="N357" s="23" t="s">
        <v>1242</v>
      </c>
      <c r="O357" s="23" t="s">
        <v>1242</v>
      </c>
      <c r="P357" s="1" t="s">
        <v>55</v>
      </c>
      <c r="Q357" s="26">
        <v>0.43</v>
      </c>
      <c r="R357" s="14"/>
      <c r="S357" s="13" t="s">
        <v>1243</v>
      </c>
      <c r="T357" s="13" t="s">
        <v>1243</v>
      </c>
      <c r="U357" s="1">
        <v>0</v>
      </c>
      <c r="V357" s="1">
        <v>2</v>
      </c>
      <c r="W357" s="1" t="s">
        <v>49</v>
      </c>
      <c r="X357" s="1"/>
      <c r="Y357" s="1">
        <v>0</v>
      </c>
      <c r="Z357" s="1"/>
      <c r="AA357" s="24"/>
      <c r="AB357" s="10" t="s">
        <v>1763</v>
      </c>
      <c r="AC357" s="156"/>
      <c r="AD357" s="156">
        <v>1</v>
      </c>
      <c r="AE357" s="156">
        <v>1</v>
      </c>
      <c r="AF357" s="156"/>
      <c r="AG357" s="377">
        <f t="shared" si="58"/>
        <v>2</v>
      </c>
      <c r="AH357" s="377" t="b">
        <f t="shared" si="54"/>
        <v>1</v>
      </c>
      <c r="AI357" s="1"/>
      <c r="AJ357" s="1"/>
      <c r="AK357" s="1"/>
      <c r="AL357" s="1"/>
      <c r="AM357" s="16">
        <f t="shared" si="55"/>
        <v>0</v>
      </c>
      <c r="AN357" s="156"/>
      <c r="AO357" s="1"/>
      <c r="AP357" s="1"/>
      <c r="AQ357" s="1"/>
      <c r="AR357" s="1"/>
      <c r="AS357" s="21" t="s">
        <v>310</v>
      </c>
      <c r="AT357" s="1">
        <f t="shared" si="56"/>
        <v>1</v>
      </c>
      <c r="AU357" s="31"/>
      <c r="AV357" s="31"/>
      <c r="AW357" s="31"/>
      <c r="AX357" s="16">
        <f t="shared" si="53"/>
        <v>0.5</v>
      </c>
      <c r="AY357" s="156">
        <v>1</v>
      </c>
      <c r="AZ357" s="76">
        <v>1</v>
      </c>
      <c r="BA357" s="31"/>
      <c r="BB357" s="31"/>
      <c r="BC357" s="31"/>
      <c r="BD357" s="16">
        <f t="shared" si="57"/>
        <v>1</v>
      </c>
      <c r="BE357" s="31"/>
      <c r="BF357" s="31"/>
      <c r="BG357" s="31"/>
      <c r="BH357" s="31"/>
      <c r="BI357" s="16"/>
      <c r="BJ357" s="16"/>
      <c r="BK357" s="31"/>
      <c r="BL357" s="31"/>
      <c r="BM357" s="31"/>
      <c r="BN357" s="31"/>
      <c r="BO357" s="16"/>
      <c r="BP357" s="31"/>
      <c r="BQ357" s="31"/>
      <c r="BR357" s="31"/>
      <c r="BS357" s="31"/>
      <c r="BT357" s="16"/>
      <c r="BU357" s="16"/>
      <c r="BV357" s="16"/>
      <c r="BW357" s="16"/>
      <c r="BX357" s="16"/>
      <c r="BY357" s="16"/>
      <c r="BZ357" s="16"/>
      <c r="CA357" s="1"/>
      <c r="CB357" s="1"/>
      <c r="CC357" s="1"/>
    </row>
    <row r="358" spans="1:81" s="52" customFormat="1" ht="87" customHeight="1" x14ac:dyDescent="0.25">
      <c r="A358" s="1">
        <v>4</v>
      </c>
      <c r="B358" s="13" t="s">
        <v>1749</v>
      </c>
      <c r="C358" s="572"/>
      <c r="D358" s="573"/>
      <c r="E358" s="10" t="s">
        <v>1227</v>
      </c>
      <c r="F358" s="13" t="s">
        <v>1816</v>
      </c>
      <c r="G358" s="572"/>
      <c r="H358" s="573"/>
      <c r="I358" s="10" t="s">
        <v>1241</v>
      </c>
      <c r="J358" s="13" t="s">
        <v>1865</v>
      </c>
      <c r="K358" s="572"/>
      <c r="L358" s="573"/>
      <c r="M358" s="13"/>
      <c r="N358" s="13" t="s">
        <v>1242</v>
      </c>
      <c r="O358" s="13" t="s">
        <v>1242</v>
      </c>
      <c r="P358" s="1" t="s">
        <v>55</v>
      </c>
      <c r="Q358" s="26">
        <v>0.43</v>
      </c>
      <c r="R358" s="14"/>
      <c r="S358" s="13" t="s">
        <v>1244</v>
      </c>
      <c r="T358" s="13" t="s">
        <v>1244</v>
      </c>
      <c r="U358" s="1">
        <v>45</v>
      </c>
      <c r="V358" s="1">
        <v>45</v>
      </c>
      <c r="W358" s="1" t="s">
        <v>78</v>
      </c>
      <c r="X358" s="1"/>
      <c r="Y358" s="10" t="s">
        <v>1231</v>
      </c>
      <c r="Z358" s="10" t="s">
        <v>1128</v>
      </c>
      <c r="AA358" s="13" t="s">
        <v>1232</v>
      </c>
      <c r="AB358" s="10" t="s">
        <v>1763</v>
      </c>
      <c r="AC358" s="156">
        <v>45</v>
      </c>
      <c r="AD358" s="156">
        <v>45</v>
      </c>
      <c r="AE358" s="156">
        <v>45</v>
      </c>
      <c r="AF358" s="156">
        <v>45</v>
      </c>
      <c r="AG358" s="377">
        <f t="shared" si="58"/>
        <v>180</v>
      </c>
      <c r="AH358" s="377" t="b">
        <f t="shared" si="54"/>
        <v>0</v>
      </c>
      <c r="AI358" s="1">
        <v>12</v>
      </c>
      <c r="AJ358" s="1">
        <v>30</v>
      </c>
      <c r="AK358" s="1">
        <v>45</v>
      </c>
      <c r="AL358" s="1">
        <v>45</v>
      </c>
      <c r="AM358" s="16">
        <f t="shared" si="55"/>
        <v>1</v>
      </c>
      <c r="AN358" s="156">
        <v>45</v>
      </c>
      <c r="AO358" s="1">
        <f>AI358</f>
        <v>12</v>
      </c>
      <c r="AP358" s="1">
        <v>30</v>
      </c>
      <c r="AQ358" s="1"/>
      <c r="AR358" s="1">
        <f>AL358</f>
        <v>45</v>
      </c>
      <c r="AS358" s="21">
        <f>IFERROR(+AR358/AN358,0)</f>
        <v>1</v>
      </c>
      <c r="AT358" s="1">
        <f t="shared" si="56"/>
        <v>13.75</v>
      </c>
      <c r="AU358" s="31"/>
      <c r="AV358" s="31"/>
      <c r="AW358" s="31"/>
      <c r="AX358" s="16">
        <f t="shared" si="53"/>
        <v>0.30555555555555558</v>
      </c>
      <c r="AY358" s="156">
        <v>45</v>
      </c>
      <c r="AZ358" s="76">
        <v>10</v>
      </c>
      <c r="BA358" s="31"/>
      <c r="BB358" s="31"/>
      <c r="BC358" s="31"/>
      <c r="BD358" s="16">
        <f t="shared" si="57"/>
        <v>0.22222222222222221</v>
      </c>
      <c r="BE358" s="31"/>
      <c r="BF358" s="31"/>
      <c r="BG358" s="31"/>
      <c r="BH358" s="31"/>
      <c r="BI358" s="16"/>
      <c r="BJ358" s="16"/>
      <c r="BK358" s="31"/>
      <c r="BL358" s="31"/>
      <c r="BM358" s="31"/>
      <c r="BN358" s="31"/>
      <c r="BO358" s="16"/>
      <c r="BP358" s="31"/>
      <c r="BQ358" s="31"/>
      <c r="BR358" s="31"/>
      <c r="BS358" s="31"/>
      <c r="BT358" s="16"/>
      <c r="BU358" s="16"/>
      <c r="BV358" s="16"/>
      <c r="BW358" s="16"/>
      <c r="BX358" s="16"/>
      <c r="BY358" s="16"/>
      <c r="BZ358" s="16"/>
      <c r="CA358" s="1"/>
      <c r="CB358" s="1"/>
      <c r="CC358" s="1"/>
    </row>
    <row r="359" spans="1:81" s="52" customFormat="1" ht="85.5" customHeight="1" x14ac:dyDescent="0.25">
      <c r="A359" s="1">
        <v>4</v>
      </c>
      <c r="B359" s="13" t="s">
        <v>1749</v>
      </c>
      <c r="C359" s="572"/>
      <c r="D359" s="573"/>
      <c r="E359" s="10" t="s">
        <v>1227</v>
      </c>
      <c r="F359" s="13" t="s">
        <v>1816</v>
      </c>
      <c r="G359" s="572"/>
      <c r="H359" s="573"/>
      <c r="I359" s="10" t="s">
        <v>1241</v>
      </c>
      <c r="J359" s="13" t="s">
        <v>1865</v>
      </c>
      <c r="K359" s="572"/>
      <c r="L359" s="573"/>
      <c r="M359" s="13"/>
      <c r="N359" s="13" t="s">
        <v>1242</v>
      </c>
      <c r="O359" s="13" t="s">
        <v>1242</v>
      </c>
      <c r="P359" s="1" t="s">
        <v>55</v>
      </c>
      <c r="Q359" s="26">
        <v>0.43</v>
      </c>
      <c r="R359" s="14"/>
      <c r="S359" s="312" t="s">
        <v>1245</v>
      </c>
      <c r="T359" s="13" t="s">
        <v>1245</v>
      </c>
      <c r="U359" s="108">
        <v>0</v>
      </c>
      <c r="V359" s="108">
        <v>10</v>
      </c>
      <c r="W359" s="108" t="s">
        <v>49</v>
      </c>
      <c r="X359" s="1"/>
      <c r="Y359" s="10" t="s">
        <v>1231</v>
      </c>
      <c r="Z359" s="10" t="s">
        <v>1128</v>
      </c>
      <c r="AA359" s="13" t="s">
        <v>1232</v>
      </c>
      <c r="AB359" s="133" t="s">
        <v>1763</v>
      </c>
      <c r="AC359" s="156">
        <v>1</v>
      </c>
      <c r="AD359" s="108">
        <v>4</v>
      </c>
      <c r="AE359" s="156">
        <v>5</v>
      </c>
      <c r="AF359" s="156"/>
      <c r="AG359" s="377">
        <f t="shared" si="58"/>
        <v>10</v>
      </c>
      <c r="AH359" s="377" t="b">
        <f t="shared" si="54"/>
        <v>1</v>
      </c>
      <c r="AI359" s="1">
        <v>0</v>
      </c>
      <c r="AJ359" s="1">
        <v>1</v>
      </c>
      <c r="AK359" s="1">
        <v>1</v>
      </c>
      <c r="AL359" s="1">
        <v>1</v>
      </c>
      <c r="AM359" s="16">
        <f t="shared" si="55"/>
        <v>0.1</v>
      </c>
      <c r="AN359" s="156">
        <v>1</v>
      </c>
      <c r="AO359" s="1">
        <v>0</v>
      </c>
      <c r="AP359" s="1">
        <v>1</v>
      </c>
      <c r="AQ359" s="1"/>
      <c r="AR359" s="108">
        <f>AL359</f>
        <v>1</v>
      </c>
      <c r="AS359" s="191">
        <f>IFERROR(+AR359/AN359,0)</f>
        <v>1</v>
      </c>
      <c r="AT359" s="1">
        <f t="shared" si="56"/>
        <v>1</v>
      </c>
      <c r="AU359" s="31"/>
      <c r="AV359" s="31"/>
      <c r="AW359" s="31"/>
      <c r="AX359" s="16">
        <f t="shared" si="53"/>
        <v>0.1</v>
      </c>
      <c r="AY359" s="108">
        <v>4</v>
      </c>
      <c r="AZ359" s="76"/>
      <c r="BA359" s="31"/>
      <c r="BB359" s="31"/>
      <c r="BC359" s="31"/>
      <c r="BD359" s="16">
        <f t="shared" si="57"/>
        <v>0</v>
      </c>
      <c r="BE359" s="31"/>
      <c r="BF359" s="31"/>
      <c r="BG359" s="31"/>
      <c r="BH359" s="31"/>
      <c r="BI359" s="16"/>
      <c r="BJ359" s="16"/>
      <c r="BK359" s="31"/>
      <c r="BL359" s="31"/>
      <c r="BM359" s="31"/>
      <c r="BN359" s="31"/>
      <c r="BO359" s="16"/>
      <c r="BP359" s="31"/>
      <c r="BQ359" s="31"/>
      <c r="BR359" s="31"/>
      <c r="BS359" s="31"/>
      <c r="BT359" s="16"/>
      <c r="BU359" s="16"/>
      <c r="BV359" s="16"/>
      <c r="BW359" s="16"/>
      <c r="BX359" s="16"/>
      <c r="BY359" s="16"/>
      <c r="BZ359" s="16"/>
      <c r="CA359" s="1"/>
      <c r="CB359" s="1"/>
      <c r="CC359" s="1"/>
    </row>
    <row r="360" spans="1:81" s="361" customFormat="1" ht="105.75" customHeight="1" x14ac:dyDescent="0.25">
      <c r="A360" s="357">
        <v>4</v>
      </c>
      <c r="B360" s="309" t="s">
        <v>1749</v>
      </c>
      <c r="C360" s="581"/>
      <c r="D360" s="581"/>
      <c r="E360" s="358" t="s">
        <v>1227</v>
      </c>
      <c r="F360" s="309" t="s">
        <v>1816</v>
      </c>
      <c r="G360" s="581"/>
      <c r="H360" s="581"/>
      <c r="I360" s="358" t="s">
        <v>1241</v>
      </c>
      <c r="J360" s="309" t="s">
        <v>1865</v>
      </c>
      <c r="K360" s="581"/>
      <c r="L360" s="581"/>
      <c r="M360" s="309"/>
      <c r="N360" s="309" t="s">
        <v>1242</v>
      </c>
      <c r="O360" s="309" t="s">
        <v>1242</v>
      </c>
      <c r="P360" s="357" t="s">
        <v>55</v>
      </c>
      <c r="Q360" s="450">
        <v>0.43</v>
      </c>
      <c r="R360" s="359"/>
      <c r="S360" s="13" t="s">
        <v>1942</v>
      </c>
      <c r="T360" s="13" t="s">
        <v>1942</v>
      </c>
      <c r="U360" s="357">
        <v>0</v>
      </c>
      <c r="V360" s="357">
        <v>1</v>
      </c>
      <c r="W360" s="1" t="s">
        <v>49</v>
      </c>
      <c r="X360" s="357"/>
      <c r="Y360" s="10" t="s">
        <v>1231</v>
      </c>
      <c r="Z360" s="10" t="s">
        <v>1128</v>
      </c>
      <c r="AA360" s="13" t="s">
        <v>1232</v>
      </c>
      <c r="AB360" s="10" t="s">
        <v>1763</v>
      </c>
      <c r="AC360" s="156"/>
      <c r="AD360" s="357">
        <v>1</v>
      </c>
      <c r="AE360" s="156"/>
      <c r="AF360" s="156"/>
      <c r="AG360" s="377">
        <f t="shared" si="58"/>
        <v>1</v>
      </c>
      <c r="AH360" s="377" t="b">
        <f t="shared" si="54"/>
        <v>1</v>
      </c>
      <c r="AI360" s="1"/>
      <c r="AJ360" s="1"/>
      <c r="AK360" s="1">
        <v>5</v>
      </c>
      <c r="AL360" s="1"/>
      <c r="AM360" s="16">
        <f t="shared" si="55"/>
        <v>0</v>
      </c>
      <c r="AN360" s="156"/>
      <c r="AO360" s="1"/>
      <c r="AP360" s="1"/>
      <c r="AQ360" s="1"/>
      <c r="AR360" s="1"/>
      <c r="AS360" s="21" t="s">
        <v>310</v>
      </c>
      <c r="AT360" s="1">
        <f t="shared" si="56"/>
        <v>0</v>
      </c>
      <c r="AU360" s="31"/>
      <c r="AV360" s="31"/>
      <c r="AW360" s="31"/>
      <c r="AX360" s="16">
        <f t="shared" si="53"/>
        <v>0</v>
      </c>
      <c r="AY360" s="357">
        <v>1</v>
      </c>
      <c r="AZ360" s="332"/>
      <c r="BA360" s="360"/>
      <c r="BB360" s="360"/>
      <c r="BC360" s="360"/>
      <c r="BD360" s="16">
        <f t="shared" si="57"/>
        <v>0</v>
      </c>
      <c r="BE360" s="31"/>
      <c r="BF360" s="31"/>
      <c r="BG360" s="31"/>
      <c r="BH360" s="31"/>
      <c r="BI360" s="360"/>
      <c r="BJ360" s="360"/>
      <c r="BK360" s="31"/>
      <c r="BL360" s="31"/>
      <c r="BM360" s="31"/>
      <c r="BN360" s="31"/>
      <c r="BO360" s="360"/>
      <c r="BP360" s="31"/>
      <c r="BQ360" s="31"/>
      <c r="BR360" s="31"/>
      <c r="BS360" s="31"/>
      <c r="BT360" s="360"/>
      <c r="BU360" s="360"/>
      <c r="BV360" s="360"/>
      <c r="BW360" s="360"/>
      <c r="BX360" s="360"/>
      <c r="BY360" s="360"/>
      <c r="BZ360" s="360"/>
      <c r="CA360" s="357"/>
      <c r="CB360" s="357"/>
      <c r="CC360" s="357"/>
    </row>
    <row r="361" spans="1:81" s="52" customFormat="1" ht="96.75" customHeight="1" x14ac:dyDescent="0.25">
      <c r="A361" s="1">
        <v>4</v>
      </c>
      <c r="B361" s="13" t="s">
        <v>1749</v>
      </c>
      <c r="C361" s="572"/>
      <c r="D361" s="573"/>
      <c r="E361" s="10" t="s">
        <v>1227</v>
      </c>
      <c r="F361" s="13" t="s">
        <v>1816</v>
      </c>
      <c r="G361" s="568"/>
      <c r="H361" s="570"/>
      <c r="I361" s="10" t="s">
        <v>1241</v>
      </c>
      <c r="J361" s="13" t="s">
        <v>1865</v>
      </c>
      <c r="K361" s="568"/>
      <c r="L361" s="570"/>
      <c r="M361" s="13"/>
      <c r="N361" s="13" t="s">
        <v>1242</v>
      </c>
      <c r="O361" s="13" t="s">
        <v>1242</v>
      </c>
      <c r="P361" s="1" t="s">
        <v>55</v>
      </c>
      <c r="Q361" s="26">
        <v>0.43</v>
      </c>
      <c r="R361" s="14"/>
      <c r="S361" s="13" t="s">
        <v>1246</v>
      </c>
      <c r="T361" s="13" t="s">
        <v>1246</v>
      </c>
      <c r="U361" s="1">
        <v>0</v>
      </c>
      <c r="V361" s="1">
        <v>30</v>
      </c>
      <c r="W361" s="1" t="s">
        <v>49</v>
      </c>
      <c r="X361" s="1"/>
      <c r="Y361" s="10" t="s">
        <v>1231</v>
      </c>
      <c r="Z361" s="10" t="s">
        <v>1128</v>
      </c>
      <c r="AA361" s="13" t="s">
        <v>1232</v>
      </c>
      <c r="AB361" s="10" t="s">
        <v>1763</v>
      </c>
      <c r="AC361" s="156">
        <v>5</v>
      </c>
      <c r="AD361" s="156">
        <v>10</v>
      </c>
      <c r="AE361" s="156">
        <v>10</v>
      </c>
      <c r="AF361" s="156">
        <v>5</v>
      </c>
      <c r="AG361" s="377">
        <f t="shared" si="58"/>
        <v>30</v>
      </c>
      <c r="AH361" s="377" t="b">
        <f t="shared" si="54"/>
        <v>1</v>
      </c>
      <c r="AI361" s="1">
        <v>2</v>
      </c>
      <c r="AJ361" s="1">
        <v>2</v>
      </c>
      <c r="AK361" s="1"/>
      <c r="AL361" s="1">
        <v>5</v>
      </c>
      <c r="AM361" s="16">
        <f t="shared" si="55"/>
        <v>0.16666666666666666</v>
      </c>
      <c r="AN361" s="156">
        <v>5</v>
      </c>
      <c r="AO361" s="1">
        <v>2</v>
      </c>
      <c r="AP361" s="1">
        <v>2</v>
      </c>
      <c r="AQ361" s="1"/>
      <c r="AR361" s="1">
        <f>AL361</f>
        <v>5</v>
      </c>
      <c r="AS361" s="21">
        <f>IFERROR(+AR361/AN361,0)</f>
        <v>1</v>
      </c>
      <c r="AT361" s="1">
        <f t="shared" si="56"/>
        <v>7</v>
      </c>
      <c r="AU361" s="31"/>
      <c r="AV361" s="31"/>
      <c r="AW361" s="31"/>
      <c r="AX361" s="16">
        <f t="shared" si="53"/>
        <v>0.23333333333333334</v>
      </c>
      <c r="AY361" s="156">
        <v>10</v>
      </c>
      <c r="AZ361" s="76">
        <v>2</v>
      </c>
      <c r="BA361" s="31"/>
      <c r="BB361" s="31"/>
      <c r="BC361" s="31"/>
      <c r="BD361" s="16">
        <f t="shared" si="57"/>
        <v>0.2</v>
      </c>
      <c r="BE361" s="31"/>
      <c r="BF361" s="31"/>
      <c r="BG361" s="31"/>
      <c r="BH361" s="31"/>
      <c r="BI361" s="16"/>
      <c r="BJ361" s="16"/>
      <c r="BK361" s="31"/>
      <c r="BL361" s="31"/>
      <c r="BM361" s="31"/>
      <c r="BN361" s="31"/>
      <c r="BO361" s="16"/>
      <c r="BP361" s="31"/>
      <c r="BQ361" s="31"/>
      <c r="BR361" s="31"/>
      <c r="BS361" s="31"/>
      <c r="BT361" s="16"/>
      <c r="BU361" s="16"/>
      <c r="BV361" s="16"/>
      <c r="BW361" s="16"/>
      <c r="BX361" s="16"/>
      <c r="BY361" s="16"/>
      <c r="BZ361" s="16"/>
      <c r="CA361" s="1"/>
      <c r="CB361" s="1"/>
      <c r="CC361" s="1"/>
    </row>
    <row r="362" spans="1:81" s="52" customFormat="1" ht="78.75" x14ac:dyDescent="0.25">
      <c r="A362" s="1">
        <v>4</v>
      </c>
      <c r="B362" s="13" t="s">
        <v>1749</v>
      </c>
      <c r="C362" s="572"/>
      <c r="D362" s="573"/>
      <c r="E362" s="10" t="s">
        <v>1247</v>
      </c>
      <c r="F362" s="13" t="s">
        <v>1329</v>
      </c>
      <c r="G362" s="567">
        <f>+AVERAGEIF(F14:F567,F14,AX14:AX567)</f>
        <v>0.10410714285714286</v>
      </c>
      <c r="H362" s="569">
        <f>+AVERAGEIF(F14:F567,F362,BD14:BD567)</f>
        <v>0.1006851851851852</v>
      </c>
      <c r="I362" s="10" t="s">
        <v>1248</v>
      </c>
      <c r="J362" s="13" t="s">
        <v>1866</v>
      </c>
      <c r="K362" s="567">
        <f>AVERAGE(AX362:AX366)</f>
        <v>0.167625</v>
      </c>
      <c r="L362" s="569">
        <f>AVERAGE(BD362:BD366)</f>
        <v>1.5000000000000001E-2</v>
      </c>
      <c r="M362" s="23"/>
      <c r="N362" s="23" t="s">
        <v>1249</v>
      </c>
      <c r="O362" s="23" t="s">
        <v>1249</v>
      </c>
      <c r="P362" s="1" t="s">
        <v>1250</v>
      </c>
      <c r="Q362" s="1" t="s">
        <v>1251</v>
      </c>
      <c r="R362" s="24"/>
      <c r="S362" s="13" t="s">
        <v>1252</v>
      </c>
      <c r="T362" s="13" t="s">
        <v>1252</v>
      </c>
      <c r="U362" s="1" t="s">
        <v>1250</v>
      </c>
      <c r="V362" s="1">
        <v>80</v>
      </c>
      <c r="W362" s="1" t="s">
        <v>49</v>
      </c>
      <c r="X362" s="1"/>
      <c r="Y362" s="10" t="s">
        <v>1253</v>
      </c>
      <c r="Z362" s="1">
        <v>45</v>
      </c>
      <c r="AA362" s="13" t="s">
        <v>1254</v>
      </c>
      <c r="AB362" s="10" t="s">
        <v>1255</v>
      </c>
      <c r="AC362" s="156"/>
      <c r="AD362" s="156">
        <v>5</v>
      </c>
      <c r="AE362" s="156">
        <v>10</v>
      </c>
      <c r="AF362" s="156">
        <v>10</v>
      </c>
      <c r="AG362" s="377">
        <f t="shared" si="58"/>
        <v>25</v>
      </c>
      <c r="AH362" s="377" t="b">
        <f t="shared" si="54"/>
        <v>0</v>
      </c>
      <c r="AI362" s="19"/>
      <c r="AJ362" s="19"/>
      <c r="AK362" s="19"/>
      <c r="AL362" s="19"/>
      <c r="AM362" s="16">
        <f t="shared" si="55"/>
        <v>0</v>
      </c>
      <c r="AN362" s="156"/>
      <c r="AO362" s="10"/>
      <c r="AP362" s="19"/>
      <c r="AQ362" s="19"/>
      <c r="AR362" s="19"/>
      <c r="AS362" s="21" t="s">
        <v>310</v>
      </c>
      <c r="AT362" s="1">
        <f t="shared" si="56"/>
        <v>0</v>
      </c>
      <c r="AU362" s="31"/>
      <c r="AV362" s="31"/>
      <c r="AW362" s="31"/>
      <c r="AX362" s="16">
        <f t="shared" si="53"/>
        <v>0</v>
      </c>
      <c r="AY362" s="156">
        <v>5</v>
      </c>
      <c r="AZ362" s="76">
        <v>0</v>
      </c>
      <c r="BA362" s="31"/>
      <c r="BB362" s="31"/>
      <c r="BC362" s="31"/>
      <c r="BD362" s="16">
        <f t="shared" si="57"/>
        <v>0</v>
      </c>
      <c r="BE362" s="31"/>
      <c r="BF362" s="31"/>
      <c r="BG362" s="31"/>
      <c r="BH362" s="31"/>
      <c r="BI362" s="16"/>
      <c r="BJ362" s="16"/>
      <c r="BK362" s="31"/>
      <c r="BL362" s="31"/>
      <c r="BM362" s="31"/>
      <c r="BN362" s="31"/>
      <c r="BO362" s="16"/>
      <c r="BP362" s="31"/>
      <c r="BQ362" s="31"/>
      <c r="BR362" s="31"/>
      <c r="BS362" s="31"/>
      <c r="BT362" s="16"/>
      <c r="BU362" s="16"/>
      <c r="BV362" s="16"/>
      <c r="BW362" s="16"/>
      <c r="BX362" s="16"/>
      <c r="BY362" s="16"/>
      <c r="BZ362" s="16"/>
      <c r="CA362" s="1"/>
      <c r="CB362" s="1"/>
      <c r="CC362" s="1"/>
    </row>
    <row r="363" spans="1:81" s="52" customFormat="1" ht="78.75" x14ac:dyDescent="0.25">
      <c r="A363" s="1">
        <v>4</v>
      </c>
      <c r="B363" s="13" t="s">
        <v>1749</v>
      </c>
      <c r="C363" s="572"/>
      <c r="D363" s="573"/>
      <c r="E363" s="10" t="s">
        <v>1247</v>
      </c>
      <c r="F363" s="13" t="s">
        <v>1329</v>
      </c>
      <c r="G363" s="572"/>
      <c r="H363" s="573"/>
      <c r="I363" s="10" t="s">
        <v>1248</v>
      </c>
      <c r="J363" s="13" t="s">
        <v>1866</v>
      </c>
      <c r="K363" s="572"/>
      <c r="L363" s="573"/>
      <c r="M363" s="23"/>
      <c r="N363" s="23" t="s">
        <v>1249</v>
      </c>
      <c r="O363" s="23" t="s">
        <v>1249</v>
      </c>
      <c r="P363" s="1" t="s">
        <v>1250</v>
      </c>
      <c r="Q363" s="1" t="s">
        <v>1251</v>
      </c>
      <c r="R363" s="24"/>
      <c r="S363" s="13" t="s">
        <v>1256</v>
      </c>
      <c r="T363" s="13" t="s">
        <v>1256</v>
      </c>
      <c r="U363" s="1" t="s">
        <v>1250</v>
      </c>
      <c r="V363" s="1">
        <v>80</v>
      </c>
      <c r="W363" s="1" t="s">
        <v>49</v>
      </c>
      <c r="X363" s="1"/>
      <c r="Y363" s="10" t="s">
        <v>1253</v>
      </c>
      <c r="Z363" s="1">
        <v>45</v>
      </c>
      <c r="AA363" s="13" t="s">
        <v>1254</v>
      </c>
      <c r="AB363" s="10" t="s">
        <v>1255</v>
      </c>
      <c r="AC363" s="108">
        <v>5</v>
      </c>
      <c r="AD363" s="156">
        <v>5</v>
      </c>
      <c r="AE363" s="156">
        <v>10</v>
      </c>
      <c r="AF363" s="156">
        <v>10</v>
      </c>
      <c r="AG363" s="377">
        <f t="shared" si="58"/>
        <v>30</v>
      </c>
      <c r="AH363" s="377" t="b">
        <f t="shared" si="54"/>
        <v>0</v>
      </c>
      <c r="AI363" s="19">
        <v>0</v>
      </c>
      <c r="AJ363" s="19">
        <v>0</v>
      </c>
      <c r="AK363" s="19">
        <v>53</v>
      </c>
      <c r="AL363" s="19">
        <v>53</v>
      </c>
      <c r="AM363" s="16">
        <f t="shared" si="55"/>
        <v>0.66249999999999998</v>
      </c>
      <c r="AN363" s="108">
        <v>5</v>
      </c>
      <c r="AO363" s="19">
        <v>0</v>
      </c>
      <c r="AP363" s="19">
        <v>0</v>
      </c>
      <c r="AQ363" s="19"/>
      <c r="AR363" s="19">
        <v>53</v>
      </c>
      <c r="AS363" s="21">
        <v>1</v>
      </c>
      <c r="AT363" s="1">
        <f t="shared" si="56"/>
        <v>53.05</v>
      </c>
      <c r="AU363" s="31"/>
      <c r="AV363" s="31"/>
      <c r="AW363" s="31"/>
      <c r="AX363" s="16">
        <f t="shared" si="53"/>
        <v>0.66312499999999996</v>
      </c>
      <c r="AY363" s="156">
        <v>5</v>
      </c>
      <c r="AZ363" s="76">
        <v>0.05</v>
      </c>
      <c r="BA363" s="31"/>
      <c r="BB363" s="31"/>
      <c r="BC363" s="31"/>
      <c r="BD363" s="16">
        <f t="shared" si="57"/>
        <v>0.01</v>
      </c>
      <c r="BE363" s="31"/>
      <c r="BF363" s="31"/>
      <c r="BG363" s="31"/>
      <c r="BH363" s="31"/>
      <c r="BI363" s="16"/>
      <c r="BJ363" s="16"/>
      <c r="BK363" s="31"/>
      <c r="BL363" s="31"/>
      <c r="BM363" s="31"/>
      <c r="BN363" s="31"/>
      <c r="BO363" s="16"/>
      <c r="BP363" s="31"/>
      <c r="BQ363" s="31"/>
      <c r="BR363" s="31"/>
      <c r="BS363" s="31"/>
      <c r="BT363" s="16"/>
      <c r="BU363" s="16"/>
      <c r="BV363" s="16"/>
      <c r="BW363" s="16"/>
      <c r="BX363" s="16"/>
      <c r="BY363" s="16"/>
      <c r="BZ363" s="16"/>
      <c r="CA363" s="1"/>
      <c r="CB363" s="1"/>
      <c r="CC363" s="1"/>
    </row>
    <row r="364" spans="1:81" s="52" customFormat="1" ht="63" x14ac:dyDescent="0.25">
      <c r="A364" s="1">
        <v>4</v>
      </c>
      <c r="B364" s="13" t="s">
        <v>1749</v>
      </c>
      <c r="C364" s="572"/>
      <c r="D364" s="573"/>
      <c r="E364" s="10" t="s">
        <v>1247</v>
      </c>
      <c r="F364" s="13" t="s">
        <v>1329</v>
      </c>
      <c r="G364" s="572"/>
      <c r="H364" s="573"/>
      <c r="I364" s="10" t="s">
        <v>1248</v>
      </c>
      <c r="J364" s="13" t="s">
        <v>1866</v>
      </c>
      <c r="K364" s="572"/>
      <c r="L364" s="573"/>
      <c r="M364" s="23"/>
      <c r="N364" s="23" t="s">
        <v>1249</v>
      </c>
      <c r="O364" s="23" t="s">
        <v>1249</v>
      </c>
      <c r="P364" s="1" t="s">
        <v>1250</v>
      </c>
      <c r="Q364" s="1" t="s">
        <v>1251</v>
      </c>
      <c r="R364" s="24"/>
      <c r="S364" s="13" t="s">
        <v>1257</v>
      </c>
      <c r="T364" s="13" t="s">
        <v>1257</v>
      </c>
      <c r="U364" s="1">
        <v>3</v>
      </c>
      <c r="V364" s="1">
        <v>6</v>
      </c>
      <c r="W364" s="1" t="s">
        <v>49</v>
      </c>
      <c r="X364" s="1"/>
      <c r="Y364" s="10" t="s">
        <v>1253</v>
      </c>
      <c r="Z364" s="1">
        <v>45</v>
      </c>
      <c r="AA364" s="13" t="s">
        <v>1254</v>
      </c>
      <c r="AB364" s="10" t="s">
        <v>1255</v>
      </c>
      <c r="AC364" s="156">
        <v>1</v>
      </c>
      <c r="AD364" s="156">
        <v>1</v>
      </c>
      <c r="AE364" s="156">
        <v>1</v>
      </c>
      <c r="AF364" s="156">
        <v>1</v>
      </c>
      <c r="AG364" s="377">
        <f t="shared" si="58"/>
        <v>4</v>
      </c>
      <c r="AH364" s="377" t="b">
        <f t="shared" si="54"/>
        <v>0</v>
      </c>
      <c r="AI364" s="19">
        <v>0</v>
      </c>
      <c r="AJ364" s="19">
        <v>0</v>
      </c>
      <c r="AK364" s="19">
        <v>1</v>
      </c>
      <c r="AL364" s="19">
        <v>1</v>
      </c>
      <c r="AM364" s="16">
        <f t="shared" si="55"/>
        <v>0.16666666666666666</v>
      </c>
      <c r="AN364" s="156">
        <v>1</v>
      </c>
      <c r="AO364" s="19">
        <v>0</v>
      </c>
      <c r="AP364" s="19">
        <v>0</v>
      </c>
      <c r="AQ364" s="19"/>
      <c r="AR364" s="19">
        <f>AL364</f>
        <v>1</v>
      </c>
      <c r="AS364" s="21">
        <f>IFERROR(+AR364/AN364,0)</f>
        <v>1</v>
      </c>
      <c r="AT364" s="1">
        <f t="shared" si="56"/>
        <v>1.05</v>
      </c>
      <c r="AU364" s="31"/>
      <c r="AV364" s="31"/>
      <c r="AW364" s="31"/>
      <c r="AX364" s="16">
        <f t="shared" si="53"/>
        <v>0.17500000000000002</v>
      </c>
      <c r="AY364" s="156">
        <v>1</v>
      </c>
      <c r="AZ364" s="76">
        <v>0.05</v>
      </c>
      <c r="BA364" s="31"/>
      <c r="BB364" s="31"/>
      <c r="BC364" s="31"/>
      <c r="BD364" s="16">
        <f t="shared" si="57"/>
        <v>0.05</v>
      </c>
      <c r="BE364" s="31"/>
      <c r="BF364" s="31"/>
      <c r="BG364" s="31"/>
      <c r="BH364" s="31"/>
      <c r="BI364" s="16"/>
      <c r="BJ364" s="16"/>
      <c r="BK364" s="31"/>
      <c r="BL364" s="31"/>
      <c r="BM364" s="31"/>
      <c r="BN364" s="31"/>
      <c r="BO364" s="16"/>
      <c r="BP364" s="31"/>
      <c r="BQ364" s="31"/>
      <c r="BR364" s="31"/>
      <c r="BS364" s="31"/>
      <c r="BT364" s="16"/>
      <c r="BU364" s="16"/>
      <c r="BV364" s="16"/>
      <c r="BW364" s="16"/>
      <c r="BX364" s="16"/>
      <c r="BY364" s="16"/>
      <c r="BZ364" s="16"/>
      <c r="CA364" s="1"/>
      <c r="CB364" s="1"/>
      <c r="CC364" s="1"/>
    </row>
    <row r="365" spans="1:81" s="52" customFormat="1" ht="63" x14ac:dyDescent="0.25">
      <c r="A365" s="1">
        <v>4</v>
      </c>
      <c r="B365" s="13" t="s">
        <v>1749</v>
      </c>
      <c r="C365" s="572"/>
      <c r="D365" s="573"/>
      <c r="E365" s="10" t="s">
        <v>1247</v>
      </c>
      <c r="F365" s="13" t="s">
        <v>1329</v>
      </c>
      <c r="G365" s="572"/>
      <c r="H365" s="573"/>
      <c r="I365" s="10" t="s">
        <v>1248</v>
      </c>
      <c r="J365" s="13" t="s">
        <v>1866</v>
      </c>
      <c r="K365" s="572"/>
      <c r="L365" s="573"/>
      <c r="M365" s="23"/>
      <c r="N365" s="23" t="s">
        <v>1249</v>
      </c>
      <c r="O365" s="23" t="s">
        <v>1249</v>
      </c>
      <c r="P365" s="1" t="s">
        <v>1250</v>
      </c>
      <c r="Q365" s="1" t="s">
        <v>1251</v>
      </c>
      <c r="R365" s="24"/>
      <c r="S365" s="13" t="s">
        <v>1258</v>
      </c>
      <c r="T365" s="13" t="s">
        <v>1258</v>
      </c>
      <c r="U365" s="1">
        <v>2</v>
      </c>
      <c r="V365" s="1">
        <v>8</v>
      </c>
      <c r="W365" s="1" t="s">
        <v>49</v>
      </c>
      <c r="X365" s="1"/>
      <c r="Y365" s="10" t="s">
        <v>1253</v>
      </c>
      <c r="Z365" s="1">
        <v>45</v>
      </c>
      <c r="AA365" s="13" t="s">
        <v>1254</v>
      </c>
      <c r="AB365" s="10" t="s">
        <v>1255</v>
      </c>
      <c r="AC365" s="156"/>
      <c r="AD365" s="156">
        <v>2</v>
      </c>
      <c r="AE365" s="156">
        <v>2</v>
      </c>
      <c r="AF365" s="156">
        <v>2</v>
      </c>
      <c r="AG365" s="377">
        <f t="shared" si="58"/>
        <v>6</v>
      </c>
      <c r="AH365" s="377" t="b">
        <f t="shared" si="54"/>
        <v>0</v>
      </c>
      <c r="AI365" s="19"/>
      <c r="AJ365" s="19"/>
      <c r="AK365" s="19"/>
      <c r="AL365" s="19"/>
      <c r="AM365" s="16">
        <f t="shared" si="55"/>
        <v>0</v>
      </c>
      <c r="AN365" s="156"/>
      <c r="AO365" s="19"/>
      <c r="AP365" s="19"/>
      <c r="AQ365" s="19"/>
      <c r="AR365" s="19"/>
      <c r="AS365" s="21" t="s">
        <v>310</v>
      </c>
      <c r="AT365" s="1">
        <f t="shared" si="56"/>
        <v>0</v>
      </c>
      <c r="AU365" s="31"/>
      <c r="AV365" s="31"/>
      <c r="AW365" s="31"/>
      <c r="AX365" s="16">
        <f t="shared" si="53"/>
        <v>0</v>
      </c>
      <c r="AY365" s="156">
        <v>2</v>
      </c>
      <c r="AZ365" s="76">
        <v>0</v>
      </c>
      <c r="BA365" s="31"/>
      <c r="BB365" s="31"/>
      <c r="BC365" s="31"/>
      <c r="BD365" s="16">
        <f t="shared" si="57"/>
        <v>0</v>
      </c>
      <c r="BE365" s="31"/>
      <c r="BF365" s="31"/>
      <c r="BG365" s="31"/>
      <c r="BH365" s="31"/>
      <c r="BI365" s="16"/>
      <c r="BJ365" s="16"/>
      <c r="BK365" s="31"/>
      <c r="BL365" s="31"/>
      <c r="BM365" s="31"/>
      <c r="BN365" s="31"/>
      <c r="BO365" s="16"/>
      <c r="BP365" s="31"/>
      <c r="BQ365" s="31"/>
      <c r="BR365" s="31"/>
      <c r="BS365" s="31"/>
      <c r="BT365" s="16"/>
      <c r="BU365" s="16"/>
      <c r="BV365" s="16"/>
      <c r="BW365" s="16"/>
      <c r="BX365" s="16"/>
      <c r="BY365" s="16"/>
      <c r="BZ365" s="16"/>
      <c r="CA365" s="1"/>
      <c r="CB365" s="1"/>
      <c r="CC365" s="1"/>
    </row>
    <row r="366" spans="1:81" s="52" customFormat="1" ht="94.5" x14ac:dyDescent="0.25">
      <c r="A366" s="1">
        <v>4</v>
      </c>
      <c r="B366" s="13" t="s">
        <v>1749</v>
      </c>
      <c r="C366" s="572"/>
      <c r="D366" s="573"/>
      <c r="E366" s="10" t="s">
        <v>1247</v>
      </c>
      <c r="F366" s="13" t="s">
        <v>1329</v>
      </c>
      <c r="G366" s="572"/>
      <c r="H366" s="573"/>
      <c r="I366" s="10" t="s">
        <v>1248</v>
      </c>
      <c r="J366" s="13" t="s">
        <v>1866</v>
      </c>
      <c r="K366" s="568"/>
      <c r="L366" s="570"/>
      <c r="M366" s="23"/>
      <c r="N366" s="23" t="s">
        <v>1249</v>
      </c>
      <c r="O366" s="23" t="s">
        <v>1249</v>
      </c>
      <c r="P366" s="1" t="s">
        <v>1250</v>
      </c>
      <c r="Q366" s="1" t="s">
        <v>1251</v>
      </c>
      <c r="R366" s="24"/>
      <c r="S366" s="13" t="s">
        <v>1259</v>
      </c>
      <c r="T366" s="13" t="s">
        <v>1259</v>
      </c>
      <c r="U366" s="1">
        <v>0</v>
      </c>
      <c r="V366" s="1">
        <v>1</v>
      </c>
      <c r="W366" s="1" t="s">
        <v>49</v>
      </c>
      <c r="X366" s="1"/>
      <c r="Y366" s="10" t="s">
        <v>1253</v>
      </c>
      <c r="Z366" s="1">
        <v>45</v>
      </c>
      <c r="AA366" s="13" t="s">
        <v>1254</v>
      </c>
      <c r="AB366" s="10" t="s">
        <v>1255</v>
      </c>
      <c r="AC366" s="156"/>
      <c r="AD366" s="156"/>
      <c r="AE366" s="156">
        <v>1</v>
      </c>
      <c r="AF366" s="156"/>
      <c r="AG366" s="377">
        <f t="shared" si="58"/>
        <v>1</v>
      </c>
      <c r="AH366" s="377" t="b">
        <f t="shared" si="54"/>
        <v>1</v>
      </c>
      <c r="AI366" s="19"/>
      <c r="AJ366" s="19"/>
      <c r="AK366" s="19"/>
      <c r="AL366" s="19"/>
      <c r="AM366" s="16">
        <f t="shared" si="55"/>
        <v>0</v>
      </c>
      <c r="AN366" s="156"/>
      <c r="AO366" s="19"/>
      <c r="AP366" s="19"/>
      <c r="AQ366" s="19"/>
      <c r="AR366" s="19"/>
      <c r="AS366" s="21" t="s">
        <v>310</v>
      </c>
      <c r="AT366" s="1">
        <f t="shared" si="56"/>
        <v>0</v>
      </c>
      <c r="AU366" s="31"/>
      <c r="AV366" s="31"/>
      <c r="AW366" s="31"/>
      <c r="AX366" s="16">
        <f t="shared" si="53"/>
        <v>0</v>
      </c>
      <c r="AY366" s="156" t="s">
        <v>310</v>
      </c>
      <c r="AZ366" s="76">
        <v>0</v>
      </c>
      <c r="BA366" s="31"/>
      <c r="BB366" s="31"/>
      <c r="BC366" s="31"/>
      <c r="BD366" s="16" t="str">
        <f t="shared" si="57"/>
        <v>NP</v>
      </c>
      <c r="BE366" s="31"/>
      <c r="BF366" s="31"/>
      <c r="BG366" s="31"/>
      <c r="BH366" s="31"/>
      <c r="BI366" s="16"/>
      <c r="BJ366" s="16"/>
      <c r="BK366" s="31"/>
      <c r="BL366" s="31"/>
      <c r="BM366" s="31"/>
      <c r="BN366" s="31"/>
      <c r="BO366" s="16"/>
      <c r="BP366" s="31"/>
      <c r="BQ366" s="31"/>
      <c r="BR366" s="31"/>
      <c r="BS366" s="31"/>
      <c r="BT366" s="16"/>
      <c r="BU366" s="16"/>
      <c r="BV366" s="16"/>
      <c r="BW366" s="16"/>
      <c r="BX366" s="16"/>
      <c r="BY366" s="16"/>
      <c r="BZ366" s="16"/>
      <c r="CA366" s="1"/>
      <c r="CB366" s="1"/>
      <c r="CC366" s="1"/>
    </row>
    <row r="367" spans="1:81" s="52" customFormat="1" ht="78.75" x14ac:dyDescent="0.25">
      <c r="A367" s="1">
        <v>4</v>
      </c>
      <c r="B367" s="13" t="s">
        <v>1749</v>
      </c>
      <c r="C367" s="572"/>
      <c r="D367" s="573"/>
      <c r="E367" s="10" t="s">
        <v>1247</v>
      </c>
      <c r="F367" s="13" t="s">
        <v>1329</v>
      </c>
      <c r="G367" s="572"/>
      <c r="H367" s="573"/>
      <c r="I367" s="10" t="s">
        <v>1260</v>
      </c>
      <c r="J367" s="13" t="s">
        <v>1867</v>
      </c>
      <c r="K367" s="567">
        <f>AVERAGE(AX367:AX370)</f>
        <v>0.21513888888888891</v>
      </c>
      <c r="L367" s="569">
        <f>AVERAGE(BD367:BD370)</f>
        <v>0.16999999999999998</v>
      </c>
      <c r="M367" s="23"/>
      <c r="N367" s="23" t="s">
        <v>1261</v>
      </c>
      <c r="O367" s="23" t="s">
        <v>1261</v>
      </c>
      <c r="P367" s="1">
        <v>65.599999999999994</v>
      </c>
      <c r="Q367" s="1">
        <v>80</v>
      </c>
      <c r="R367" s="24"/>
      <c r="S367" s="13" t="s">
        <v>1262</v>
      </c>
      <c r="T367" s="13" t="s">
        <v>1262</v>
      </c>
      <c r="U367" s="1">
        <v>0</v>
      </c>
      <c r="V367" s="1">
        <v>1</v>
      </c>
      <c r="W367" s="1" t="s">
        <v>49</v>
      </c>
      <c r="X367" s="1"/>
      <c r="Y367" s="10" t="s">
        <v>1253</v>
      </c>
      <c r="Z367" s="1">
        <v>45</v>
      </c>
      <c r="AA367" s="13" t="s">
        <v>1254</v>
      </c>
      <c r="AB367" s="10" t="s">
        <v>1255</v>
      </c>
      <c r="AC367" s="156"/>
      <c r="AD367" s="156"/>
      <c r="AE367" s="156">
        <v>1</v>
      </c>
      <c r="AF367" s="156"/>
      <c r="AG367" s="377">
        <f t="shared" si="58"/>
        <v>1</v>
      </c>
      <c r="AH367" s="377" t="b">
        <f t="shared" si="54"/>
        <v>1</v>
      </c>
      <c r="AI367" s="19"/>
      <c r="AJ367" s="19"/>
      <c r="AK367" s="19"/>
      <c r="AL367" s="19"/>
      <c r="AM367" s="16">
        <f t="shared" si="55"/>
        <v>0</v>
      </c>
      <c r="AN367" s="156"/>
      <c r="AO367" s="19"/>
      <c r="AP367" s="19"/>
      <c r="AQ367" s="19"/>
      <c r="AR367" s="19"/>
      <c r="AS367" s="21" t="s">
        <v>310</v>
      </c>
      <c r="AT367" s="1">
        <f t="shared" si="56"/>
        <v>0</v>
      </c>
      <c r="AU367" s="31"/>
      <c r="AV367" s="31"/>
      <c r="AW367" s="31"/>
      <c r="AX367" s="16">
        <f t="shared" si="53"/>
        <v>0</v>
      </c>
      <c r="AY367" s="156" t="s">
        <v>310</v>
      </c>
      <c r="AZ367" s="76">
        <v>0</v>
      </c>
      <c r="BA367" s="31"/>
      <c r="BB367" s="31"/>
      <c r="BC367" s="31"/>
      <c r="BD367" s="16" t="str">
        <f t="shared" si="57"/>
        <v>NP</v>
      </c>
      <c r="BE367" s="31"/>
      <c r="BF367" s="31"/>
      <c r="BG367" s="31"/>
      <c r="BH367" s="31"/>
      <c r="BI367" s="16"/>
      <c r="BJ367" s="16"/>
      <c r="BK367" s="31"/>
      <c r="BL367" s="31"/>
      <c r="BM367" s="31"/>
      <c r="BN367" s="31"/>
      <c r="BO367" s="16"/>
      <c r="BP367" s="31"/>
      <c r="BQ367" s="31"/>
      <c r="BR367" s="31"/>
      <c r="BS367" s="31"/>
      <c r="BT367" s="16"/>
      <c r="BU367" s="16"/>
      <c r="BV367" s="16"/>
      <c r="BW367" s="16"/>
      <c r="BX367" s="16"/>
      <c r="BY367" s="16"/>
      <c r="BZ367" s="16"/>
      <c r="CA367" s="1"/>
      <c r="CB367" s="1"/>
      <c r="CC367" s="1"/>
    </row>
    <row r="368" spans="1:81" s="52" customFormat="1" ht="78.75" x14ac:dyDescent="0.25">
      <c r="A368" s="1">
        <v>4</v>
      </c>
      <c r="B368" s="13" t="s">
        <v>1749</v>
      </c>
      <c r="C368" s="572"/>
      <c r="D368" s="573"/>
      <c r="E368" s="10" t="s">
        <v>1247</v>
      </c>
      <c r="F368" s="13" t="s">
        <v>1329</v>
      </c>
      <c r="G368" s="572"/>
      <c r="H368" s="573"/>
      <c r="I368" s="10" t="s">
        <v>1260</v>
      </c>
      <c r="J368" s="13" t="s">
        <v>1867</v>
      </c>
      <c r="K368" s="572"/>
      <c r="L368" s="573"/>
      <c r="M368" s="23"/>
      <c r="N368" s="23" t="s">
        <v>1261</v>
      </c>
      <c r="O368" s="23" t="s">
        <v>1261</v>
      </c>
      <c r="P368" s="1">
        <v>65.599999999999994</v>
      </c>
      <c r="Q368" s="1">
        <v>80</v>
      </c>
      <c r="R368" s="24"/>
      <c r="S368" s="13" t="s">
        <v>1263</v>
      </c>
      <c r="T368" s="13" t="s">
        <v>1263</v>
      </c>
      <c r="U368" s="1">
        <v>0</v>
      </c>
      <c r="V368" s="1">
        <v>1</v>
      </c>
      <c r="W368" s="1" t="s">
        <v>49</v>
      </c>
      <c r="X368" s="1"/>
      <c r="Y368" s="10" t="s">
        <v>1253</v>
      </c>
      <c r="Z368" s="1">
        <v>45</v>
      </c>
      <c r="AA368" s="13" t="s">
        <v>1254</v>
      </c>
      <c r="AB368" s="10" t="s">
        <v>1255</v>
      </c>
      <c r="AC368" s="156"/>
      <c r="AD368" s="156"/>
      <c r="AE368" s="156">
        <v>1</v>
      </c>
      <c r="AF368" s="156"/>
      <c r="AG368" s="377">
        <f t="shared" si="58"/>
        <v>1</v>
      </c>
      <c r="AH368" s="377" t="b">
        <f t="shared" si="54"/>
        <v>1</v>
      </c>
      <c r="AI368" s="19"/>
      <c r="AJ368" s="19"/>
      <c r="AK368" s="19"/>
      <c r="AL368" s="19"/>
      <c r="AM368" s="16">
        <f t="shared" si="55"/>
        <v>0</v>
      </c>
      <c r="AN368" s="156"/>
      <c r="AO368" s="19"/>
      <c r="AP368" s="19"/>
      <c r="AQ368" s="19"/>
      <c r="AR368" s="19"/>
      <c r="AS368" s="21" t="s">
        <v>310</v>
      </c>
      <c r="AT368" s="1">
        <f t="shared" si="56"/>
        <v>0</v>
      </c>
      <c r="AU368" s="31"/>
      <c r="AV368" s="31"/>
      <c r="AW368" s="31"/>
      <c r="AX368" s="16">
        <f t="shared" si="53"/>
        <v>0</v>
      </c>
      <c r="AY368" s="156" t="s">
        <v>310</v>
      </c>
      <c r="AZ368" s="76">
        <v>0</v>
      </c>
      <c r="BA368" s="31"/>
      <c r="BB368" s="31"/>
      <c r="BC368" s="31"/>
      <c r="BD368" s="16" t="str">
        <f t="shared" si="57"/>
        <v>NP</v>
      </c>
      <c r="BE368" s="31"/>
      <c r="BF368" s="31"/>
      <c r="BG368" s="31"/>
      <c r="BH368" s="31"/>
      <c r="BI368" s="16"/>
      <c r="BJ368" s="16"/>
      <c r="BK368" s="31"/>
      <c r="BL368" s="31"/>
      <c r="BM368" s="31"/>
      <c r="BN368" s="31"/>
      <c r="BO368" s="16"/>
      <c r="BP368" s="31"/>
      <c r="BQ368" s="31"/>
      <c r="BR368" s="31"/>
      <c r="BS368" s="31"/>
      <c r="BT368" s="16"/>
      <c r="BU368" s="16"/>
      <c r="BV368" s="16"/>
      <c r="BW368" s="16"/>
      <c r="BX368" s="16"/>
      <c r="BY368" s="16"/>
      <c r="BZ368" s="16"/>
      <c r="CA368" s="1"/>
      <c r="CB368" s="1"/>
      <c r="CC368" s="1"/>
    </row>
    <row r="369" spans="1:81" s="52" customFormat="1" ht="78.75" x14ac:dyDescent="0.25">
      <c r="A369" s="1">
        <v>4</v>
      </c>
      <c r="B369" s="13" t="s">
        <v>1749</v>
      </c>
      <c r="C369" s="572"/>
      <c r="D369" s="573"/>
      <c r="E369" s="10" t="s">
        <v>1247</v>
      </c>
      <c r="F369" s="13" t="s">
        <v>1329</v>
      </c>
      <c r="G369" s="572"/>
      <c r="H369" s="573"/>
      <c r="I369" s="10" t="s">
        <v>1260</v>
      </c>
      <c r="J369" s="13" t="s">
        <v>1867</v>
      </c>
      <c r="K369" s="572"/>
      <c r="L369" s="573"/>
      <c r="M369" s="23"/>
      <c r="N369" s="23" t="s">
        <v>1261</v>
      </c>
      <c r="O369" s="23" t="s">
        <v>1261</v>
      </c>
      <c r="P369" s="1">
        <v>65.599999999999994</v>
      </c>
      <c r="Q369" s="1">
        <v>80</v>
      </c>
      <c r="R369" s="24"/>
      <c r="S369" s="13" t="s">
        <v>1264</v>
      </c>
      <c r="T369" s="13" t="s">
        <v>1264</v>
      </c>
      <c r="U369" s="1">
        <v>60</v>
      </c>
      <c r="V369" s="1">
        <v>90</v>
      </c>
      <c r="W369" s="1" t="s">
        <v>49</v>
      </c>
      <c r="X369" s="1"/>
      <c r="Y369" s="10" t="s">
        <v>1253</v>
      </c>
      <c r="Z369" s="1">
        <v>45</v>
      </c>
      <c r="AA369" s="13" t="s">
        <v>1254</v>
      </c>
      <c r="AB369" s="10" t="s">
        <v>1255</v>
      </c>
      <c r="AC369" s="156">
        <v>5</v>
      </c>
      <c r="AD369" s="156">
        <v>5</v>
      </c>
      <c r="AE369" s="156">
        <v>10</v>
      </c>
      <c r="AF369" s="156">
        <v>10</v>
      </c>
      <c r="AG369" s="377">
        <f t="shared" si="58"/>
        <v>30</v>
      </c>
      <c r="AH369" s="377" t="b">
        <f t="shared" si="54"/>
        <v>0</v>
      </c>
      <c r="AI369" s="19">
        <v>0</v>
      </c>
      <c r="AJ369" s="19">
        <v>0</v>
      </c>
      <c r="AK369" s="19">
        <v>63</v>
      </c>
      <c r="AL369" s="19">
        <v>63</v>
      </c>
      <c r="AM369" s="16">
        <f t="shared" si="55"/>
        <v>0.7</v>
      </c>
      <c r="AN369" s="156">
        <v>5</v>
      </c>
      <c r="AO369" s="19">
        <v>0</v>
      </c>
      <c r="AP369" s="19">
        <v>0</v>
      </c>
      <c r="AQ369" s="19"/>
      <c r="AR369" s="19">
        <f>AL369</f>
        <v>63</v>
      </c>
      <c r="AS369" s="21">
        <v>1</v>
      </c>
      <c r="AT369" s="1">
        <f t="shared" si="56"/>
        <v>63.5</v>
      </c>
      <c r="AU369" s="31"/>
      <c r="AV369" s="31"/>
      <c r="AW369" s="31"/>
      <c r="AX369" s="16">
        <f t="shared" si="53"/>
        <v>0.7055555555555556</v>
      </c>
      <c r="AY369" s="156">
        <v>5</v>
      </c>
      <c r="AZ369" s="76">
        <v>0.5</v>
      </c>
      <c r="BA369" s="31"/>
      <c r="BB369" s="31"/>
      <c r="BC369" s="31"/>
      <c r="BD369" s="16">
        <f t="shared" si="57"/>
        <v>0.1</v>
      </c>
      <c r="BE369" s="31"/>
      <c r="BF369" s="31"/>
      <c r="BG369" s="31"/>
      <c r="BH369" s="31"/>
      <c r="BI369" s="16"/>
      <c r="BJ369" s="16"/>
      <c r="BK369" s="31"/>
      <c r="BL369" s="31"/>
      <c r="BM369" s="31"/>
      <c r="BN369" s="31"/>
      <c r="BO369" s="16"/>
      <c r="BP369" s="31"/>
      <c r="BQ369" s="31"/>
      <c r="BR369" s="31"/>
      <c r="BS369" s="31"/>
      <c r="BT369" s="16"/>
      <c r="BU369" s="16"/>
      <c r="BV369" s="16"/>
      <c r="BW369" s="16"/>
      <c r="BX369" s="16"/>
      <c r="BY369" s="16"/>
      <c r="BZ369" s="16"/>
      <c r="CA369" s="1"/>
      <c r="CB369" s="1"/>
      <c r="CC369" s="1"/>
    </row>
    <row r="370" spans="1:81" s="52" customFormat="1" ht="78.75" x14ac:dyDescent="0.25">
      <c r="A370" s="1">
        <v>4</v>
      </c>
      <c r="B370" s="13" t="s">
        <v>1749</v>
      </c>
      <c r="C370" s="572"/>
      <c r="D370" s="573"/>
      <c r="E370" s="10" t="s">
        <v>1247</v>
      </c>
      <c r="F370" s="13" t="s">
        <v>1329</v>
      </c>
      <c r="G370" s="572"/>
      <c r="H370" s="573"/>
      <c r="I370" s="10" t="s">
        <v>1260</v>
      </c>
      <c r="J370" s="13" t="s">
        <v>1867</v>
      </c>
      <c r="K370" s="568"/>
      <c r="L370" s="570"/>
      <c r="M370" s="23"/>
      <c r="N370" s="23" t="s">
        <v>1261</v>
      </c>
      <c r="O370" s="23" t="s">
        <v>1261</v>
      </c>
      <c r="P370" s="1">
        <v>65.599999999999994</v>
      </c>
      <c r="Q370" s="1">
        <v>80</v>
      </c>
      <c r="R370" s="24"/>
      <c r="S370" s="13" t="s">
        <v>1265</v>
      </c>
      <c r="T370" s="13" t="s">
        <v>1265</v>
      </c>
      <c r="U370" s="1">
        <v>50</v>
      </c>
      <c r="V370" s="1">
        <v>100</v>
      </c>
      <c r="W370" s="1" t="s">
        <v>49</v>
      </c>
      <c r="X370" s="1"/>
      <c r="Y370" s="10" t="s">
        <v>1253</v>
      </c>
      <c r="Z370" s="1">
        <v>45</v>
      </c>
      <c r="AA370" s="13" t="s">
        <v>1254</v>
      </c>
      <c r="AB370" s="10" t="s">
        <v>1255</v>
      </c>
      <c r="AC370" s="319">
        <v>12.5</v>
      </c>
      <c r="AD370" s="156">
        <v>12.5</v>
      </c>
      <c r="AE370" s="156">
        <v>12.5</v>
      </c>
      <c r="AF370" s="156">
        <v>12.5</v>
      </c>
      <c r="AG370" s="377">
        <f t="shared" si="58"/>
        <v>50</v>
      </c>
      <c r="AH370" s="377" t="b">
        <f t="shared" si="54"/>
        <v>0</v>
      </c>
      <c r="AI370" s="297">
        <v>0</v>
      </c>
      <c r="AJ370" s="297">
        <v>0.13</v>
      </c>
      <c r="AK370" s="297">
        <v>12.5</v>
      </c>
      <c r="AL370" s="297">
        <v>12.5</v>
      </c>
      <c r="AM370" s="16">
        <f t="shared" si="55"/>
        <v>0.125</v>
      </c>
      <c r="AN370" s="319">
        <v>12.5</v>
      </c>
      <c r="AO370" s="297">
        <v>0</v>
      </c>
      <c r="AP370" s="298">
        <v>0.125</v>
      </c>
      <c r="AQ370" s="298"/>
      <c r="AR370" s="297">
        <f>AL370</f>
        <v>12.5</v>
      </c>
      <c r="AS370" s="21">
        <f>IFERROR(+AR370/AN370,0)</f>
        <v>1</v>
      </c>
      <c r="AT370" s="1">
        <f t="shared" si="56"/>
        <v>15.5</v>
      </c>
      <c r="AU370" s="31"/>
      <c r="AV370" s="31"/>
      <c r="AW370" s="31"/>
      <c r="AX370" s="16">
        <f t="shared" si="53"/>
        <v>0.155</v>
      </c>
      <c r="AY370" s="156">
        <v>12.5</v>
      </c>
      <c r="AZ370" s="76">
        <v>3</v>
      </c>
      <c r="BA370" s="31"/>
      <c r="BB370" s="31"/>
      <c r="BC370" s="31"/>
      <c r="BD370" s="16">
        <f t="shared" si="57"/>
        <v>0.24</v>
      </c>
      <c r="BE370" s="31"/>
      <c r="BF370" s="31"/>
      <c r="BG370" s="31"/>
      <c r="BH370" s="31"/>
      <c r="BI370" s="16"/>
      <c r="BJ370" s="16"/>
      <c r="BK370" s="31"/>
      <c r="BL370" s="31"/>
      <c r="BM370" s="31"/>
      <c r="BN370" s="31"/>
      <c r="BO370" s="16"/>
      <c r="BP370" s="31"/>
      <c r="BQ370" s="31"/>
      <c r="BR370" s="31"/>
      <c r="BS370" s="31"/>
      <c r="BT370" s="16"/>
      <c r="BU370" s="16"/>
      <c r="BV370" s="16"/>
      <c r="BW370" s="16"/>
      <c r="BX370" s="16"/>
      <c r="BY370" s="16"/>
      <c r="BZ370" s="16"/>
      <c r="CA370" s="1"/>
      <c r="CB370" s="1"/>
      <c r="CC370" s="1"/>
    </row>
    <row r="371" spans="1:81" s="52" customFormat="1" ht="94.5" x14ac:dyDescent="0.25">
      <c r="A371" s="1">
        <v>4</v>
      </c>
      <c r="B371" s="13" t="s">
        <v>1749</v>
      </c>
      <c r="C371" s="572"/>
      <c r="D371" s="573"/>
      <c r="E371" s="10" t="s">
        <v>1247</v>
      </c>
      <c r="F371" s="13" t="s">
        <v>1329</v>
      </c>
      <c r="G371" s="572"/>
      <c r="H371" s="573"/>
      <c r="I371" s="10" t="s">
        <v>1266</v>
      </c>
      <c r="J371" s="13" t="s">
        <v>1868</v>
      </c>
      <c r="K371" s="567">
        <f>AVERAGE(AX371:AX378)</f>
        <v>0.72017489035087723</v>
      </c>
      <c r="L371" s="569">
        <f>AVERAGE(BD371:BD378)</f>
        <v>0.13200000000000001</v>
      </c>
      <c r="M371" s="23"/>
      <c r="N371" s="40" t="s">
        <v>1267</v>
      </c>
      <c r="O371" s="40" t="s">
        <v>1267</v>
      </c>
      <c r="P371" s="1" t="s">
        <v>1268</v>
      </c>
      <c r="Q371" s="1" t="s">
        <v>1269</v>
      </c>
      <c r="R371" s="24"/>
      <c r="S371" s="13" t="s">
        <v>1270</v>
      </c>
      <c r="T371" s="13" t="s">
        <v>1270</v>
      </c>
      <c r="U371" s="1" t="s">
        <v>1271</v>
      </c>
      <c r="V371" s="26">
        <v>0.95</v>
      </c>
      <c r="W371" s="1" t="s">
        <v>49</v>
      </c>
      <c r="X371" s="1"/>
      <c r="Y371" s="10" t="s">
        <v>1273</v>
      </c>
      <c r="Z371" s="1">
        <v>23</v>
      </c>
      <c r="AA371" s="13" t="s">
        <v>1254</v>
      </c>
      <c r="AB371" s="10" t="s">
        <v>1255</v>
      </c>
      <c r="AC371" s="165">
        <v>5.3499999999999999E-2</v>
      </c>
      <c r="AD371" s="156">
        <v>5.35</v>
      </c>
      <c r="AE371" s="156">
        <v>5.35</v>
      </c>
      <c r="AF371" s="156">
        <v>5.35</v>
      </c>
      <c r="AG371" s="377">
        <f t="shared" si="58"/>
        <v>16.103499999999997</v>
      </c>
      <c r="AH371" s="377" t="b">
        <f t="shared" si="54"/>
        <v>0</v>
      </c>
      <c r="AI371" s="1" t="s">
        <v>1272</v>
      </c>
      <c r="AJ371" s="26">
        <f>41.4/100</f>
        <v>0.41399999999999998</v>
      </c>
      <c r="AK371" s="369">
        <v>5.3499999999999999E-2</v>
      </c>
      <c r="AL371" s="338">
        <v>0.75</v>
      </c>
      <c r="AM371" s="16">
        <f t="shared" si="55"/>
        <v>0.78947368421052633</v>
      </c>
      <c r="AN371" s="165">
        <v>5.3499999999999999E-2</v>
      </c>
      <c r="AO371" s="1" t="s">
        <v>1272</v>
      </c>
      <c r="AP371" s="170">
        <v>5.3499999999999999E-2</v>
      </c>
      <c r="AQ371" s="170"/>
      <c r="AR371" s="320">
        <v>5.3499999999999999E-2</v>
      </c>
      <c r="AS371" s="21">
        <f>IFERROR(+AR371/AN371,0)</f>
        <v>1</v>
      </c>
      <c r="AT371" s="1">
        <f t="shared" si="56"/>
        <v>0.82489999999999997</v>
      </c>
      <c r="AU371" s="31"/>
      <c r="AV371" s="31"/>
      <c r="AW371" s="31"/>
      <c r="AX371" s="16">
        <f t="shared" si="53"/>
        <v>0.86831578947368426</v>
      </c>
      <c r="AY371" s="156">
        <v>5.35</v>
      </c>
      <c r="AZ371" s="76">
        <v>7.4899999999999994E-2</v>
      </c>
      <c r="BA371" s="31"/>
      <c r="BB371" s="31"/>
      <c r="BC371" s="31"/>
      <c r="BD371" s="16">
        <f t="shared" si="57"/>
        <v>1.4E-2</v>
      </c>
      <c r="BE371" s="31"/>
      <c r="BF371" s="31"/>
      <c r="BG371" s="31"/>
      <c r="BH371" s="31"/>
      <c r="BI371" s="16"/>
      <c r="BJ371" s="16"/>
      <c r="BK371" s="31"/>
      <c r="BL371" s="31"/>
      <c r="BM371" s="31"/>
      <c r="BN371" s="31"/>
      <c r="BO371" s="16"/>
      <c r="BP371" s="31"/>
      <c r="BQ371" s="31"/>
      <c r="BR371" s="31"/>
      <c r="BS371" s="31"/>
      <c r="BT371" s="16"/>
      <c r="BU371" s="16"/>
      <c r="BV371" s="16"/>
      <c r="BW371" s="16"/>
      <c r="BX371" s="16"/>
      <c r="BY371" s="16"/>
      <c r="BZ371" s="16"/>
      <c r="CA371" s="1"/>
      <c r="CB371" s="1"/>
      <c r="CC371" s="1"/>
    </row>
    <row r="372" spans="1:81" s="52" customFormat="1" ht="94.5" x14ac:dyDescent="0.25">
      <c r="A372" s="1">
        <v>4</v>
      </c>
      <c r="B372" s="13" t="s">
        <v>1749</v>
      </c>
      <c r="C372" s="572"/>
      <c r="D372" s="573"/>
      <c r="E372" s="10" t="s">
        <v>1247</v>
      </c>
      <c r="F372" s="13" t="s">
        <v>1329</v>
      </c>
      <c r="G372" s="572"/>
      <c r="H372" s="573"/>
      <c r="I372" s="10" t="s">
        <v>1266</v>
      </c>
      <c r="J372" s="13" t="s">
        <v>1868</v>
      </c>
      <c r="K372" s="572"/>
      <c r="L372" s="573"/>
      <c r="M372" s="23"/>
      <c r="N372" s="40" t="s">
        <v>1267</v>
      </c>
      <c r="O372" s="40" t="s">
        <v>1267</v>
      </c>
      <c r="P372" s="1" t="s">
        <v>1268</v>
      </c>
      <c r="Q372" s="1" t="s">
        <v>1269</v>
      </c>
      <c r="R372" s="24"/>
      <c r="S372" s="13" t="s">
        <v>1274</v>
      </c>
      <c r="T372" s="13" t="s">
        <v>1274</v>
      </c>
      <c r="U372" s="1" t="s">
        <v>1275</v>
      </c>
      <c r="V372" s="26">
        <v>0.6</v>
      </c>
      <c r="W372" s="1" t="s">
        <v>49</v>
      </c>
      <c r="X372" s="1"/>
      <c r="Y372" s="10" t="s">
        <v>1273</v>
      </c>
      <c r="Z372" s="1">
        <v>23</v>
      </c>
      <c r="AA372" s="13" t="s">
        <v>1254</v>
      </c>
      <c r="AB372" s="10" t="s">
        <v>1255</v>
      </c>
      <c r="AC372" s="319">
        <v>0.05</v>
      </c>
      <c r="AD372" s="156">
        <v>10</v>
      </c>
      <c r="AE372" s="319">
        <v>0.2</v>
      </c>
      <c r="AF372" s="319">
        <v>0.25</v>
      </c>
      <c r="AG372" s="377">
        <f t="shared" si="58"/>
        <v>10.5</v>
      </c>
      <c r="AH372" s="377" t="b">
        <f t="shared" si="54"/>
        <v>0</v>
      </c>
      <c r="AI372" s="1" t="s">
        <v>1272</v>
      </c>
      <c r="AJ372" s="26">
        <f>41.4/100</f>
        <v>0.41399999999999998</v>
      </c>
      <c r="AK372" s="26">
        <v>0.03</v>
      </c>
      <c r="AL372" s="26">
        <v>0.03</v>
      </c>
      <c r="AM372" s="16">
        <f t="shared" si="55"/>
        <v>0.05</v>
      </c>
      <c r="AN372" s="160">
        <v>0.05</v>
      </c>
      <c r="AO372" s="1" t="s">
        <v>1272</v>
      </c>
      <c r="AP372" s="170">
        <v>0.05</v>
      </c>
      <c r="AQ372" s="170"/>
      <c r="AR372" s="297">
        <f>AL372</f>
        <v>0.03</v>
      </c>
      <c r="AS372" s="21">
        <f t="shared" ref="AS372:AS380" si="62">IFERROR(+AR372/AN372,0)</f>
        <v>0.6</v>
      </c>
      <c r="AT372" s="1">
        <f t="shared" si="56"/>
        <v>0.17</v>
      </c>
      <c r="AU372" s="31"/>
      <c r="AV372" s="31"/>
      <c r="AW372" s="31"/>
      <c r="AX372" s="16">
        <f t="shared" si="53"/>
        <v>0.28333333333333338</v>
      </c>
      <c r="AY372" s="156">
        <v>10</v>
      </c>
      <c r="AZ372" s="76">
        <v>0.14000000000000001</v>
      </c>
      <c r="BA372" s="31"/>
      <c r="BB372" s="31"/>
      <c r="BC372" s="31"/>
      <c r="BD372" s="16">
        <f t="shared" si="57"/>
        <v>1.4000000000000002E-2</v>
      </c>
      <c r="BE372" s="31"/>
      <c r="BF372" s="31"/>
      <c r="BG372" s="31"/>
      <c r="BH372" s="31"/>
      <c r="BI372" s="16"/>
      <c r="BJ372" s="16"/>
      <c r="BK372" s="31"/>
      <c r="BL372" s="31"/>
      <c r="BM372" s="31"/>
      <c r="BN372" s="31"/>
      <c r="BO372" s="16"/>
      <c r="BP372" s="31"/>
      <c r="BQ372" s="31"/>
      <c r="BR372" s="31"/>
      <c r="BS372" s="31"/>
      <c r="BT372" s="16"/>
      <c r="BU372" s="16"/>
      <c r="BV372" s="16"/>
      <c r="BW372" s="16"/>
      <c r="BX372" s="16"/>
      <c r="BY372" s="16"/>
      <c r="BZ372" s="16"/>
      <c r="CA372" s="1"/>
      <c r="CB372" s="1"/>
      <c r="CC372" s="1"/>
    </row>
    <row r="373" spans="1:81" s="52" customFormat="1" ht="94.5" x14ac:dyDescent="0.25">
      <c r="A373" s="1">
        <v>4</v>
      </c>
      <c r="B373" s="13" t="s">
        <v>1749</v>
      </c>
      <c r="C373" s="572"/>
      <c r="D373" s="573"/>
      <c r="E373" s="10" t="s">
        <v>1247</v>
      </c>
      <c r="F373" s="13" t="s">
        <v>1329</v>
      </c>
      <c r="G373" s="572"/>
      <c r="H373" s="573"/>
      <c r="I373" s="10" t="s">
        <v>1266</v>
      </c>
      <c r="J373" s="13" t="s">
        <v>1868</v>
      </c>
      <c r="K373" s="572"/>
      <c r="L373" s="573"/>
      <c r="M373" s="23"/>
      <c r="N373" s="40" t="s">
        <v>1267</v>
      </c>
      <c r="O373" s="40" t="s">
        <v>1267</v>
      </c>
      <c r="P373" s="1" t="s">
        <v>1268</v>
      </c>
      <c r="Q373" s="1" t="s">
        <v>1269</v>
      </c>
      <c r="R373" s="24"/>
      <c r="S373" s="13" t="s">
        <v>1276</v>
      </c>
      <c r="T373" s="13" t="s">
        <v>1276</v>
      </c>
      <c r="U373" s="1" t="s">
        <v>1277</v>
      </c>
      <c r="V373" s="1">
        <v>100</v>
      </c>
      <c r="W373" s="10" t="s">
        <v>78</v>
      </c>
      <c r="X373" s="1"/>
      <c r="Y373" s="10" t="s">
        <v>1273</v>
      </c>
      <c r="Z373" s="1">
        <v>23</v>
      </c>
      <c r="AA373" s="13" t="s">
        <v>1254</v>
      </c>
      <c r="AB373" s="10" t="s">
        <v>1255</v>
      </c>
      <c r="AC373" s="161">
        <v>100</v>
      </c>
      <c r="AD373" s="156">
        <v>100</v>
      </c>
      <c r="AE373" s="156">
        <v>100</v>
      </c>
      <c r="AF373" s="156">
        <v>100</v>
      </c>
      <c r="AG373" s="377">
        <f t="shared" si="58"/>
        <v>400</v>
      </c>
      <c r="AH373" s="377" t="b">
        <f t="shared" si="54"/>
        <v>0</v>
      </c>
      <c r="AI373" s="1">
        <v>41</v>
      </c>
      <c r="AJ373" s="27">
        <v>41</v>
      </c>
      <c r="AK373" s="314">
        <v>100</v>
      </c>
      <c r="AL373" s="314">
        <v>100</v>
      </c>
      <c r="AM373" s="16">
        <f t="shared" si="55"/>
        <v>1</v>
      </c>
      <c r="AN373" s="161">
        <v>100</v>
      </c>
      <c r="AO373" s="1">
        <v>41</v>
      </c>
      <c r="AP373" s="1">
        <v>41</v>
      </c>
      <c r="AQ373" s="1"/>
      <c r="AR373" s="19">
        <f t="shared" ref="AR373:AR383" si="63">AL373</f>
        <v>100</v>
      </c>
      <c r="AS373" s="21">
        <f t="shared" si="62"/>
        <v>1</v>
      </c>
      <c r="AT373" s="1">
        <f t="shared" si="56"/>
        <v>25.35</v>
      </c>
      <c r="AU373" s="31"/>
      <c r="AV373" s="31"/>
      <c r="AW373" s="31"/>
      <c r="AX373" s="16">
        <f t="shared" si="53"/>
        <v>0.2535</v>
      </c>
      <c r="AY373" s="156">
        <v>100</v>
      </c>
      <c r="AZ373" s="76">
        <v>1.4</v>
      </c>
      <c r="BA373" s="31"/>
      <c r="BB373" s="31"/>
      <c r="BC373" s="31"/>
      <c r="BD373" s="16">
        <f t="shared" si="57"/>
        <v>1.3999999999999999E-2</v>
      </c>
      <c r="BE373" s="31"/>
      <c r="BF373" s="31"/>
      <c r="BG373" s="31"/>
      <c r="BH373" s="31"/>
      <c r="BI373" s="16"/>
      <c r="BJ373" s="16"/>
      <c r="BK373" s="31"/>
      <c r="BL373" s="31"/>
      <c r="BM373" s="31"/>
      <c r="BN373" s="31"/>
      <c r="BO373" s="16"/>
      <c r="BP373" s="31"/>
      <c r="BQ373" s="31"/>
      <c r="BR373" s="31"/>
      <c r="BS373" s="31"/>
      <c r="BT373" s="16"/>
      <c r="BU373" s="16"/>
      <c r="BV373" s="16"/>
      <c r="BW373" s="16"/>
      <c r="BX373" s="16"/>
      <c r="BY373" s="16"/>
      <c r="BZ373" s="16"/>
      <c r="CA373" s="1"/>
      <c r="CB373" s="1"/>
      <c r="CC373" s="1"/>
    </row>
    <row r="374" spans="1:81" s="52" customFormat="1" ht="94.5" x14ac:dyDescent="0.25">
      <c r="A374" s="1">
        <v>4</v>
      </c>
      <c r="B374" s="13" t="s">
        <v>1749</v>
      </c>
      <c r="C374" s="572"/>
      <c r="D374" s="573"/>
      <c r="E374" s="10" t="s">
        <v>1247</v>
      </c>
      <c r="F374" s="13" t="s">
        <v>1329</v>
      </c>
      <c r="G374" s="572"/>
      <c r="H374" s="573"/>
      <c r="I374" s="10" t="s">
        <v>1266</v>
      </c>
      <c r="J374" s="13" t="s">
        <v>1868</v>
      </c>
      <c r="K374" s="572"/>
      <c r="L374" s="573"/>
      <c r="M374" s="23"/>
      <c r="N374" s="40" t="s">
        <v>1278</v>
      </c>
      <c r="O374" s="40" t="s">
        <v>1278</v>
      </c>
      <c r="P374" s="1" t="s">
        <v>1279</v>
      </c>
      <c r="Q374" s="1" t="s">
        <v>1280</v>
      </c>
      <c r="R374" s="24"/>
      <c r="S374" s="13" t="s">
        <v>1281</v>
      </c>
      <c r="T374" s="13" t="s">
        <v>1281</v>
      </c>
      <c r="U374" s="1" t="s">
        <v>1282</v>
      </c>
      <c r="V374" s="1">
        <v>0.8</v>
      </c>
      <c r="W374" s="1" t="s">
        <v>49</v>
      </c>
      <c r="X374" s="1"/>
      <c r="Y374" s="10" t="s">
        <v>1273</v>
      </c>
      <c r="Z374" s="1">
        <v>23</v>
      </c>
      <c r="AA374" s="13" t="s">
        <v>1254</v>
      </c>
      <c r="AB374" s="10" t="s">
        <v>1255</v>
      </c>
      <c r="AC374" s="156">
        <v>0.5</v>
      </c>
      <c r="AD374" s="156">
        <v>0.5</v>
      </c>
      <c r="AE374" s="156">
        <v>1.5</v>
      </c>
      <c r="AF374" s="156">
        <v>2</v>
      </c>
      <c r="AG374" s="377">
        <f t="shared" si="58"/>
        <v>4.5</v>
      </c>
      <c r="AH374" s="377" t="b">
        <f t="shared" si="54"/>
        <v>0</v>
      </c>
      <c r="AI374" s="1" t="s">
        <v>1283</v>
      </c>
      <c r="AJ374" s="1">
        <f>15/100</f>
        <v>0.15</v>
      </c>
      <c r="AK374" s="1">
        <v>0.16</v>
      </c>
      <c r="AL374" s="1">
        <v>0.16</v>
      </c>
      <c r="AM374" s="16">
        <f t="shared" si="55"/>
        <v>0.19999999999999998</v>
      </c>
      <c r="AN374" s="156">
        <v>0.5</v>
      </c>
      <c r="AO374" s="1" t="s">
        <v>1283</v>
      </c>
      <c r="AP374" s="1">
        <f>15/100</f>
        <v>0.15</v>
      </c>
      <c r="AQ374" s="1"/>
      <c r="AR374" s="297">
        <f t="shared" si="63"/>
        <v>0.16</v>
      </c>
      <c r="AS374" s="21">
        <f t="shared" si="62"/>
        <v>0.32</v>
      </c>
      <c r="AT374" s="1">
        <f t="shared" si="56"/>
        <v>0.28500000000000003</v>
      </c>
      <c r="AU374" s="31"/>
      <c r="AV374" s="31"/>
      <c r="AW374" s="31"/>
      <c r="AX374" s="16">
        <f t="shared" si="53"/>
        <v>0.35625000000000001</v>
      </c>
      <c r="AY374" s="156">
        <v>0.5</v>
      </c>
      <c r="AZ374" s="76">
        <v>0.125</v>
      </c>
      <c r="BA374" s="31"/>
      <c r="BB374" s="31"/>
      <c r="BC374" s="31"/>
      <c r="BD374" s="16">
        <f t="shared" si="57"/>
        <v>0.25</v>
      </c>
      <c r="BE374" s="31"/>
      <c r="BF374" s="31"/>
      <c r="BG374" s="31"/>
      <c r="BH374" s="31"/>
      <c r="BI374" s="16"/>
      <c r="BJ374" s="16"/>
      <c r="BK374" s="31"/>
      <c r="BL374" s="31"/>
      <c r="BM374" s="31"/>
      <c r="BN374" s="31"/>
      <c r="BO374" s="16"/>
      <c r="BP374" s="31"/>
      <c r="BQ374" s="31"/>
      <c r="BR374" s="31"/>
      <c r="BS374" s="31"/>
      <c r="BT374" s="16"/>
      <c r="BU374" s="16"/>
      <c r="BV374" s="16"/>
      <c r="BW374" s="16"/>
      <c r="BX374" s="16"/>
      <c r="BY374" s="16"/>
      <c r="BZ374" s="16"/>
      <c r="CA374" s="1"/>
      <c r="CB374" s="1"/>
      <c r="CC374" s="1"/>
    </row>
    <row r="375" spans="1:81" s="52" customFormat="1" ht="94.5" x14ac:dyDescent="0.25">
      <c r="A375" s="1">
        <v>4</v>
      </c>
      <c r="B375" s="13" t="s">
        <v>1749</v>
      </c>
      <c r="C375" s="572"/>
      <c r="D375" s="573"/>
      <c r="E375" s="10" t="s">
        <v>1247</v>
      </c>
      <c r="F375" s="13" t="s">
        <v>1329</v>
      </c>
      <c r="G375" s="572"/>
      <c r="H375" s="573"/>
      <c r="I375" s="10" t="s">
        <v>1266</v>
      </c>
      <c r="J375" s="13" t="s">
        <v>1868</v>
      </c>
      <c r="K375" s="572"/>
      <c r="L375" s="573"/>
      <c r="M375" s="23"/>
      <c r="N375" s="40" t="s">
        <v>1278</v>
      </c>
      <c r="O375" s="40" t="s">
        <v>1278</v>
      </c>
      <c r="P375" s="1" t="s">
        <v>1279</v>
      </c>
      <c r="Q375" s="1" t="s">
        <v>1280</v>
      </c>
      <c r="R375" s="24"/>
      <c r="S375" s="13" t="s">
        <v>1284</v>
      </c>
      <c r="T375" s="13" t="s">
        <v>1284</v>
      </c>
      <c r="U375" s="1" t="s">
        <v>1285</v>
      </c>
      <c r="V375" s="1">
        <v>0.7</v>
      </c>
      <c r="W375" s="1" t="s">
        <v>49</v>
      </c>
      <c r="X375" s="1"/>
      <c r="Y375" s="10" t="s">
        <v>1273</v>
      </c>
      <c r="Z375" s="1">
        <v>23</v>
      </c>
      <c r="AA375" s="13" t="s">
        <v>1254</v>
      </c>
      <c r="AB375" s="10" t="s">
        <v>1255</v>
      </c>
      <c r="AC375" s="319">
        <v>0.35</v>
      </c>
      <c r="AD375" s="156">
        <v>4.5</v>
      </c>
      <c r="AE375" s="156">
        <v>0.65</v>
      </c>
      <c r="AF375" s="156">
        <v>8</v>
      </c>
      <c r="AG375" s="377">
        <f t="shared" si="58"/>
        <v>13.5</v>
      </c>
      <c r="AH375" s="377" t="b">
        <f t="shared" si="54"/>
        <v>0</v>
      </c>
      <c r="AI375" s="1" t="s">
        <v>1283</v>
      </c>
      <c r="AJ375" s="1">
        <f>15/100</f>
        <v>0.15</v>
      </c>
      <c r="AK375" s="1">
        <v>0.16</v>
      </c>
      <c r="AL375" s="331">
        <v>0.35</v>
      </c>
      <c r="AM375" s="16">
        <f t="shared" si="55"/>
        <v>0.5</v>
      </c>
      <c r="AN375" s="319">
        <v>0.35</v>
      </c>
      <c r="AO375" s="1">
        <v>0.15</v>
      </c>
      <c r="AP375" s="184">
        <v>1.5E-3</v>
      </c>
      <c r="AQ375" s="184"/>
      <c r="AR375" s="321">
        <v>0.35</v>
      </c>
      <c r="AS375" s="21">
        <f t="shared" si="62"/>
        <v>1</v>
      </c>
      <c r="AT375" s="1">
        <f t="shared" si="56"/>
        <v>1.4750000000000001</v>
      </c>
      <c r="AU375" s="31"/>
      <c r="AV375" s="31"/>
      <c r="AW375" s="31"/>
      <c r="AX375" s="16">
        <f t="shared" si="53"/>
        <v>1</v>
      </c>
      <c r="AY375" s="156">
        <v>4.5</v>
      </c>
      <c r="AZ375" s="76">
        <v>1.125</v>
      </c>
      <c r="BA375" s="31"/>
      <c r="BB375" s="31"/>
      <c r="BC375" s="31"/>
      <c r="BD375" s="16">
        <f t="shared" si="57"/>
        <v>0.25</v>
      </c>
      <c r="BE375" s="31"/>
      <c r="BF375" s="31"/>
      <c r="BG375" s="31"/>
      <c r="BH375" s="31"/>
      <c r="BI375" s="16"/>
      <c r="BJ375" s="16"/>
      <c r="BK375" s="31"/>
      <c r="BL375" s="31"/>
      <c r="BM375" s="31"/>
      <c r="BN375" s="31"/>
      <c r="BO375" s="16"/>
      <c r="BP375" s="31"/>
      <c r="BQ375" s="31"/>
      <c r="BR375" s="31"/>
      <c r="BS375" s="31"/>
      <c r="BT375" s="16"/>
      <c r="BU375" s="16"/>
      <c r="BV375" s="16"/>
      <c r="BW375" s="16"/>
      <c r="BX375" s="16"/>
      <c r="BY375" s="16"/>
      <c r="BZ375" s="16"/>
      <c r="CA375" s="1"/>
      <c r="CB375" s="1"/>
      <c r="CC375" s="1"/>
    </row>
    <row r="376" spans="1:81" s="52" customFormat="1" ht="94.5" x14ac:dyDescent="0.25">
      <c r="A376" s="1">
        <v>4</v>
      </c>
      <c r="B376" s="13" t="s">
        <v>1749</v>
      </c>
      <c r="C376" s="572"/>
      <c r="D376" s="573"/>
      <c r="E376" s="10" t="s">
        <v>1247</v>
      </c>
      <c r="F376" s="13" t="s">
        <v>1329</v>
      </c>
      <c r="G376" s="572"/>
      <c r="H376" s="573"/>
      <c r="I376" s="10" t="s">
        <v>1266</v>
      </c>
      <c r="J376" s="13" t="s">
        <v>1868</v>
      </c>
      <c r="K376" s="572"/>
      <c r="L376" s="573"/>
      <c r="M376" s="23"/>
      <c r="N376" s="40" t="s">
        <v>1278</v>
      </c>
      <c r="O376" s="40" t="s">
        <v>1278</v>
      </c>
      <c r="P376" s="1" t="s">
        <v>1279</v>
      </c>
      <c r="Q376" s="1" t="s">
        <v>1280</v>
      </c>
      <c r="R376" s="24"/>
      <c r="S376" s="13" t="s">
        <v>1286</v>
      </c>
      <c r="T376" s="13" t="s">
        <v>1286</v>
      </c>
      <c r="U376" s="1" t="s">
        <v>1287</v>
      </c>
      <c r="V376" s="1">
        <v>0.7</v>
      </c>
      <c r="W376" s="1" t="s">
        <v>49</v>
      </c>
      <c r="X376" s="1"/>
      <c r="Y376" s="10" t="s">
        <v>1273</v>
      </c>
      <c r="Z376" s="1">
        <v>23</v>
      </c>
      <c r="AA376" s="13" t="s">
        <v>1254</v>
      </c>
      <c r="AB376" s="10" t="s">
        <v>1255</v>
      </c>
      <c r="AC376" s="156">
        <v>0.5</v>
      </c>
      <c r="AD376" s="156">
        <v>5</v>
      </c>
      <c r="AE376" s="156">
        <v>11.7</v>
      </c>
      <c r="AF376" s="156">
        <v>15</v>
      </c>
      <c r="AG376" s="377">
        <f t="shared" si="58"/>
        <v>32.200000000000003</v>
      </c>
      <c r="AH376" s="377" t="b">
        <f t="shared" si="54"/>
        <v>0</v>
      </c>
      <c r="AI376" s="1" t="s">
        <v>1288</v>
      </c>
      <c r="AJ376" s="1">
        <f>20/100</f>
        <v>0.2</v>
      </c>
      <c r="AK376" s="1">
        <v>0.4</v>
      </c>
      <c r="AL376" s="331">
        <v>0.7</v>
      </c>
      <c r="AM376" s="16">
        <f t="shared" si="55"/>
        <v>1</v>
      </c>
      <c r="AN376" s="156">
        <v>0.5</v>
      </c>
      <c r="AO376" s="1">
        <v>0.2</v>
      </c>
      <c r="AP376" s="1">
        <f>20/100</f>
        <v>0.2</v>
      </c>
      <c r="AQ376" s="1"/>
      <c r="AR376" s="297">
        <f t="shared" si="63"/>
        <v>0.7</v>
      </c>
      <c r="AS376" s="21">
        <v>1</v>
      </c>
      <c r="AT376" s="1">
        <f t="shared" si="56"/>
        <v>0.77</v>
      </c>
      <c r="AU376" s="31"/>
      <c r="AV376" s="31"/>
      <c r="AW376" s="31"/>
      <c r="AX376" s="16">
        <f t="shared" si="53"/>
        <v>1</v>
      </c>
      <c r="AY376" s="156">
        <v>5</v>
      </c>
      <c r="AZ376" s="76">
        <v>7.0000000000000007E-2</v>
      </c>
      <c r="BA376" s="31"/>
      <c r="BB376" s="31"/>
      <c r="BC376" s="31"/>
      <c r="BD376" s="16">
        <f t="shared" si="57"/>
        <v>1.4000000000000002E-2</v>
      </c>
      <c r="BE376" s="31"/>
      <c r="BF376" s="31"/>
      <c r="BG376" s="31"/>
      <c r="BH376" s="31"/>
      <c r="BI376" s="16"/>
      <c r="BJ376" s="16"/>
      <c r="BK376" s="31"/>
      <c r="BL376" s="31"/>
      <c r="BM376" s="31"/>
      <c r="BN376" s="31"/>
      <c r="BO376" s="16"/>
      <c r="BP376" s="31"/>
      <c r="BQ376" s="31"/>
      <c r="BR376" s="31"/>
      <c r="BS376" s="31"/>
      <c r="BT376" s="16"/>
      <c r="BU376" s="16"/>
      <c r="BV376" s="16"/>
      <c r="BW376" s="16"/>
      <c r="BX376" s="16"/>
      <c r="BY376" s="16"/>
      <c r="BZ376" s="16"/>
      <c r="CA376" s="1"/>
      <c r="CB376" s="1"/>
      <c r="CC376" s="1"/>
    </row>
    <row r="377" spans="1:81" s="52" customFormat="1" ht="94.5" x14ac:dyDescent="0.25">
      <c r="A377" s="1">
        <v>4</v>
      </c>
      <c r="B377" s="13" t="s">
        <v>1749</v>
      </c>
      <c r="C377" s="572"/>
      <c r="D377" s="573"/>
      <c r="E377" s="10" t="s">
        <v>1247</v>
      </c>
      <c r="F377" s="13" t="s">
        <v>1329</v>
      </c>
      <c r="G377" s="572"/>
      <c r="H377" s="573"/>
      <c r="I377" s="10" t="s">
        <v>1266</v>
      </c>
      <c r="J377" s="13" t="s">
        <v>1868</v>
      </c>
      <c r="K377" s="572"/>
      <c r="L377" s="573"/>
      <c r="M377" s="23"/>
      <c r="N377" s="23" t="s">
        <v>1289</v>
      </c>
      <c r="O377" s="23" t="s">
        <v>1289</v>
      </c>
      <c r="P377" s="1" t="s">
        <v>1290</v>
      </c>
      <c r="Q377" s="1" t="s">
        <v>1269</v>
      </c>
      <c r="R377" s="24"/>
      <c r="S377" s="13" t="s">
        <v>1291</v>
      </c>
      <c r="T377" s="13" t="s">
        <v>1291</v>
      </c>
      <c r="U377" s="1" t="s">
        <v>1292</v>
      </c>
      <c r="V377" s="1">
        <v>0.8</v>
      </c>
      <c r="W377" s="1" t="s">
        <v>49</v>
      </c>
      <c r="X377" s="1"/>
      <c r="Y377" s="10" t="s">
        <v>1273</v>
      </c>
      <c r="Z377" s="1">
        <v>23</v>
      </c>
      <c r="AA377" s="13" t="s">
        <v>1254</v>
      </c>
      <c r="AB377" s="10" t="s">
        <v>1255</v>
      </c>
      <c r="AC377" s="156">
        <v>0.3</v>
      </c>
      <c r="AD377" s="156">
        <v>3</v>
      </c>
      <c r="AE377" s="156">
        <v>0.25</v>
      </c>
      <c r="AF377" s="402">
        <v>0.28199999999999997</v>
      </c>
      <c r="AG377" s="377">
        <f t="shared" si="58"/>
        <v>3.8319999999999999</v>
      </c>
      <c r="AH377" s="377" t="b">
        <f t="shared" si="54"/>
        <v>0</v>
      </c>
      <c r="AI377" s="1" t="s">
        <v>1293</v>
      </c>
      <c r="AJ377" s="1">
        <f>40/100</f>
        <v>0.4</v>
      </c>
      <c r="AK377" s="1">
        <v>0.4</v>
      </c>
      <c r="AL377" s="331">
        <v>0.8</v>
      </c>
      <c r="AM377" s="16">
        <f t="shared" si="55"/>
        <v>1</v>
      </c>
      <c r="AN377" s="156">
        <v>0.3</v>
      </c>
      <c r="AO377" s="1">
        <v>0.4</v>
      </c>
      <c r="AP377" s="1">
        <f>40/100</f>
        <v>0.4</v>
      </c>
      <c r="AQ377" s="1"/>
      <c r="AR377" s="296">
        <f t="shared" si="63"/>
        <v>0.8</v>
      </c>
      <c r="AS377" s="21">
        <v>1</v>
      </c>
      <c r="AT377" s="1">
        <f t="shared" si="56"/>
        <v>1.55</v>
      </c>
      <c r="AU377" s="31"/>
      <c r="AV377" s="31"/>
      <c r="AW377" s="31"/>
      <c r="AX377" s="16">
        <f t="shared" si="53"/>
        <v>1</v>
      </c>
      <c r="AY377" s="156">
        <v>3</v>
      </c>
      <c r="AZ377" s="76">
        <v>0.75</v>
      </c>
      <c r="BA377" s="31"/>
      <c r="BB377" s="31"/>
      <c r="BC377" s="31"/>
      <c r="BD377" s="16">
        <f t="shared" si="57"/>
        <v>0.25</v>
      </c>
      <c r="BE377" s="31"/>
      <c r="BF377" s="31"/>
      <c r="BG377" s="31"/>
      <c r="BH377" s="31"/>
      <c r="BI377" s="16"/>
      <c r="BJ377" s="16"/>
      <c r="BK377" s="31"/>
      <c r="BL377" s="31"/>
      <c r="BM377" s="31"/>
      <c r="BN377" s="31"/>
      <c r="BO377" s="16"/>
      <c r="BP377" s="31"/>
      <c r="BQ377" s="31"/>
      <c r="BR377" s="31"/>
      <c r="BS377" s="31"/>
      <c r="BT377" s="16"/>
      <c r="BU377" s="16"/>
      <c r="BV377" s="16"/>
      <c r="BW377" s="16"/>
      <c r="BX377" s="16"/>
      <c r="BY377" s="16"/>
      <c r="BZ377" s="16"/>
      <c r="CA377" s="1"/>
      <c r="CB377" s="1"/>
      <c r="CC377" s="1"/>
    </row>
    <row r="378" spans="1:81" s="52" customFormat="1" ht="94.5" x14ac:dyDescent="0.25">
      <c r="A378" s="1">
        <v>4</v>
      </c>
      <c r="B378" s="13" t="s">
        <v>1749</v>
      </c>
      <c r="C378" s="572"/>
      <c r="D378" s="573"/>
      <c r="E378" s="10" t="s">
        <v>1247</v>
      </c>
      <c r="F378" s="13" t="s">
        <v>1329</v>
      </c>
      <c r="G378" s="572"/>
      <c r="H378" s="573"/>
      <c r="I378" s="10" t="s">
        <v>1266</v>
      </c>
      <c r="J378" s="13" t="s">
        <v>1868</v>
      </c>
      <c r="K378" s="568"/>
      <c r="L378" s="570"/>
      <c r="M378" s="23"/>
      <c r="N378" s="23" t="s">
        <v>1289</v>
      </c>
      <c r="O378" s="23" t="s">
        <v>1289</v>
      </c>
      <c r="P378" s="1" t="s">
        <v>1290</v>
      </c>
      <c r="Q378" s="1" t="s">
        <v>1269</v>
      </c>
      <c r="R378" s="24"/>
      <c r="S378" s="13" t="s">
        <v>1294</v>
      </c>
      <c r="T378" s="13" t="s">
        <v>1294</v>
      </c>
      <c r="U378" s="1" t="s">
        <v>1275</v>
      </c>
      <c r="V378" s="1">
        <v>0.6</v>
      </c>
      <c r="W378" s="1" t="s">
        <v>49</v>
      </c>
      <c r="X378" s="1"/>
      <c r="Y378" s="10" t="s">
        <v>1273</v>
      </c>
      <c r="Z378" s="1">
        <v>23</v>
      </c>
      <c r="AA378" s="13" t="s">
        <v>1254</v>
      </c>
      <c r="AB378" s="10" t="s">
        <v>1255</v>
      </c>
      <c r="AC378" s="156">
        <v>0.2</v>
      </c>
      <c r="AD378" s="156">
        <v>3</v>
      </c>
      <c r="AE378" s="156">
        <v>0.25</v>
      </c>
      <c r="AF378" s="156">
        <v>0.3</v>
      </c>
      <c r="AG378" s="377">
        <f t="shared" si="58"/>
        <v>3.75</v>
      </c>
      <c r="AH378" s="377" t="b">
        <f t="shared" si="54"/>
        <v>0</v>
      </c>
      <c r="AI378" s="1" t="s">
        <v>1293</v>
      </c>
      <c r="AJ378" s="1">
        <f>40/100</f>
        <v>0.4</v>
      </c>
      <c r="AK378" s="1">
        <v>0.4</v>
      </c>
      <c r="AL378" s="331">
        <v>0.6</v>
      </c>
      <c r="AM378" s="16">
        <f t="shared" si="55"/>
        <v>1</v>
      </c>
      <c r="AN378" s="156">
        <v>0.2</v>
      </c>
      <c r="AO378" s="1" t="s">
        <v>1293</v>
      </c>
      <c r="AP378" s="108">
        <v>0.2</v>
      </c>
      <c r="AQ378" s="108"/>
      <c r="AR378" s="296">
        <f t="shared" si="63"/>
        <v>0.6</v>
      </c>
      <c r="AS378" s="21">
        <v>1</v>
      </c>
      <c r="AT378" s="1">
        <f t="shared" si="56"/>
        <v>1.35</v>
      </c>
      <c r="AU378" s="31"/>
      <c r="AV378" s="31"/>
      <c r="AW378" s="31"/>
      <c r="AX378" s="16">
        <f t="shared" si="53"/>
        <v>1</v>
      </c>
      <c r="AY378" s="156">
        <v>3</v>
      </c>
      <c r="AZ378" s="76">
        <v>0.75</v>
      </c>
      <c r="BA378" s="31"/>
      <c r="BB378" s="31"/>
      <c r="BC378" s="31"/>
      <c r="BD378" s="16">
        <f t="shared" si="57"/>
        <v>0.25</v>
      </c>
      <c r="BE378" s="31"/>
      <c r="BF378" s="31"/>
      <c r="BG378" s="31"/>
      <c r="BH378" s="31"/>
      <c r="BI378" s="16"/>
      <c r="BJ378" s="16"/>
      <c r="BK378" s="31"/>
      <c r="BL378" s="31"/>
      <c r="BM378" s="31"/>
      <c r="BN378" s="31"/>
      <c r="BO378" s="16"/>
      <c r="BP378" s="31"/>
      <c r="BQ378" s="31"/>
      <c r="BR378" s="31"/>
      <c r="BS378" s="31"/>
      <c r="BT378" s="16"/>
      <c r="BU378" s="16"/>
      <c r="BV378" s="16"/>
      <c r="BW378" s="16"/>
      <c r="BX378" s="16"/>
      <c r="BY378" s="16"/>
      <c r="BZ378" s="16"/>
      <c r="CA378" s="1"/>
      <c r="CB378" s="1"/>
      <c r="CC378" s="1"/>
    </row>
    <row r="379" spans="1:81" s="52" customFormat="1" ht="78.75" x14ac:dyDescent="0.25">
      <c r="A379" s="1">
        <v>4</v>
      </c>
      <c r="B379" s="13" t="s">
        <v>1749</v>
      </c>
      <c r="C379" s="572"/>
      <c r="D379" s="573"/>
      <c r="E379" s="10" t="s">
        <v>1247</v>
      </c>
      <c r="F379" s="13" t="s">
        <v>1329</v>
      </c>
      <c r="G379" s="572"/>
      <c r="H379" s="573"/>
      <c r="I379" s="10" t="s">
        <v>1295</v>
      </c>
      <c r="J379" s="13" t="s">
        <v>1869</v>
      </c>
      <c r="K379" s="567">
        <f>AVERAGE(AX379:AX381)</f>
        <v>0.77276688453159048</v>
      </c>
      <c r="L379" s="569">
        <f>AVERAGE(BD379:BD381)</f>
        <v>8.3333333333333329E-2</v>
      </c>
      <c r="M379" s="23"/>
      <c r="N379" s="23" t="s">
        <v>1296</v>
      </c>
      <c r="O379" s="23" t="s">
        <v>1296</v>
      </c>
      <c r="P379" s="26">
        <v>0.6</v>
      </c>
      <c r="Q379" s="26">
        <v>0.85</v>
      </c>
      <c r="R379" s="14"/>
      <c r="S379" s="13" t="s">
        <v>1297</v>
      </c>
      <c r="T379" s="13" t="s">
        <v>1211</v>
      </c>
      <c r="U379" s="26">
        <v>0.6</v>
      </c>
      <c r="V379" s="26">
        <v>0.85</v>
      </c>
      <c r="W379" s="1" t="s">
        <v>49</v>
      </c>
      <c r="X379" s="1"/>
      <c r="Y379" s="10" t="s">
        <v>1253</v>
      </c>
      <c r="Z379" s="1">
        <v>45</v>
      </c>
      <c r="AA379" s="13" t="s">
        <v>1254</v>
      </c>
      <c r="AB379" s="10" t="s">
        <v>1255</v>
      </c>
      <c r="AC379" s="108">
        <v>0.62</v>
      </c>
      <c r="AD379" s="156">
        <v>2.5</v>
      </c>
      <c r="AE379" s="156">
        <v>0.1</v>
      </c>
      <c r="AF379" s="156">
        <v>0.1</v>
      </c>
      <c r="AG379" s="377">
        <f t="shared" si="58"/>
        <v>3.3200000000000003</v>
      </c>
      <c r="AH379" s="377" t="b">
        <f t="shared" si="54"/>
        <v>0</v>
      </c>
      <c r="AI379" s="19">
        <v>0</v>
      </c>
      <c r="AJ379" s="19">
        <v>0</v>
      </c>
      <c r="AK379" s="297">
        <v>0.62</v>
      </c>
      <c r="AL379" s="337">
        <v>0.62</v>
      </c>
      <c r="AM379" s="16">
        <f t="shared" si="55"/>
        <v>0.72941176470588232</v>
      </c>
      <c r="AN379" s="108">
        <v>0.62</v>
      </c>
      <c r="AO379" s="19">
        <v>0</v>
      </c>
      <c r="AP379" s="19">
        <v>0</v>
      </c>
      <c r="AQ379" s="19"/>
      <c r="AR379" s="297">
        <f t="shared" si="63"/>
        <v>0.62</v>
      </c>
      <c r="AS379" s="21">
        <f>IFERROR(+AR379/AN379,0)</f>
        <v>1</v>
      </c>
      <c r="AT379" s="1">
        <f t="shared" si="56"/>
        <v>0.62</v>
      </c>
      <c r="AU379" s="31"/>
      <c r="AV379" s="31"/>
      <c r="AW379" s="31"/>
      <c r="AX379" s="16">
        <f t="shared" ref="AX379:AX442" si="64">IF(AT379/V379&gt;100%,100%,(AT379/V379))</f>
        <v>0.72941176470588232</v>
      </c>
      <c r="AY379" s="156">
        <v>2.5</v>
      </c>
      <c r="AZ379" s="76">
        <v>0</v>
      </c>
      <c r="BA379" s="31"/>
      <c r="BB379" s="31"/>
      <c r="BC379" s="31"/>
      <c r="BD379" s="16">
        <f t="shared" si="57"/>
        <v>0</v>
      </c>
      <c r="BE379" s="31"/>
      <c r="BF379" s="31"/>
      <c r="BG379" s="31"/>
      <c r="BH379" s="31"/>
      <c r="BI379" s="16"/>
      <c r="BJ379" s="16"/>
      <c r="BK379" s="31"/>
      <c r="BL379" s="31"/>
      <c r="BM379" s="31"/>
      <c r="BN379" s="31"/>
      <c r="BO379" s="16"/>
      <c r="BP379" s="31"/>
      <c r="BQ379" s="31"/>
      <c r="BR379" s="31"/>
      <c r="BS379" s="31"/>
      <c r="BT379" s="16"/>
      <c r="BU379" s="16"/>
      <c r="BV379" s="16"/>
      <c r="BW379" s="16"/>
      <c r="BX379" s="16"/>
      <c r="BY379" s="16"/>
      <c r="BZ379" s="16"/>
      <c r="CA379" s="1"/>
      <c r="CB379" s="1"/>
      <c r="CC379" s="1"/>
    </row>
    <row r="380" spans="1:81" s="52" customFormat="1" ht="78.75" x14ac:dyDescent="0.25">
      <c r="A380" s="1">
        <v>4</v>
      </c>
      <c r="B380" s="13" t="s">
        <v>1749</v>
      </c>
      <c r="C380" s="572"/>
      <c r="D380" s="573"/>
      <c r="E380" s="10" t="s">
        <v>1247</v>
      </c>
      <c r="F380" s="13" t="s">
        <v>1329</v>
      </c>
      <c r="G380" s="572"/>
      <c r="H380" s="573"/>
      <c r="I380" s="10" t="s">
        <v>1295</v>
      </c>
      <c r="J380" s="13" t="s">
        <v>1869</v>
      </c>
      <c r="K380" s="572"/>
      <c r="L380" s="573"/>
      <c r="M380" s="23"/>
      <c r="N380" s="23" t="s">
        <v>1296</v>
      </c>
      <c r="O380" s="23" t="s">
        <v>1296</v>
      </c>
      <c r="P380" s="26">
        <v>0.6</v>
      </c>
      <c r="Q380" s="26">
        <v>0.85</v>
      </c>
      <c r="R380" s="14"/>
      <c r="S380" s="13" t="s">
        <v>1298</v>
      </c>
      <c r="T380" s="13" t="s">
        <v>1211</v>
      </c>
      <c r="U380" s="26">
        <v>0.6</v>
      </c>
      <c r="V380" s="26">
        <v>1</v>
      </c>
      <c r="W380" s="1" t="s">
        <v>49</v>
      </c>
      <c r="X380" s="1"/>
      <c r="Y380" s="10" t="s">
        <v>1253</v>
      </c>
      <c r="Z380" s="1">
        <v>45</v>
      </c>
      <c r="AA380" s="13" t="s">
        <v>1254</v>
      </c>
      <c r="AB380" s="10" t="s">
        <v>1255</v>
      </c>
      <c r="AC380" s="156">
        <v>0.5</v>
      </c>
      <c r="AD380" s="156">
        <v>10</v>
      </c>
      <c r="AE380" s="156">
        <v>1</v>
      </c>
      <c r="AF380" s="156">
        <v>1.5</v>
      </c>
      <c r="AG380" s="377">
        <f t="shared" si="58"/>
        <v>13</v>
      </c>
      <c r="AH380" s="377" t="b">
        <f t="shared" si="54"/>
        <v>0</v>
      </c>
      <c r="AI380" s="1">
        <v>0</v>
      </c>
      <c r="AJ380" s="1">
        <v>0</v>
      </c>
      <c r="AK380" s="1">
        <v>0.5</v>
      </c>
      <c r="AL380" s="1">
        <v>0.5</v>
      </c>
      <c r="AM380" s="16">
        <f>+AL380/V380</f>
        <v>0.5</v>
      </c>
      <c r="AN380" s="156">
        <v>0.5</v>
      </c>
      <c r="AO380" s="1">
        <v>0</v>
      </c>
      <c r="AP380" s="1">
        <v>0</v>
      </c>
      <c r="AQ380" s="1"/>
      <c r="AR380" s="297">
        <f>AL380</f>
        <v>0.5</v>
      </c>
      <c r="AS380" s="21">
        <f t="shared" si="62"/>
        <v>1</v>
      </c>
      <c r="AT380" s="1">
        <f t="shared" si="56"/>
        <v>3</v>
      </c>
      <c r="AU380" s="31"/>
      <c r="AV380" s="31"/>
      <c r="AW380" s="31"/>
      <c r="AX380" s="16">
        <f t="shared" si="64"/>
        <v>1</v>
      </c>
      <c r="AY380" s="156">
        <v>10</v>
      </c>
      <c r="AZ380" s="76">
        <v>2.5</v>
      </c>
      <c r="BA380" s="31"/>
      <c r="BB380" s="31"/>
      <c r="BC380" s="31"/>
      <c r="BD380" s="16">
        <f t="shared" si="57"/>
        <v>0.25</v>
      </c>
      <c r="BE380" s="31"/>
      <c r="BF380" s="31"/>
      <c r="BG380" s="31"/>
      <c r="BH380" s="31"/>
      <c r="BI380" s="16"/>
      <c r="BJ380" s="16"/>
      <c r="BK380" s="31"/>
      <c r="BL380" s="31"/>
      <c r="BM380" s="31"/>
      <c r="BN380" s="31"/>
      <c r="BO380" s="16"/>
      <c r="BP380" s="31"/>
      <c r="BQ380" s="31"/>
      <c r="BR380" s="31"/>
      <c r="BS380" s="31"/>
      <c r="BT380" s="16"/>
      <c r="BU380" s="16"/>
      <c r="BV380" s="16"/>
      <c r="BW380" s="16"/>
      <c r="BX380" s="16"/>
      <c r="BY380" s="16"/>
      <c r="BZ380" s="16"/>
      <c r="CA380" s="1"/>
      <c r="CB380" s="1"/>
      <c r="CC380" s="1"/>
    </row>
    <row r="381" spans="1:81" s="52" customFormat="1" ht="68.650000000000006" customHeight="1" x14ac:dyDescent="0.25">
      <c r="A381" s="1">
        <v>4</v>
      </c>
      <c r="B381" s="13" t="s">
        <v>1749</v>
      </c>
      <c r="C381" s="572"/>
      <c r="D381" s="573"/>
      <c r="E381" s="10" t="s">
        <v>1247</v>
      </c>
      <c r="F381" s="13" t="s">
        <v>1329</v>
      </c>
      <c r="G381" s="572"/>
      <c r="H381" s="573"/>
      <c r="I381" s="10" t="s">
        <v>1295</v>
      </c>
      <c r="J381" s="13" t="s">
        <v>1869</v>
      </c>
      <c r="K381" s="568"/>
      <c r="L381" s="570"/>
      <c r="M381" s="23"/>
      <c r="N381" s="23" t="s">
        <v>1296</v>
      </c>
      <c r="O381" s="23" t="s">
        <v>1296</v>
      </c>
      <c r="P381" s="26">
        <v>0.6</v>
      </c>
      <c r="Q381" s="26">
        <v>0.85</v>
      </c>
      <c r="R381" s="14"/>
      <c r="S381" s="13" t="s">
        <v>1299</v>
      </c>
      <c r="T381" s="13" t="s">
        <v>1211</v>
      </c>
      <c r="U381" s="26">
        <v>0.5</v>
      </c>
      <c r="V381" s="26">
        <v>0.9</v>
      </c>
      <c r="W381" s="1" t="s">
        <v>49</v>
      </c>
      <c r="X381" s="1"/>
      <c r="Y381" s="10" t="s">
        <v>1253</v>
      </c>
      <c r="Z381" s="1">
        <v>45</v>
      </c>
      <c r="AA381" s="13" t="s">
        <v>1254</v>
      </c>
      <c r="AB381" s="10" t="s">
        <v>1255</v>
      </c>
      <c r="AC381" s="156">
        <v>0.5</v>
      </c>
      <c r="AD381" s="156">
        <v>10</v>
      </c>
      <c r="AE381" s="156">
        <v>1</v>
      </c>
      <c r="AF381" s="156">
        <v>1.5</v>
      </c>
      <c r="AG381" s="377">
        <f t="shared" si="58"/>
        <v>13</v>
      </c>
      <c r="AH381" s="377" t="b">
        <f t="shared" si="54"/>
        <v>0</v>
      </c>
      <c r="AI381" s="1">
        <v>0</v>
      </c>
      <c r="AJ381" s="1">
        <v>0</v>
      </c>
      <c r="AK381" s="1">
        <v>0.53</v>
      </c>
      <c r="AL381" s="1">
        <v>0.53</v>
      </c>
      <c r="AM381" s="16">
        <f t="shared" si="55"/>
        <v>0.58888888888888891</v>
      </c>
      <c r="AN381" s="156">
        <v>0.5</v>
      </c>
      <c r="AO381" s="1">
        <v>0</v>
      </c>
      <c r="AP381" s="1">
        <v>0</v>
      </c>
      <c r="AQ381" s="1"/>
      <c r="AR381" s="297">
        <f t="shared" si="63"/>
        <v>0.53</v>
      </c>
      <c r="AS381" s="21">
        <v>1</v>
      </c>
      <c r="AT381" s="1">
        <f t="shared" si="56"/>
        <v>0.53</v>
      </c>
      <c r="AU381" s="31"/>
      <c r="AV381" s="31"/>
      <c r="AW381" s="31"/>
      <c r="AX381" s="16">
        <f t="shared" si="64"/>
        <v>0.58888888888888891</v>
      </c>
      <c r="AY381" s="156">
        <v>10</v>
      </c>
      <c r="AZ381" s="76">
        <v>0</v>
      </c>
      <c r="BA381" s="31"/>
      <c r="BB381" s="31"/>
      <c r="BC381" s="31"/>
      <c r="BD381" s="16">
        <f t="shared" si="57"/>
        <v>0</v>
      </c>
      <c r="BE381" s="31"/>
      <c r="BF381" s="31"/>
      <c r="BG381" s="31"/>
      <c r="BH381" s="31"/>
      <c r="BI381" s="16"/>
      <c r="BJ381" s="16"/>
      <c r="BK381" s="31"/>
      <c r="BL381" s="31"/>
      <c r="BM381" s="31"/>
      <c r="BN381" s="31"/>
      <c r="BO381" s="16"/>
      <c r="BP381" s="31"/>
      <c r="BQ381" s="31"/>
      <c r="BR381" s="31"/>
      <c r="BS381" s="31"/>
      <c r="BT381" s="16"/>
      <c r="BU381" s="16"/>
      <c r="BV381" s="16"/>
      <c r="BW381" s="16"/>
      <c r="BX381" s="16"/>
      <c r="BY381" s="16"/>
      <c r="BZ381" s="16"/>
      <c r="CA381" s="1"/>
      <c r="CB381" s="1"/>
      <c r="CC381" s="1"/>
    </row>
    <row r="382" spans="1:81" s="52" customFormat="1" ht="63" x14ac:dyDescent="0.25">
      <c r="A382" s="1">
        <v>4</v>
      </c>
      <c r="B382" s="13" t="s">
        <v>1749</v>
      </c>
      <c r="C382" s="572"/>
      <c r="D382" s="573"/>
      <c r="E382" s="10" t="s">
        <v>1247</v>
      </c>
      <c r="F382" s="13" t="s">
        <v>1329</v>
      </c>
      <c r="G382" s="572"/>
      <c r="H382" s="573"/>
      <c r="I382" s="10" t="s">
        <v>1300</v>
      </c>
      <c r="J382" s="13" t="s">
        <v>1870</v>
      </c>
      <c r="K382" s="143">
        <f>AVERAGE(AX382)</f>
        <v>0.2</v>
      </c>
      <c r="L382" s="144">
        <f>AVERAGE(BD382)</f>
        <v>0.25</v>
      </c>
      <c r="M382" s="10"/>
      <c r="N382" s="10" t="s">
        <v>1301</v>
      </c>
      <c r="O382" s="10" t="s">
        <v>1301</v>
      </c>
      <c r="P382" s="1">
        <v>45</v>
      </c>
      <c r="Q382" s="1">
        <v>45</v>
      </c>
      <c r="R382" s="24"/>
      <c r="S382" s="13" t="s">
        <v>1302</v>
      </c>
      <c r="T382" s="13" t="s">
        <v>1302</v>
      </c>
      <c r="U382" s="1">
        <v>0</v>
      </c>
      <c r="V382" s="1">
        <v>10</v>
      </c>
      <c r="W382" s="1" t="s">
        <v>412</v>
      </c>
      <c r="X382" s="1"/>
      <c r="Y382" s="10" t="s">
        <v>1212</v>
      </c>
      <c r="Z382" s="1">
        <v>45</v>
      </c>
      <c r="AA382" s="24">
        <v>16</v>
      </c>
      <c r="AB382" s="10" t="s">
        <v>1333</v>
      </c>
      <c r="AC382" s="157">
        <v>1</v>
      </c>
      <c r="AD382" s="156">
        <v>4</v>
      </c>
      <c r="AE382" s="156">
        <v>3</v>
      </c>
      <c r="AF382" s="156">
        <v>2</v>
      </c>
      <c r="AG382" s="377">
        <f t="shared" si="58"/>
        <v>10</v>
      </c>
      <c r="AH382" s="377" t="b">
        <f t="shared" si="54"/>
        <v>1</v>
      </c>
      <c r="AI382" s="1">
        <v>0</v>
      </c>
      <c r="AJ382" s="1">
        <v>0</v>
      </c>
      <c r="AK382" s="1">
        <v>1</v>
      </c>
      <c r="AL382" s="1">
        <v>1</v>
      </c>
      <c r="AM382" s="16">
        <f t="shared" si="55"/>
        <v>0.1</v>
      </c>
      <c r="AN382" s="157">
        <v>1</v>
      </c>
      <c r="AO382" s="1">
        <v>0</v>
      </c>
      <c r="AP382" s="1">
        <v>0</v>
      </c>
      <c r="AQ382" s="1"/>
      <c r="AR382" s="27">
        <f t="shared" si="63"/>
        <v>1</v>
      </c>
      <c r="AS382" s="21">
        <f>IFERROR(+AR382/AN382,0)</f>
        <v>1</v>
      </c>
      <c r="AT382" s="1">
        <f t="shared" si="56"/>
        <v>2</v>
      </c>
      <c r="AU382" s="31"/>
      <c r="AV382" s="31"/>
      <c r="AW382" s="31"/>
      <c r="AX382" s="16">
        <f t="shared" si="64"/>
        <v>0.2</v>
      </c>
      <c r="AY382" s="156">
        <v>4</v>
      </c>
      <c r="AZ382" s="76">
        <v>1</v>
      </c>
      <c r="BA382" s="31"/>
      <c r="BB382" s="31"/>
      <c r="BC382" s="31"/>
      <c r="BD382" s="16">
        <f t="shared" si="57"/>
        <v>0.25</v>
      </c>
      <c r="BE382" s="31"/>
      <c r="BF382" s="31"/>
      <c r="BG382" s="31"/>
      <c r="BH382" s="31"/>
      <c r="BI382" s="16"/>
      <c r="BJ382" s="16"/>
      <c r="BK382" s="31"/>
      <c r="BL382" s="31"/>
      <c r="BM382" s="31"/>
      <c r="BN382" s="31"/>
      <c r="BO382" s="16"/>
      <c r="BP382" s="31"/>
      <c r="BQ382" s="31"/>
      <c r="BR382" s="31"/>
      <c r="BS382" s="31"/>
      <c r="BT382" s="16"/>
      <c r="BU382" s="16"/>
      <c r="BV382" s="16"/>
      <c r="BW382" s="16"/>
      <c r="BX382" s="16"/>
      <c r="BY382" s="16"/>
      <c r="BZ382" s="16"/>
      <c r="CA382" s="1"/>
      <c r="CB382" s="1"/>
      <c r="CC382" s="1"/>
    </row>
    <row r="383" spans="1:81" s="52" customFormat="1" ht="63" x14ac:dyDescent="0.25">
      <c r="A383" s="1">
        <v>4</v>
      </c>
      <c r="B383" s="13" t="s">
        <v>1749</v>
      </c>
      <c r="C383" s="572"/>
      <c r="D383" s="573"/>
      <c r="E383" s="10" t="s">
        <v>1247</v>
      </c>
      <c r="F383" s="13" t="s">
        <v>1329</v>
      </c>
      <c r="G383" s="572"/>
      <c r="H383" s="573"/>
      <c r="I383" s="10" t="s">
        <v>1303</v>
      </c>
      <c r="J383" s="13" t="s">
        <v>1871</v>
      </c>
      <c r="K383" s="143">
        <f>AVERAGE(AX383)</f>
        <v>0.12</v>
      </c>
      <c r="L383" s="144">
        <f>AVERAGE(BD383)</f>
        <v>0.25</v>
      </c>
      <c r="M383" s="10"/>
      <c r="N383" s="10" t="s">
        <v>1304</v>
      </c>
      <c r="O383" s="10" t="s">
        <v>1304</v>
      </c>
      <c r="P383" s="1">
        <v>16</v>
      </c>
      <c r="Q383" s="1">
        <v>25</v>
      </c>
      <c r="R383" s="24"/>
      <c r="S383" s="13" t="s">
        <v>1305</v>
      </c>
      <c r="T383" s="13" t="s">
        <v>1305</v>
      </c>
      <c r="U383" s="1">
        <v>16</v>
      </c>
      <c r="V383" s="1">
        <v>25</v>
      </c>
      <c r="W383" s="1" t="s">
        <v>412</v>
      </c>
      <c r="X383" s="1"/>
      <c r="Y383" s="10" t="s">
        <v>1212</v>
      </c>
      <c r="Z383" s="1">
        <v>45</v>
      </c>
      <c r="AA383" s="24">
        <v>16</v>
      </c>
      <c r="AB383" s="10" t="s">
        <v>1333</v>
      </c>
      <c r="AC383" s="157">
        <v>2</v>
      </c>
      <c r="AD383" s="156">
        <v>4</v>
      </c>
      <c r="AE383" s="156">
        <v>2</v>
      </c>
      <c r="AF383" s="156">
        <v>1</v>
      </c>
      <c r="AG383" s="377">
        <f t="shared" si="58"/>
        <v>9</v>
      </c>
      <c r="AH383" s="377" t="b">
        <f t="shared" si="54"/>
        <v>0</v>
      </c>
      <c r="AI383" s="1">
        <v>0</v>
      </c>
      <c r="AJ383" s="27">
        <v>2</v>
      </c>
      <c r="AK383" s="27">
        <v>2</v>
      </c>
      <c r="AL383" s="27">
        <v>2</v>
      </c>
      <c r="AM383" s="16">
        <f t="shared" si="55"/>
        <v>0.08</v>
      </c>
      <c r="AN383" s="157">
        <v>2</v>
      </c>
      <c r="AO383" s="1">
        <v>0</v>
      </c>
      <c r="AP383" s="27">
        <v>2</v>
      </c>
      <c r="AQ383" s="27"/>
      <c r="AR383" s="27">
        <f t="shared" si="63"/>
        <v>2</v>
      </c>
      <c r="AS383" s="21">
        <f>IFERROR(+AR383/AN383,0)</f>
        <v>1</v>
      </c>
      <c r="AT383" s="1">
        <f t="shared" si="56"/>
        <v>3</v>
      </c>
      <c r="AU383" s="31"/>
      <c r="AV383" s="31"/>
      <c r="AW383" s="31"/>
      <c r="AX383" s="16">
        <f t="shared" si="64"/>
        <v>0.12</v>
      </c>
      <c r="AY383" s="156">
        <v>4</v>
      </c>
      <c r="AZ383" s="76">
        <v>1</v>
      </c>
      <c r="BA383" s="31"/>
      <c r="BB383" s="31"/>
      <c r="BC383" s="31"/>
      <c r="BD383" s="16">
        <f t="shared" si="57"/>
        <v>0.25</v>
      </c>
      <c r="BE383" s="31"/>
      <c r="BF383" s="31"/>
      <c r="BG383" s="31"/>
      <c r="BH383" s="31"/>
      <c r="BI383" s="16"/>
      <c r="BJ383" s="16"/>
      <c r="BK383" s="31"/>
      <c r="BL383" s="31"/>
      <c r="BM383" s="31"/>
      <c r="BN383" s="31"/>
      <c r="BO383" s="16"/>
      <c r="BP383" s="31"/>
      <c r="BQ383" s="31"/>
      <c r="BR383" s="31"/>
      <c r="BS383" s="31"/>
      <c r="BT383" s="16"/>
      <c r="BU383" s="16"/>
      <c r="BV383" s="16"/>
      <c r="BW383" s="16"/>
      <c r="BX383" s="16"/>
      <c r="BY383" s="16"/>
      <c r="BZ383" s="16"/>
      <c r="CA383" s="1"/>
      <c r="CB383" s="1"/>
      <c r="CC383" s="1"/>
    </row>
    <row r="384" spans="1:81" s="52" customFormat="1" ht="63" x14ac:dyDescent="0.25">
      <c r="A384" s="1">
        <v>4</v>
      </c>
      <c r="B384" s="13" t="s">
        <v>1749</v>
      </c>
      <c r="C384" s="572"/>
      <c r="D384" s="573"/>
      <c r="E384" s="10" t="s">
        <v>1247</v>
      </c>
      <c r="F384" s="13" t="s">
        <v>1329</v>
      </c>
      <c r="G384" s="572"/>
      <c r="H384" s="573"/>
      <c r="I384" s="10" t="s">
        <v>1306</v>
      </c>
      <c r="J384" s="13" t="s">
        <v>1872</v>
      </c>
      <c r="K384" s="143">
        <f>AVERAGE(AX384)</f>
        <v>0.5</v>
      </c>
      <c r="L384" s="144">
        <f>AVERAGE(BD384)</f>
        <v>0</v>
      </c>
      <c r="M384" s="23"/>
      <c r="N384" s="40" t="s">
        <v>1307</v>
      </c>
      <c r="O384" s="40" t="s">
        <v>1307</v>
      </c>
      <c r="P384" s="1">
        <v>0</v>
      </c>
      <c r="Q384" s="1">
        <v>40</v>
      </c>
      <c r="R384" s="24"/>
      <c r="S384" s="13" t="s">
        <v>1308</v>
      </c>
      <c r="T384" s="13" t="s">
        <v>1308</v>
      </c>
      <c r="U384" s="1">
        <v>0</v>
      </c>
      <c r="V384" s="1">
        <v>1</v>
      </c>
      <c r="W384" s="1" t="s">
        <v>49</v>
      </c>
      <c r="X384" s="1"/>
      <c r="Y384" s="10" t="s">
        <v>1253</v>
      </c>
      <c r="Z384" s="1">
        <v>45</v>
      </c>
      <c r="AA384" s="13" t="s">
        <v>1254</v>
      </c>
      <c r="AB384" s="10" t="s">
        <v>1255</v>
      </c>
      <c r="AC384" s="156">
        <v>1</v>
      </c>
      <c r="AD384" s="156">
        <v>1</v>
      </c>
      <c r="AE384" s="156"/>
      <c r="AF384" s="156"/>
      <c r="AG384" s="377">
        <f t="shared" si="58"/>
        <v>2</v>
      </c>
      <c r="AH384" s="377" t="b">
        <f t="shared" si="54"/>
        <v>0</v>
      </c>
      <c r="AI384" s="1">
        <v>0</v>
      </c>
      <c r="AJ384" s="1">
        <v>0</v>
      </c>
      <c r="AK384" s="1">
        <v>0.5</v>
      </c>
      <c r="AL384" s="1">
        <v>0.5</v>
      </c>
      <c r="AM384" s="16">
        <f t="shared" si="55"/>
        <v>0.5</v>
      </c>
      <c r="AN384" s="156">
        <v>1</v>
      </c>
      <c r="AO384" s="1">
        <v>0</v>
      </c>
      <c r="AP384" s="1">
        <v>0</v>
      </c>
      <c r="AQ384" s="1"/>
      <c r="AR384" s="296">
        <f>AL384</f>
        <v>0.5</v>
      </c>
      <c r="AS384" s="21">
        <f>IFERROR(+AR384/AN384,0)</f>
        <v>0.5</v>
      </c>
      <c r="AT384" s="1">
        <f t="shared" si="56"/>
        <v>0.5</v>
      </c>
      <c r="AU384" s="31"/>
      <c r="AV384" s="31"/>
      <c r="AW384" s="31"/>
      <c r="AX384" s="16">
        <f t="shared" si="64"/>
        <v>0.5</v>
      </c>
      <c r="AY384" s="156">
        <v>1</v>
      </c>
      <c r="AZ384" s="76">
        <v>0</v>
      </c>
      <c r="BA384" s="31"/>
      <c r="BB384" s="31"/>
      <c r="BC384" s="31"/>
      <c r="BD384" s="16">
        <f t="shared" si="57"/>
        <v>0</v>
      </c>
      <c r="BE384" s="31"/>
      <c r="BF384" s="31"/>
      <c r="BG384" s="31"/>
      <c r="BH384" s="31"/>
      <c r="BI384" s="16"/>
      <c r="BJ384" s="16"/>
      <c r="BK384" s="31"/>
      <c r="BL384" s="31"/>
      <c r="BM384" s="31"/>
      <c r="BN384" s="31"/>
      <c r="BO384" s="16"/>
      <c r="BP384" s="31"/>
      <c r="BQ384" s="31"/>
      <c r="BR384" s="31"/>
      <c r="BS384" s="31"/>
      <c r="BT384" s="16"/>
      <c r="BU384" s="16"/>
      <c r="BV384" s="16"/>
      <c r="BW384" s="16"/>
      <c r="BX384" s="16"/>
      <c r="BY384" s="16"/>
      <c r="BZ384" s="16"/>
      <c r="CA384" s="1"/>
      <c r="CB384" s="1"/>
      <c r="CC384" s="1"/>
    </row>
    <row r="385" spans="1:81" s="52" customFormat="1" ht="63" x14ac:dyDescent="0.25">
      <c r="A385" s="1">
        <v>4</v>
      </c>
      <c r="B385" s="13" t="s">
        <v>1749</v>
      </c>
      <c r="C385" s="572"/>
      <c r="D385" s="573"/>
      <c r="E385" s="10" t="s">
        <v>1247</v>
      </c>
      <c r="F385" s="13" t="s">
        <v>1329</v>
      </c>
      <c r="G385" s="572"/>
      <c r="H385" s="573"/>
      <c r="I385" s="10" t="s">
        <v>1309</v>
      </c>
      <c r="J385" s="13" t="s">
        <v>1873</v>
      </c>
      <c r="K385" s="567">
        <f>AVERAGE(AX385:AX387)</f>
        <v>3.3333333333333333E-2</v>
      </c>
      <c r="L385" s="569">
        <f>IFERROR(AVERAGE(BD385:BD387),"NP")</f>
        <v>0.10416666666666667</v>
      </c>
      <c r="M385" s="10"/>
      <c r="N385" s="23" t="s">
        <v>1310</v>
      </c>
      <c r="O385" s="13" t="s">
        <v>1310</v>
      </c>
      <c r="P385" s="1">
        <v>0</v>
      </c>
      <c r="Q385" s="108">
        <v>46</v>
      </c>
      <c r="R385" s="1"/>
      <c r="S385" s="13" t="s">
        <v>1311</v>
      </c>
      <c r="T385" s="13" t="s">
        <v>1311</v>
      </c>
      <c r="U385" s="1">
        <v>0</v>
      </c>
      <c r="V385" s="1">
        <v>5</v>
      </c>
      <c r="W385" s="1" t="s">
        <v>49</v>
      </c>
      <c r="X385" s="1"/>
      <c r="Y385" s="1"/>
      <c r="Z385" s="1"/>
      <c r="AA385" s="24"/>
      <c r="AB385" s="10" t="s">
        <v>1312</v>
      </c>
      <c r="AC385" s="156">
        <v>1</v>
      </c>
      <c r="AD385" s="156">
        <v>1.6</v>
      </c>
      <c r="AE385" s="156"/>
      <c r="AF385" s="156"/>
      <c r="AG385" s="377">
        <f t="shared" si="58"/>
        <v>2.6</v>
      </c>
      <c r="AH385" s="377" t="b">
        <f t="shared" si="54"/>
        <v>0</v>
      </c>
      <c r="AI385" s="1">
        <v>0</v>
      </c>
      <c r="AJ385" s="1">
        <v>0</v>
      </c>
      <c r="AK385" s="1"/>
      <c r="AL385" s="1"/>
      <c r="AM385" s="16">
        <f t="shared" si="55"/>
        <v>0</v>
      </c>
      <c r="AN385" s="156">
        <v>1</v>
      </c>
      <c r="AO385" s="1">
        <v>0</v>
      </c>
      <c r="AP385" s="1">
        <v>0</v>
      </c>
      <c r="AQ385" s="1"/>
      <c r="AR385" s="1"/>
      <c r="AS385" s="21">
        <f t="shared" ref="AS385:AS391" si="65">IFERROR(+AP385/AN385,0)</f>
        <v>0</v>
      </c>
      <c r="AT385" s="1">
        <f t="shared" si="56"/>
        <v>0</v>
      </c>
      <c r="AU385" s="31"/>
      <c r="AV385" s="31"/>
      <c r="AW385" s="31"/>
      <c r="AX385" s="16">
        <f t="shared" si="64"/>
        <v>0</v>
      </c>
      <c r="AY385" s="156">
        <v>1.6</v>
      </c>
      <c r="AZ385" s="76"/>
      <c r="BA385" s="31"/>
      <c r="BB385" s="31"/>
      <c r="BC385" s="31"/>
      <c r="BD385" s="16">
        <f t="shared" si="57"/>
        <v>0</v>
      </c>
      <c r="BE385" s="31"/>
      <c r="BF385" s="31"/>
      <c r="BG385" s="31"/>
      <c r="BH385" s="31"/>
      <c r="BI385" s="16"/>
      <c r="BJ385" s="16"/>
      <c r="BK385" s="31"/>
      <c r="BL385" s="31"/>
      <c r="BM385" s="31"/>
      <c r="BN385" s="31"/>
      <c r="BO385" s="16"/>
      <c r="BP385" s="31"/>
      <c r="BQ385" s="31"/>
      <c r="BR385" s="31"/>
      <c r="BS385" s="31"/>
      <c r="BT385" s="16"/>
      <c r="BU385" s="16"/>
      <c r="BV385" s="16"/>
      <c r="BW385" s="16"/>
      <c r="BX385" s="16"/>
      <c r="BY385" s="16"/>
      <c r="BZ385" s="16"/>
      <c r="CA385" s="1"/>
      <c r="CB385" s="1"/>
      <c r="CC385" s="1"/>
    </row>
    <row r="386" spans="1:81" s="52" customFormat="1" ht="63" x14ac:dyDescent="0.25">
      <c r="A386" s="1">
        <v>4</v>
      </c>
      <c r="B386" s="13" t="s">
        <v>1749</v>
      </c>
      <c r="C386" s="572"/>
      <c r="D386" s="573"/>
      <c r="E386" s="10" t="s">
        <v>1247</v>
      </c>
      <c r="F386" s="13" t="s">
        <v>1329</v>
      </c>
      <c r="G386" s="572"/>
      <c r="H386" s="573"/>
      <c r="I386" s="10" t="s">
        <v>1309</v>
      </c>
      <c r="J386" s="13" t="s">
        <v>1873</v>
      </c>
      <c r="K386" s="572"/>
      <c r="L386" s="573"/>
      <c r="M386" s="10"/>
      <c r="N386" s="23" t="s">
        <v>1310</v>
      </c>
      <c r="O386" s="13" t="s">
        <v>1310</v>
      </c>
      <c r="P386" s="1">
        <v>0</v>
      </c>
      <c r="Q386" s="1">
        <v>46</v>
      </c>
      <c r="R386" s="1"/>
      <c r="S386" s="13" t="s">
        <v>1313</v>
      </c>
      <c r="T386" s="13" t="s">
        <v>1313</v>
      </c>
      <c r="U386" s="1">
        <v>0</v>
      </c>
      <c r="V386" s="1">
        <v>46</v>
      </c>
      <c r="W386" s="1" t="s">
        <v>49</v>
      </c>
      <c r="X386" s="1"/>
      <c r="Y386" s="1"/>
      <c r="Z386" s="1"/>
      <c r="AA386" s="24"/>
      <c r="AB386" s="10" t="s">
        <v>1312</v>
      </c>
      <c r="AC386" s="156">
        <v>9</v>
      </c>
      <c r="AD386" s="156">
        <v>15.33</v>
      </c>
      <c r="AE386" s="156"/>
      <c r="AF386" s="156"/>
      <c r="AG386" s="377">
        <f t="shared" si="58"/>
        <v>24.33</v>
      </c>
      <c r="AH386" s="377" t="b">
        <f t="shared" si="54"/>
        <v>0</v>
      </c>
      <c r="AI386" s="1">
        <v>0</v>
      </c>
      <c r="AJ386" s="1">
        <v>0</v>
      </c>
      <c r="AK386" s="1"/>
      <c r="AL386" s="1"/>
      <c r="AM386" s="16">
        <f t="shared" si="55"/>
        <v>0</v>
      </c>
      <c r="AN386" s="156">
        <v>9</v>
      </c>
      <c r="AO386" s="1">
        <v>0</v>
      </c>
      <c r="AP386" s="1">
        <v>0</v>
      </c>
      <c r="AQ386" s="1"/>
      <c r="AR386" s="1"/>
      <c r="AS386" s="21">
        <f t="shared" si="65"/>
        <v>0</v>
      </c>
      <c r="AT386" s="1">
        <f t="shared" si="56"/>
        <v>0</v>
      </c>
      <c r="AU386" s="31"/>
      <c r="AV386" s="31"/>
      <c r="AW386" s="31"/>
      <c r="AX386" s="16">
        <f t="shared" si="64"/>
        <v>0</v>
      </c>
      <c r="AY386" s="156">
        <v>15.33</v>
      </c>
      <c r="AZ386" s="76"/>
      <c r="BA386" s="31"/>
      <c r="BB386" s="31"/>
      <c r="BC386" s="31"/>
      <c r="BD386" s="16">
        <f t="shared" si="57"/>
        <v>0</v>
      </c>
      <c r="BE386" s="31"/>
      <c r="BF386" s="31"/>
      <c r="BG386" s="31"/>
      <c r="BH386" s="31"/>
      <c r="BI386" s="16"/>
      <c r="BJ386" s="16"/>
      <c r="BK386" s="31"/>
      <c r="BL386" s="31"/>
      <c r="BM386" s="31"/>
      <c r="BN386" s="31"/>
      <c r="BO386" s="16"/>
      <c r="BP386" s="31"/>
      <c r="BQ386" s="31"/>
      <c r="BR386" s="31"/>
      <c r="BS386" s="31"/>
      <c r="BT386" s="16"/>
      <c r="BU386" s="16"/>
      <c r="BV386" s="16"/>
      <c r="BW386" s="16"/>
      <c r="BX386" s="16"/>
      <c r="BY386" s="16"/>
      <c r="BZ386" s="16"/>
      <c r="CA386" s="1"/>
      <c r="CB386" s="1"/>
      <c r="CC386" s="1"/>
    </row>
    <row r="387" spans="1:81" s="52" customFormat="1" ht="63" x14ac:dyDescent="0.25">
      <c r="A387" s="1">
        <v>4</v>
      </c>
      <c r="B387" s="13" t="s">
        <v>1749</v>
      </c>
      <c r="C387" s="572"/>
      <c r="D387" s="573"/>
      <c r="E387" s="10" t="s">
        <v>1247</v>
      </c>
      <c r="F387" s="13" t="s">
        <v>1329</v>
      </c>
      <c r="G387" s="568"/>
      <c r="H387" s="570"/>
      <c r="I387" s="10" t="s">
        <v>1309</v>
      </c>
      <c r="J387" s="13" t="s">
        <v>1873</v>
      </c>
      <c r="K387" s="568"/>
      <c r="L387" s="570"/>
      <c r="M387" s="10"/>
      <c r="N387" s="23" t="s">
        <v>1310</v>
      </c>
      <c r="O387" s="13" t="s">
        <v>1310</v>
      </c>
      <c r="P387" s="1">
        <v>0</v>
      </c>
      <c r="Q387" s="1">
        <v>46</v>
      </c>
      <c r="R387" s="1"/>
      <c r="S387" s="13" t="s">
        <v>1314</v>
      </c>
      <c r="T387" s="13" t="s">
        <v>1314</v>
      </c>
      <c r="U387" s="1">
        <v>0</v>
      </c>
      <c r="V387" s="1">
        <v>5</v>
      </c>
      <c r="W387" s="1" t="s">
        <v>49</v>
      </c>
      <c r="X387" s="1"/>
      <c r="Y387" s="1"/>
      <c r="Z387" s="1"/>
      <c r="AA387" s="24"/>
      <c r="AB387" s="10" t="s">
        <v>1312</v>
      </c>
      <c r="AC387" s="156">
        <v>1</v>
      </c>
      <c r="AD387" s="156">
        <v>1.6</v>
      </c>
      <c r="AE387" s="156"/>
      <c r="AF387" s="156"/>
      <c r="AG387" s="377">
        <f t="shared" si="58"/>
        <v>2.6</v>
      </c>
      <c r="AH387" s="377" t="b">
        <f t="shared" si="54"/>
        <v>0</v>
      </c>
      <c r="AI387" s="1">
        <v>0</v>
      </c>
      <c r="AJ387" s="1">
        <v>0</v>
      </c>
      <c r="AK387" s="1"/>
      <c r="AL387" s="1"/>
      <c r="AM387" s="16">
        <f t="shared" si="55"/>
        <v>0</v>
      </c>
      <c r="AN387" s="156">
        <v>1</v>
      </c>
      <c r="AO387" s="1">
        <v>0</v>
      </c>
      <c r="AP387" s="1">
        <v>0</v>
      </c>
      <c r="AQ387" s="1"/>
      <c r="AR387" s="1"/>
      <c r="AS387" s="21">
        <f t="shared" si="65"/>
        <v>0</v>
      </c>
      <c r="AT387" s="1">
        <f t="shared" si="56"/>
        <v>0.5</v>
      </c>
      <c r="AU387" s="31"/>
      <c r="AV387" s="31"/>
      <c r="AW387" s="31"/>
      <c r="AX387" s="16">
        <f t="shared" si="64"/>
        <v>0.1</v>
      </c>
      <c r="AY387" s="156">
        <v>1.6</v>
      </c>
      <c r="AZ387" s="76">
        <v>0.5</v>
      </c>
      <c r="BA387" s="31"/>
      <c r="BB387" s="31"/>
      <c r="BC387" s="31"/>
      <c r="BD387" s="16">
        <f t="shared" si="57"/>
        <v>0.3125</v>
      </c>
      <c r="BE387" s="31"/>
      <c r="BF387" s="31"/>
      <c r="BG387" s="31"/>
      <c r="BH387" s="31"/>
      <c r="BI387" s="16"/>
      <c r="BJ387" s="16"/>
      <c r="BK387" s="31"/>
      <c r="BL387" s="31"/>
      <c r="BM387" s="31"/>
      <c r="BN387" s="31"/>
      <c r="BO387" s="16"/>
      <c r="BP387" s="31"/>
      <c r="BQ387" s="31"/>
      <c r="BR387" s="31"/>
      <c r="BS387" s="31"/>
      <c r="BT387" s="16"/>
      <c r="BU387" s="16"/>
      <c r="BV387" s="16"/>
      <c r="BW387" s="16"/>
      <c r="BX387" s="16"/>
      <c r="BY387" s="16"/>
      <c r="BZ387" s="16"/>
      <c r="CA387" s="1"/>
      <c r="CB387" s="1"/>
      <c r="CC387" s="1"/>
    </row>
    <row r="388" spans="1:81" s="52" customFormat="1" ht="78.75" x14ac:dyDescent="0.25">
      <c r="A388" s="1">
        <v>4</v>
      </c>
      <c r="B388" s="13" t="s">
        <v>1749</v>
      </c>
      <c r="C388" s="572"/>
      <c r="D388" s="573"/>
      <c r="E388" s="10" t="s">
        <v>1315</v>
      </c>
      <c r="F388" s="13" t="s">
        <v>1817</v>
      </c>
      <c r="G388" s="567">
        <f>+AVERAGEIF(F14:F567,F388,AX14:AX567)</f>
        <v>3.5714285714285712E-2</v>
      </c>
      <c r="H388" s="569">
        <f>+AVERAGEIF(F14:F567,F388,BD14:BD567)</f>
        <v>0</v>
      </c>
      <c r="I388" s="10" t="s">
        <v>1316</v>
      </c>
      <c r="J388" s="13" t="s">
        <v>1874</v>
      </c>
      <c r="K388" s="567">
        <f>AVERAGE(AX388:AX394)</f>
        <v>3.5714285714285712E-2</v>
      </c>
      <c r="L388" s="569">
        <f>AVERAGE(BD388:BD394)</f>
        <v>0</v>
      </c>
      <c r="M388" s="23"/>
      <c r="N388" s="23" t="s">
        <v>1317</v>
      </c>
      <c r="O388" s="13" t="s">
        <v>1317</v>
      </c>
      <c r="P388" s="1">
        <v>0</v>
      </c>
      <c r="Q388" s="26">
        <v>0.12</v>
      </c>
      <c r="R388" s="14"/>
      <c r="S388" s="13" t="s">
        <v>1318</v>
      </c>
      <c r="T388" s="13" t="s">
        <v>1318</v>
      </c>
      <c r="U388" s="1">
        <v>0</v>
      </c>
      <c r="V388" s="1">
        <v>1</v>
      </c>
      <c r="W388" s="19" t="s">
        <v>49</v>
      </c>
      <c r="X388" s="1"/>
      <c r="Y388" s="10" t="s">
        <v>1319</v>
      </c>
      <c r="Z388" s="10" t="s">
        <v>1320</v>
      </c>
      <c r="AA388" s="13">
        <v>17</v>
      </c>
      <c r="AB388" s="10" t="s">
        <v>1321</v>
      </c>
      <c r="AC388" s="156"/>
      <c r="AD388" s="156">
        <v>1</v>
      </c>
      <c r="AE388" s="156"/>
      <c r="AF388" s="156"/>
      <c r="AG388" s="377">
        <f t="shared" si="58"/>
        <v>1</v>
      </c>
      <c r="AH388" s="377" t="b">
        <f t="shared" si="54"/>
        <v>1</v>
      </c>
      <c r="AI388" s="19">
        <v>0</v>
      </c>
      <c r="AJ388" s="19">
        <v>0</v>
      </c>
      <c r="AK388" s="19"/>
      <c r="AL388" s="19"/>
      <c r="AM388" s="16">
        <f t="shared" si="55"/>
        <v>0</v>
      </c>
      <c r="AN388" s="156"/>
      <c r="AO388" s="10"/>
      <c r="AP388" s="10"/>
      <c r="AQ388" s="10"/>
      <c r="AR388" s="10"/>
      <c r="AS388" s="21" t="s">
        <v>310</v>
      </c>
      <c r="AT388" s="1">
        <f t="shared" si="56"/>
        <v>0</v>
      </c>
      <c r="AU388" s="31"/>
      <c r="AV388" s="31"/>
      <c r="AW388" s="31"/>
      <c r="AX388" s="16">
        <f t="shared" si="64"/>
        <v>0</v>
      </c>
      <c r="AY388" s="156">
        <v>1</v>
      </c>
      <c r="AZ388" s="76">
        <v>0</v>
      </c>
      <c r="BA388" s="31"/>
      <c r="BB388" s="31"/>
      <c r="BC388" s="31"/>
      <c r="BD388" s="16">
        <f t="shared" si="57"/>
        <v>0</v>
      </c>
      <c r="BE388" s="31"/>
      <c r="BF388" s="31"/>
      <c r="BG388" s="31"/>
      <c r="BH388" s="31"/>
      <c r="BI388" s="16"/>
      <c r="BJ388" s="16"/>
      <c r="BK388" s="31"/>
      <c r="BL388" s="31"/>
      <c r="BM388" s="31"/>
      <c r="BN388" s="31"/>
      <c r="BO388" s="16"/>
      <c r="BP388" s="31"/>
      <c r="BQ388" s="31"/>
      <c r="BR388" s="31"/>
      <c r="BS388" s="31"/>
      <c r="BT388" s="16"/>
      <c r="BU388" s="16"/>
      <c r="BV388" s="16"/>
      <c r="BW388" s="16"/>
      <c r="BX388" s="16"/>
      <c r="BY388" s="16"/>
      <c r="BZ388" s="16"/>
      <c r="CA388" s="1"/>
      <c r="CB388" s="1"/>
      <c r="CC388" s="1"/>
    </row>
    <row r="389" spans="1:81" s="52" customFormat="1" ht="78.75" x14ac:dyDescent="0.25">
      <c r="A389" s="1">
        <v>4</v>
      </c>
      <c r="B389" s="13" t="s">
        <v>1749</v>
      </c>
      <c r="C389" s="572"/>
      <c r="D389" s="573"/>
      <c r="E389" s="10" t="s">
        <v>1315</v>
      </c>
      <c r="F389" s="13" t="s">
        <v>1817</v>
      </c>
      <c r="G389" s="572"/>
      <c r="H389" s="573"/>
      <c r="I389" s="10" t="s">
        <v>1316</v>
      </c>
      <c r="J389" s="13" t="s">
        <v>1874</v>
      </c>
      <c r="K389" s="572"/>
      <c r="L389" s="573"/>
      <c r="M389" s="23"/>
      <c r="N389" s="23" t="s">
        <v>1317</v>
      </c>
      <c r="O389" s="13" t="s">
        <v>1317</v>
      </c>
      <c r="P389" s="1">
        <v>0</v>
      </c>
      <c r="Q389" s="26">
        <v>0.12</v>
      </c>
      <c r="R389" s="14"/>
      <c r="S389" s="13" t="s">
        <v>1322</v>
      </c>
      <c r="T389" s="13" t="s">
        <v>1322</v>
      </c>
      <c r="U389" s="1">
        <v>0</v>
      </c>
      <c r="V389" s="1">
        <v>1</v>
      </c>
      <c r="W389" s="19" t="s">
        <v>49</v>
      </c>
      <c r="X389" s="1"/>
      <c r="Y389" s="10" t="s">
        <v>1319</v>
      </c>
      <c r="Z389" s="10" t="s">
        <v>1320</v>
      </c>
      <c r="AA389" s="13">
        <v>17</v>
      </c>
      <c r="AB389" s="19" t="s">
        <v>1321</v>
      </c>
      <c r="AC389" s="156"/>
      <c r="AD389" s="156">
        <v>1</v>
      </c>
      <c r="AE389" s="156"/>
      <c r="AF389" s="156"/>
      <c r="AG389" s="377">
        <f t="shared" si="58"/>
        <v>1</v>
      </c>
      <c r="AH389" s="377" t="b">
        <f t="shared" si="54"/>
        <v>1</v>
      </c>
      <c r="AI389" s="19"/>
      <c r="AJ389" s="19"/>
      <c r="AK389" s="19"/>
      <c r="AL389" s="19"/>
      <c r="AM389" s="16">
        <f t="shared" si="55"/>
        <v>0</v>
      </c>
      <c r="AN389" s="156"/>
      <c r="AO389" s="19"/>
      <c r="AP389" s="19"/>
      <c r="AQ389" s="19"/>
      <c r="AR389" s="19"/>
      <c r="AS389" s="21" t="s">
        <v>310</v>
      </c>
      <c r="AT389" s="1">
        <f t="shared" si="56"/>
        <v>0</v>
      </c>
      <c r="AU389" s="31"/>
      <c r="AV389" s="31"/>
      <c r="AW389" s="31"/>
      <c r="AX389" s="16">
        <f t="shared" si="64"/>
        <v>0</v>
      </c>
      <c r="AY389" s="156">
        <v>1</v>
      </c>
      <c r="AZ389" s="76">
        <v>0</v>
      </c>
      <c r="BA389" s="31"/>
      <c r="BB389" s="31"/>
      <c r="BC389" s="31"/>
      <c r="BD389" s="16">
        <f t="shared" si="57"/>
        <v>0</v>
      </c>
      <c r="BE389" s="31"/>
      <c r="BF389" s="31"/>
      <c r="BG389" s="31"/>
      <c r="BH389" s="31"/>
      <c r="BI389" s="16"/>
      <c r="BJ389" s="16"/>
      <c r="BK389" s="31"/>
      <c r="BL389" s="31"/>
      <c r="BM389" s="31"/>
      <c r="BN389" s="31"/>
      <c r="BO389" s="16"/>
      <c r="BP389" s="31"/>
      <c r="BQ389" s="31"/>
      <c r="BR389" s="31"/>
      <c r="BS389" s="31"/>
      <c r="BT389" s="16"/>
      <c r="BU389" s="16"/>
      <c r="BV389" s="16"/>
      <c r="BW389" s="16"/>
      <c r="BX389" s="16"/>
      <c r="BY389" s="16"/>
      <c r="BZ389" s="16"/>
      <c r="CA389" s="1"/>
      <c r="CB389" s="1"/>
      <c r="CC389" s="1"/>
    </row>
    <row r="390" spans="1:81" s="52" customFormat="1" ht="78" customHeight="1" x14ac:dyDescent="0.25">
      <c r="A390" s="1">
        <v>4</v>
      </c>
      <c r="B390" s="13" t="s">
        <v>1749</v>
      </c>
      <c r="C390" s="572"/>
      <c r="D390" s="573"/>
      <c r="E390" s="10" t="s">
        <v>1315</v>
      </c>
      <c r="F390" s="13" t="s">
        <v>1817</v>
      </c>
      <c r="G390" s="572"/>
      <c r="H390" s="573"/>
      <c r="I390" s="10" t="s">
        <v>1316</v>
      </c>
      <c r="J390" s="13" t="s">
        <v>1874</v>
      </c>
      <c r="K390" s="572"/>
      <c r="L390" s="573"/>
      <c r="M390" s="23"/>
      <c r="N390" s="23" t="s">
        <v>1317</v>
      </c>
      <c r="O390" s="13" t="s">
        <v>1317</v>
      </c>
      <c r="P390" s="1">
        <v>0</v>
      </c>
      <c r="Q390" s="26">
        <v>0.12</v>
      </c>
      <c r="R390" s="14"/>
      <c r="S390" s="13" t="s">
        <v>1323</v>
      </c>
      <c r="T390" s="13" t="s">
        <v>1323</v>
      </c>
      <c r="U390" s="1">
        <v>0</v>
      </c>
      <c r="V390" s="1">
        <v>1</v>
      </c>
      <c r="W390" s="19" t="s">
        <v>49</v>
      </c>
      <c r="X390" s="1"/>
      <c r="Y390" s="10" t="s">
        <v>1319</v>
      </c>
      <c r="Z390" s="10" t="s">
        <v>1320</v>
      </c>
      <c r="AA390" s="13">
        <v>17</v>
      </c>
      <c r="AB390" s="19" t="s">
        <v>1321</v>
      </c>
      <c r="AC390" s="156"/>
      <c r="AD390" s="156">
        <v>1</v>
      </c>
      <c r="AE390" s="156"/>
      <c r="AF390" s="156"/>
      <c r="AG390" s="377">
        <f t="shared" si="58"/>
        <v>1</v>
      </c>
      <c r="AH390" s="377" t="b">
        <f t="shared" si="54"/>
        <v>1</v>
      </c>
      <c r="AI390" s="19"/>
      <c r="AJ390" s="19"/>
      <c r="AK390" s="19"/>
      <c r="AL390" s="19"/>
      <c r="AM390" s="16">
        <f t="shared" si="55"/>
        <v>0</v>
      </c>
      <c r="AN390" s="156"/>
      <c r="AO390" s="19"/>
      <c r="AP390" s="19"/>
      <c r="AQ390" s="19"/>
      <c r="AR390" s="19"/>
      <c r="AS390" s="21" t="s">
        <v>310</v>
      </c>
      <c r="AT390" s="1">
        <f t="shared" si="56"/>
        <v>0</v>
      </c>
      <c r="AU390" s="31"/>
      <c r="AV390" s="31"/>
      <c r="AW390" s="31"/>
      <c r="AX390" s="16">
        <f t="shared" si="64"/>
        <v>0</v>
      </c>
      <c r="AY390" s="156">
        <v>1</v>
      </c>
      <c r="AZ390" s="76">
        <v>0</v>
      </c>
      <c r="BA390" s="31"/>
      <c r="BB390" s="31"/>
      <c r="BC390" s="31"/>
      <c r="BD390" s="16">
        <f t="shared" si="57"/>
        <v>0</v>
      </c>
      <c r="BE390" s="31"/>
      <c r="BF390" s="31"/>
      <c r="BG390" s="31"/>
      <c r="BH390" s="31"/>
      <c r="BI390" s="16"/>
      <c r="BJ390" s="16"/>
      <c r="BK390" s="31"/>
      <c r="BL390" s="31"/>
      <c r="BM390" s="31"/>
      <c r="BN390" s="31"/>
      <c r="BO390" s="16"/>
      <c r="BP390" s="31"/>
      <c r="BQ390" s="31"/>
      <c r="BR390" s="31"/>
      <c r="BS390" s="31"/>
      <c r="BT390" s="16"/>
      <c r="BU390" s="16"/>
      <c r="BV390" s="16"/>
      <c r="BW390" s="16"/>
      <c r="BX390" s="16"/>
      <c r="BY390" s="16"/>
      <c r="BZ390" s="16"/>
      <c r="CA390" s="1"/>
      <c r="CB390" s="1"/>
      <c r="CC390" s="1"/>
    </row>
    <row r="391" spans="1:81" s="52" customFormat="1" ht="78.75" x14ac:dyDescent="0.25">
      <c r="A391" s="1">
        <v>4</v>
      </c>
      <c r="B391" s="13" t="s">
        <v>1749</v>
      </c>
      <c r="C391" s="572"/>
      <c r="D391" s="573"/>
      <c r="E391" s="10" t="s">
        <v>1315</v>
      </c>
      <c r="F391" s="13" t="s">
        <v>1817</v>
      </c>
      <c r="G391" s="572"/>
      <c r="H391" s="573"/>
      <c r="I391" s="10" t="s">
        <v>1316</v>
      </c>
      <c r="J391" s="13" t="s">
        <v>1874</v>
      </c>
      <c r="K391" s="572"/>
      <c r="L391" s="573"/>
      <c r="M391" s="23"/>
      <c r="N391" s="23" t="s">
        <v>1317</v>
      </c>
      <c r="O391" s="13" t="s">
        <v>1317</v>
      </c>
      <c r="P391" s="1">
        <v>0</v>
      </c>
      <c r="Q391" s="26">
        <v>0.12</v>
      </c>
      <c r="R391" s="14"/>
      <c r="S391" s="13" t="s">
        <v>1324</v>
      </c>
      <c r="T391" s="13" t="s">
        <v>1324</v>
      </c>
      <c r="U391" s="1">
        <v>0</v>
      </c>
      <c r="V391" s="1">
        <v>1</v>
      </c>
      <c r="W391" s="19" t="s">
        <v>49</v>
      </c>
      <c r="X391" s="1"/>
      <c r="Y391" s="10" t="s">
        <v>1319</v>
      </c>
      <c r="Z391" s="10">
        <v>99</v>
      </c>
      <c r="AA391" s="13">
        <v>17</v>
      </c>
      <c r="AB391" s="19" t="s">
        <v>1321</v>
      </c>
      <c r="AC391" s="404">
        <v>0.25</v>
      </c>
      <c r="AD391" s="156">
        <v>0.25</v>
      </c>
      <c r="AE391" s="404">
        <v>0.25</v>
      </c>
      <c r="AF391" s="404">
        <v>0.25</v>
      </c>
      <c r="AG391" s="377">
        <f t="shared" si="58"/>
        <v>1</v>
      </c>
      <c r="AH391" s="377" t="b">
        <f t="shared" si="54"/>
        <v>1</v>
      </c>
      <c r="AI391" s="19"/>
      <c r="AJ391" s="19"/>
      <c r="AK391" s="19"/>
      <c r="AL391" s="19"/>
      <c r="AM391" s="16">
        <f t="shared" si="55"/>
        <v>0</v>
      </c>
      <c r="AN391" s="160">
        <v>0.25</v>
      </c>
      <c r="AO391" s="33"/>
      <c r="AP391" s="33"/>
      <c r="AQ391" s="356"/>
      <c r="AR391" s="33"/>
      <c r="AS391" s="21">
        <f t="shared" si="65"/>
        <v>0</v>
      </c>
      <c r="AT391" s="1">
        <f t="shared" si="56"/>
        <v>0</v>
      </c>
      <c r="AU391" s="31"/>
      <c r="AV391" s="31"/>
      <c r="AW391" s="31"/>
      <c r="AX391" s="16">
        <f t="shared" si="64"/>
        <v>0</v>
      </c>
      <c r="AY391" s="156">
        <v>0.25</v>
      </c>
      <c r="AZ391" s="76">
        <v>0</v>
      </c>
      <c r="BA391" s="31"/>
      <c r="BB391" s="31"/>
      <c r="BC391" s="31"/>
      <c r="BD391" s="16">
        <f t="shared" si="57"/>
        <v>0</v>
      </c>
      <c r="BE391" s="31"/>
      <c r="BF391" s="31"/>
      <c r="BG391" s="31"/>
      <c r="BH391" s="31"/>
      <c r="BI391" s="16"/>
      <c r="BJ391" s="16"/>
      <c r="BK391" s="31"/>
      <c r="BL391" s="31"/>
      <c r="BM391" s="31"/>
      <c r="BN391" s="31"/>
      <c r="BO391" s="16"/>
      <c r="BP391" s="31"/>
      <c r="BQ391" s="31"/>
      <c r="BR391" s="31"/>
      <c r="BS391" s="31"/>
      <c r="BT391" s="16"/>
      <c r="BU391" s="16"/>
      <c r="BV391" s="16"/>
      <c r="BW391" s="16"/>
      <c r="BX391" s="16"/>
      <c r="BY391" s="16"/>
      <c r="BZ391" s="16"/>
      <c r="CA391" s="1"/>
      <c r="CB391" s="1"/>
      <c r="CC391" s="1"/>
    </row>
    <row r="392" spans="1:81" s="52" customFormat="1" ht="78.75" x14ac:dyDescent="0.25">
      <c r="A392" s="1">
        <v>4</v>
      </c>
      <c r="B392" s="13" t="s">
        <v>1749</v>
      </c>
      <c r="C392" s="572"/>
      <c r="D392" s="573"/>
      <c r="E392" s="10" t="s">
        <v>1315</v>
      </c>
      <c r="F392" s="13" t="s">
        <v>1817</v>
      </c>
      <c r="G392" s="572"/>
      <c r="H392" s="573"/>
      <c r="I392" s="10" t="s">
        <v>1316</v>
      </c>
      <c r="J392" s="13" t="s">
        <v>1874</v>
      </c>
      <c r="K392" s="572"/>
      <c r="L392" s="573"/>
      <c r="M392" s="23"/>
      <c r="N392" s="23" t="s">
        <v>1317</v>
      </c>
      <c r="O392" s="13" t="s">
        <v>1317</v>
      </c>
      <c r="P392" s="1">
        <v>0</v>
      </c>
      <c r="Q392" s="26">
        <v>0.12</v>
      </c>
      <c r="R392" s="14"/>
      <c r="S392" s="13" t="s">
        <v>1325</v>
      </c>
      <c r="T392" s="13" t="s">
        <v>1325</v>
      </c>
      <c r="U392" s="1">
        <v>0</v>
      </c>
      <c r="V392" s="1">
        <v>1</v>
      </c>
      <c r="W392" s="19" t="s">
        <v>49</v>
      </c>
      <c r="X392" s="1"/>
      <c r="Y392" s="10" t="s">
        <v>1319</v>
      </c>
      <c r="Z392" s="10">
        <v>99</v>
      </c>
      <c r="AA392" s="13">
        <v>17</v>
      </c>
      <c r="AB392" s="19" t="s">
        <v>1321</v>
      </c>
      <c r="AC392" s="156"/>
      <c r="AD392" s="156">
        <v>0.5</v>
      </c>
      <c r="AE392" s="156">
        <v>0.5</v>
      </c>
      <c r="AF392" s="156"/>
      <c r="AG392" s="377">
        <f t="shared" si="58"/>
        <v>1</v>
      </c>
      <c r="AH392" s="377" t="b">
        <f t="shared" si="54"/>
        <v>1</v>
      </c>
      <c r="AI392" s="19"/>
      <c r="AJ392" s="19"/>
      <c r="AK392" s="19"/>
      <c r="AL392" s="19"/>
      <c r="AM392" s="16">
        <f t="shared" si="55"/>
        <v>0</v>
      </c>
      <c r="AN392" s="156"/>
      <c r="AO392" s="19"/>
      <c r="AP392" s="19"/>
      <c r="AQ392" s="19"/>
      <c r="AR392" s="19"/>
      <c r="AS392" s="21" t="s">
        <v>310</v>
      </c>
      <c r="AT392" s="1">
        <f t="shared" si="56"/>
        <v>0</v>
      </c>
      <c r="AU392" s="31"/>
      <c r="AV392" s="31"/>
      <c r="AW392" s="31"/>
      <c r="AX392" s="16">
        <f t="shared" si="64"/>
        <v>0</v>
      </c>
      <c r="AY392" s="156">
        <v>0.5</v>
      </c>
      <c r="AZ392" s="76">
        <v>0</v>
      </c>
      <c r="BA392" s="31"/>
      <c r="BB392" s="31"/>
      <c r="BC392" s="31"/>
      <c r="BD392" s="16">
        <f t="shared" si="57"/>
        <v>0</v>
      </c>
      <c r="BE392" s="31"/>
      <c r="BF392" s="31"/>
      <c r="BG392" s="31"/>
      <c r="BH392" s="31"/>
      <c r="BI392" s="16"/>
      <c r="BJ392" s="16"/>
      <c r="BK392" s="31"/>
      <c r="BL392" s="31"/>
      <c r="BM392" s="31"/>
      <c r="BN392" s="31"/>
      <c r="BO392" s="16"/>
      <c r="BP392" s="31"/>
      <c r="BQ392" s="31"/>
      <c r="BR392" s="31"/>
      <c r="BS392" s="31"/>
      <c r="BT392" s="16"/>
      <c r="BU392" s="16"/>
      <c r="BV392" s="16"/>
      <c r="BW392" s="16"/>
      <c r="BX392" s="16"/>
      <c r="BY392" s="16"/>
      <c r="BZ392" s="16"/>
      <c r="CA392" s="1"/>
      <c r="CB392" s="1"/>
      <c r="CC392" s="1"/>
    </row>
    <row r="393" spans="1:81" s="52" customFormat="1" ht="99.75" customHeight="1" x14ac:dyDescent="0.25">
      <c r="A393" s="1">
        <v>4</v>
      </c>
      <c r="B393" s="13" t="s">
        <v>1749</v>
      </c>
      <c r="C393" s="572"/>
      <c r="D393" s="573"/>
      <c r="E393" s="10" t="s">
        <v>1315</v>
      </c>
      <c r="F393" s="13" t="s">
        <v>1817</v>
      </c>
      <c r="G393" s="572"/>
      <c r="H393" s="573"/>
      <c r="I393" s="10" t="s">
        <v>1316</v>
      </c>
      <c r="J393" s="13" t="s">
        <v>1874</v>
      </c>
      <c r="K393" s="572"/>
      <c r="L393" s="573"/>
      <c r="M393" s="23"/>
      <c r="N393" s="23" t="s">
        <v>1317</v>
      </c>
      <c r="O393" s="13" t="s">
        <v>1317</v>
      </c>
      <c r="P393" s="1">
        <v>0</v>
      </c>
      <c r="Q393" s="26">
        <v>0.12</v>
      </c>
      <c r="R393" s="14"/>
      <c r="S393" s="13" t="s">
        <v>1326</v>
      </c>
      <c r="T393" s="13" t="s">
        <v>1326</v>
      </c>
      <c r="U393" s="1">
        <v>0</v>
      </c>
      <c r="V393" s="1">
        <v>4</v>
      </c>
      <c r="W393" s="19" t="s">
        <v>49</v>
      </c>
      <c r="X393" s="1"/>
      <c r="Y393" s="10" t="s">
        <v>1319</v>
      </c>
      <c r="Z393" s="10">
        <v>99</v>
      </c>
      <c r="AA393" s="13">
        <v>17</v>
      </c>
      <c r="AB393" s="19" t="s">
        <v>1321</v>
      </c>
      <c r="AC393" s="156">
        <v>1</v>
      </c>
      <c r="AD393" s="156">
        <v>1</v>
      </c>
      <c r="AE393" s="156">
        <v>1</v>
      </c>
      <c r="AF393" s="156">
        <v>1</v>
      </c>
      <c r="AG393" s="377">
        <f t="shared" si="58"/>
        <v>4</v>
      </c>
      <c r="AH393" s="377" t="b">
        <f t="shared" si="54"/>
        <v>1</v>
      </c>
      <c r="AI393" s="19">
        <v>1</v>
      </c>
      <c r="AJ393" s="19">
        <v>1</v>
      </c>
      <c r="AK393" s="19">
        <v>1</v>
      </c>
      <c r="AL393" s="19">
        <v>1</v>
      </c>
      <c r="AM393" s="16">
        <f t="shared" si="55"/>
        <v>0.25</v>
      </c>
      <c r="AN393" s="156">
        <v>1</v>
      </c>
      <c r="AO393" s="19">
        <v>1</v>
      </c>
      <c r="AP393" s="19">
        <v>1</v>
      </c>
      <c r="AQ393" s="19"/>
      <c r="AR393" s="19">
        <f>AL393</f>
        <v>1</v>
      </c>
      <c r="AS393" s="21">
        <f>IFERROR(+AR393/AN393,0)</f>
        <v>1</v>
      </c>
      <c r="AT393" s="1">
        <f t="shared" si="56"/>
        <v>1</v>
      </c>
      <c r="AU393" s="31"/>
      <c r="AV393" s="31"/>
      <c r="AW393" s="31"/>
      <c r="AX393" s="16">
        <f t="shared" si="64"/>
        <v>0.25</v>
      </c>
      <c r="AY393" s="156">
        <v>1</v>
      </c>
      <c r="AZ393" s="76">
        <v>0</v>
      </c>
      <c r="BA393" s="31"/>
      <c r="BB393" s="31"/>
      <c r="BC393" s="31"/>
      <c r="BD393" s="16">
        <f t="shared" si="57"/>
        <v>0</v>
      </c>
      <c r="BE393" s="31"/>
      <c r="BF393" s="31"/>
      <c r="BG393" s="31"/>
      <c r="BH393" s="31"/>
      <c r="BI393" s="16"/>
      <c r="BJ393" s="16"/>
      <c r="BK393" s="31"/>
      <c r="BL393" s="31"/>
      <c r="BM393" s="31"/>
      <c r="BN393" s="31"/>
      <c r="BO393" s="16"/>
      <c r="BP393" s="31"/>
      <c r="BQ393" s="31"/>
      <c r="BR393" s="31"/>
      <c r="BS393" s="31"/>
      <c r="BT393" s="16"/>
      <c r="BU393" s="16"/>
      <c r="BV393" s="16"/>
      <c r="BW393" s="16"/>
      <c r="BX393" s="16"/>
      <c r="BY393" s="16"/>
      <c r="BZ393" s="16"/>
      <c r="CA393" s="1"/>
      <c r="CB393" s="1"/>
      <c r="CC393" s="1"/>
    </row>
    <row r="394" spans="1:81" s="52" customFormat="1" ht="96.75" customHeight="1" x14ac:dyDescent="0.25">
      <c r="A394" s="1">
        <v>4</v>
      </c>
      <c r="B394" s="13" t="s">
        <v>1749</v>
      </c>
      <c r="C394" s="572"/>
      <c r="D394" s="573"/>
      <c r="E394" s="10" t="s">
        <v>1315</v>
      </c>
      <c r="F394" s="13" t="s">
        <v>1817</v>
      </c>
      <c r="G394" s="568"/>
      <c r="H394" s="570"/>
      <c r="I394" s="10" t="s">
        <v>1316</v>
      </c>
      <c r="J394" s="13" t="s">
        <v>1874</v>
      </c>
      <c r="K394" s="568"/>
      <c r="L394" s="570"/>
      <c r="M394" s="23"/>
      <c r="N394" s="23" t="s">
        <v>1317</v>
      </c>
      <c r="O394" s="13" t="s">
        <v>1317</v>
      </c>
      <c r="P394" s="1">
        <v>0</v>
      </c>
      <c r="Q394" s="26">
        <v>0.12</v>
      </c>
      <c r="R394" s="14"/>
      <c r="S394" s="13" t="s">
        <v>1327</v>
      </c>
      <c r="T394" s="13" t="s">
        <v>1327</v>
      </c>
      <c r="U394" s="1">
        <v>0</v>
      </c>
      <c r="V394" s="1">
        <v>46</v>
      </c>
      <c r="W394" s="19" t="s">
        <v>49</v>
      </c>
      <c r="X394" s="1"/>
      <c r="Y394" s="10" t="s">
        <v>1319</v>
      </c>
      <c r="Z394" s="10">
        <v>99</v>
      </c>
      <c r="AA394" s="13">
        <v>17</v>
      </c>
      <c r="AB394" s="19" t="s">
        <v>1321</v>
      </c>
      <c r="AC394" s="156"/>
      <c r="AD394" s="156">
        <v>23</v>
      </c>
      <c r="AE394" s="156">
        <v>23</v>
      </c>
      <c r="AF394" s="156"/>
      <c r="AG394" s="377">
        <f t="shared" si="58"/>
        <v>46</v>
      </c>
      <c r="AH394" s="377" t="b">
        <f t="shared" ref="AH394:AH456" si="66">V394=AG394</f>
        <v>1</v>
      </c>
      <c r="AI394" s="19"/>
      <c r="AJ394" s="19"/>
      <c r="AK394" s="19"/>
      <c r="AL394" s="19"/>
      <c r="AM394" s="16">
        <f t="shared" ref="AM394:AM456" si="67">+AL394/V394</f>
        <v>0</v>
      </c>
      <c r="AN394" s="156"/>
      <c r="AO394" s="19"/>
      <c r="AP394" s="19"/>
      <c r="AQ394" s="19"/>
      <c r="AR394" s="19"/>
      <c r="AS394" s="21" t="s">
        <v>310</v>
      </c>
      <c r="AT394" s="1">
        <f t="shared" si="56"/>
        <v>0</v>
      </c>
      <c r="AU394" s="31"/>
      <c r="AV394" s="31"/>
      <c r="AW394" s="31"/>
      <c r="AX394" s="16">
        <f t="shared" si="64"/>
        <v>0</v>
      </c>
      <c r="AY394" s="156">
        <v>23</v>
      </c>
      <c r="AZ394" s="76">
        <v>0</v>
      </c>
      <c r="BA394" s="31"/>
      <c r="BB394" s="31"/>
      <c r="BC394" s="31"/>
      <c r="BD394" s="16">
        <f t="shared" si="57"/>
        <v>0</v>
      </c>
      <c r="BE394" s="31"/>
      <c r="BF394" s="31"/>
      <c r="BG394" s="31"/>
      <c r="BH394" s="31"/>
      <c r="BI394" s="16"/>
      <c r="BJ394" s="16"/>
      <c r="BK394" s="31"/>
      <c r="BL394" s="31"/>
      <c r="BM394" s="31"/>
      <c r="BN394" s="31"/>
      <c r="BO394" s="16"/>
      <c r="BP394" s="31"/>
      <c r="BQ394" s="31"/>
      <c r="BR394" s="31"/>
      <c r="BS394" s="31"/>
      <c r="BT394" s="16"/>
      <c r="BU394" s="16"/>
      <c r="BV394" s="16"/>
      <c r="BW394" s="16"/>
      <c r="BX394" s="16"/>
      <c r="BY394" s="16"/>
      <c r="BZ394" s="16"/>
      <c r="CA394" s="1"/>
      <c r="CB394" s="1"/>
      <c r="CC394" s="1"/>
    </row>
    <row r="395" spans="1:81" s="52" customFormat="1" ht="47.65" customHeight="1" x14ac:dyDescent="0.25">
      <c r="A395" s="1">
        <v>4</v>
      </c>
      <c r="B395" s="13" t="s">
        <v>1749</v>
      </c>
      <c r="C395" s="572"/>
      <c r="D395" s="573"/>
      <c r="E395" s="10" t="s">
        <v>1328</v>
      </c>
      <c r="F395" s="56" t="s">
        <v>1329</v>
      </c>
      <c r="G395" s="582">
        <f>+AVERAGEIF(F14:F567,F395,AX14:AX567)</f>
        <v>0.3753626777319114</v>
      </c>
      <c r="H395" s="585">
        <f>+AVERAGEIF(F14:F567,F395,BD14:BD567)</f>
        <v>0.1006851851851852</v>
      </c>
      <c r="I395" s="43" t="s">
        <v>1330</v>
      </c>
      <c r="J395" s="56" t="s">
        <v>1875</v>
      </c>
      <c r="K395" s="582">
        <f>AVERAGE(AX395:AX398)</f>
        <v>0.140625</v>
      </c>
      <c r="L395" s="585">
        <f>AVERAGE(BD395:BD398)</f>
        <v>0.05</v>
      </c>
      <c r="M395" s="44"/>
      <c r="N395" s="42" t="s">
        <v>1331</v>
      </c>
      <c r="O395" s="42" t="s">
        <v>1331</v>
      </c>
      <c r="P395" s="43">
        <v>0</v>
      </c>
      <c r="Q395" s="43">
        <v>50</v>
      </c>
      <c r="R395" s="44"/>
      <c r="S395" s="42" t="s">
        <v>1332</v>
      </c>
      <c r="T395" s="42" t="s">
        <v>1332</v>
      </c>
      <c r="U395" s="43">
        <v>0</v>
      </c>
      <c r="V395" s="43">
        <v>1</v>
      </c>
      <c r="W395" s="43" t="s">
        <v>412</v>
      </c>
      <c r="X395" s="42" t="s">
        <v>1212</v>
      </c>
      <c r="Y395" s="43">
        <v>45</v>
      </c>
      <c r="Z395" s="43"/>
      <c r="AA395" s="56" t="s">
        <v>1333</v>
      </c>
      <c r="AB395" s="10" t="s">
        <v>1333</v>
      </c>
      <c r="AC395" s="166"/>
      <c r="AD395" s="156">
        <v>1</v>
      </c>
      <c r="AE395" s="156"/>
      <c r="AF395" s="156"/>
      <c r="AG395" s="377">
        <f t="shared" si="58"/>
        <v>1</v>
      </c>
      <c r="AH395" s="377" t="b">
        <f t="shared" si="66"/>
        <v>1</v>
      </c>
      <c r="AI395" s="43"/>
      <c r="AJ395" s="43"/>
      <c r="AK395" s="43"/>
      <c r="AL395" s="43"/>
      <c r="AM395" s="16">
        <f t="shared" si="67"/>
        <v>0</v>
      </c>
      <c r="AN395" s="166"/>
      <c r="AO395" s="43"/>
      <c r="AP395" s="107"/>
      <c r="AQ395" s="107"/>
      <c r="AR395" s="107"/>
      <c r="AS395" s="21" t="s">
        <v>310</v>
      </c>
      <c r="AT395" s="1">
        <f t="shared" si="56"/>
        <v>0</v>
      </c>
      <c r="AU395" s="31"/>
      <c r="AV395" s="31"/>
      <c r="AW395" s="31"/>
      <c r="AX395" s="16">
        <f t="shared" si="64"/>
        <v>0</v>
      </c>
      <c r="AY395" s="156">
        <v>1</v>
      </c>
      <c r="AZ395" s="76">
        <v>0</v>
      </c>
      <c r="BA395" s="31"/>
      <c r="BB395" s="31"/>
      <c r="BC395" s="31"/>
      <c r="BD395" s="16">
        <f t="shared" si="57"/>
        <v>0</v>
      </c>
      <c r="BE395" s="31"/>
      <c r="BF395" s="31"/>
      <c r="BG395" s="31"/>
      <c r="BH395" s="31"/>
      <c r="BI395" s="16"/>
      <c r="BJ395" s="16"/>
      <c r="BK395" s="31"/>
      <c r="BL395" s="31"/>
      <c r="BM395" s="31"/>
      <c r="BN395" s="31"/>
      <c r="BO395" s="16"/>
      <c r="BP395" s="31"/>
      <c r="BQ395" s="31"/>
      <c r="BR395" s="31"/>
      <c r="BS395" s="31"/>
      <c r="BT395" s="16"/>
      <c r="BU395" s="16"/>
      <c r="BV395" s="16"/>
      <c r="BW395" s="16"/>
      <c r="BX395" s="16"/>
      <c r="BY395" s="16"/>
      <c r="BZ395" s="16"/>
      <c r="CA395" s="43"/>
      <c r="CB395" s="43"/>
      <c r="CC395" s="43"/>
    </row>
    <row r="396" spans="1:81" s="52" customFormat="1" ht="56.65" customHeight="1" x14ac:dyDescent="0.25">
      <c r="A396" s="1">
        <v>4</v>
      </c>
      <c r="B396" s="13" t="s">
        <v>1749</v>
      </c>
      <c r="C396" s="572"/>
      <c r="D396" s="573"/>
      <c r="E396" s="10" t="s">
        <v>1328</v>
      </c>
      <c r="F396" s="56" t="s">
        <v>1329</v>
      </c>
      <c r="G396" s="583"/>
      <c r="H396" s="586"/>
      <c r="I396" s="43" t="s">
        <v>1330</v>
      </c>
      <c r="J396" s="56" t="s">
        <v>1875</v>
      </c>
      <c r="K396" s="583"/>
      <c r="L396" s="586"/>
      <c r="M396" s="44"/>
      <c r="N396" s="42" t="s">
        <v>1331</v>
      </c>
      <c r="O396" s="42" t="s">
        <v>1331</v>
      </c>
      <c r="P396" s="43">
        <v>0</v>
      </c>
      <c r="Q396" s="43">
        <v>50</v>
      </c>
      <c r="R396" s="44"/>
      <c r="S396" s="42" t="s">
        <v>1334</v>
      </c>
      <c r="T396" s="42" t="s">
        <v>1334</v>
      </c>
      <c r="U396" s="43">
        <v>100</v>
      </c>
      <c r="V396" s="43">
        <v>100</v>
      </c>
      <c r="W396" s="43" t="s">
        <v>1335</v>
      </c>
      <c r="X396" s="42" t="s">
        <v>1212</v>
      </c>
      <c r="Y396" s="43">
        <v>45</v>
      </c>
      <c r="Z396" s="43"/>
      <c r="AA396" s="56" t="s">
        <v>1336</v>
      </c>
      <c r="AB396" s="10" t="s">
        <v>1333</v>
      </c>
      <c r="AC396" s="166"/>
      <c r="AD396" s="156">
        <v>30</v>
      </c>
      <c r="AE396" s="371">
        <v>40</v>
      </c>
      <c r="AF396" s="371">
        <v>100</v>
      </c>
      <c r="AG396" s="377">
        <f t="shared" si="58"/>
        <v>170</v>
      </c>
      <c r="AH396" s="377" t="b">
        <f t="shared" si="66"/>
        <v>0</v>
      </c>
      <c r="AI396" s="43"/>
      <c r="AJ396" s="43"/>
      <c r="AK396" s="43"/>
      <c r="AL396" s="43"/>
      <c r="AM396" s="16">
        <f t="shared" si="67"/>
        <v>0</v>
      </c>
      <c r="AN396" s="166"/>
      <c r="AO396" s="43"/>
      <c r="AP396" s="107"/>
      <c r="AQ396" s="107"/>
      <c r="AR396" s="107"/>
      <c r="AS396" s="21" t="s">
        <v>310</v>
      </c>
      <c r="AT396" s="1">
        <f t="shared" si="56"/>
        <v>0</v>
      </c>
      <c r="AU396" s="31"/>
      <c r="AV396" s="31"/>
      <c r="AW396" s="31"/>
      <c r="AX396" s="16">
        <f t="shared" si="64"/>
        <v>0</v>
      </c>
      <c r="AY396" s="156">
        <v>30</v>
      </c>
      <c r="AZ396" s="76">
        <v>0</v>
      </c>
      <c r="BA396" s="31"/>
      <c r="BB396" s="31"/>
      <c r="BC396" s="31"/>
      <c r="BD396" s="16">
        <f t="shared" si="57"/>
        <v>0</v>
      </c>
      <c r="BE396" s="31"/>
      <c r="BF396" s="31"/>
      <c r="BG396" s="31"/>
      <c r="BH396" s="31"/>
      <c r="BI396" s="16"/>
      <c r="BJ396" s="16"/>
      <c r="BK396" s="31"/>
      <c r="BL396" s="31"/>
      <c r="BM396" s="31"/>
      <c r="BN396" s="31"/>
      <c r="BO396" s="16"/>
      <c r="BP396" s="31"/>
      <c r="BQ396" s="31"/>
      <c r="BR396" s="31"/>
      <c r="BS396" s="31"/>
      <c r="BT396" s="16"/>
      <c r="BU396" s="16"/>
      <c r="BV396" s="16"/>
      <c r="BW396" s="16"/>
      <c r="BX396" s="16"/>
      <c r="BY396" s="16"/>
      <c r="BZ396" s="16"/>
      <c r="CA396" s="43"/>
      <c r="CB396" s="43"/>
      <c r="CC396" s="43"/>
    </row>
    <row r="397" spans="1:81" s="52" customFormat="1" ht="65.650000000000006" customHeight="1" x14ac:dyDescent="0.25">
      <c r="A397" s="1">
        <v>4</v>
      </c>
      <c r="B397" s="13" t="s">
        <v>1749</v>
      </c>
      <c r="C397" s="572"/>
      <c r="D397" s="573"/>
      <c r="E397" s="10" t="s">
        <v>1328</v>
      </c>
      <c r="F397" s="56" t="s">
        <v>1329</v>
      </c>
      <c r="G397" s="583"/>
      <c r="H397" s="586"/>
      <c r="I397" s="43" t="s">
        <v>1330</v>
      </c>
      <c r="J397" s="56" t="s">
        <v>1875</v>
      </c>
      <c r="K397" s="583"/>
      <c r="L397" s="586"/>
      <c r="M397" s="44"/>
      <c r="N397" s="42" t="s">
        <v>1331</v>
      </c>
      <c r="O397" s="42" t="s">
        <v>1331</v>
      </c>
      <c r="P397" s="43">
        <v>0</v>
      </c>
      <c r="Q397" s="43">
        <v>50</v>
      </c>
      <c r="R397" s="44"/>
      <c r="S397" s="42" t="s">
        <v>1337</v>
      </c>
      <c r="T397" s="42" t="s">
        <v>1337</v>
      </c>
      <c r="U397" s="43">
        <v>50</v>
      </c>
      <c r="V397" s="43">
        <v>80</v>
      </c>
      <c r="W397" s="43" t="s">
        <v>412</v>
      </c>
      <c r="X397" s="42" t="s">
        <v>1212</v>
      </c>
      <c r="Y397" s="43">
        <v>45</v>
      </c>
      <c r="Z397" s="43"/>
      <c r="AA397" s="56" t="s">
        <v>1333</v>
      </c>
      <c r="AB397" s="10" t="s">
        <v>1333</v>
      </c>
      <c r="AC397" s="166">
        <v>10</v>
      </c>
      <c r="AD397" s="156">
        <v>25</v>
      </c>
      <c r="AE397" s="156">
        <v>25</v>
      </c>
      <c r="AF397" s="156">
        <v>20</v>
      </c>
      <c r="AG397" s="377">
        <f t="shared" si="58"/>
        <v>80</v>
      </c>
      <c r="AH397" s="377" t="b">
        <f t="shared" si="66"/>
        <v>1</v>
      </c>
      <c r="AI397" s="43" t="s">
        <v>1759</v>
      </c>
      <c r="AJ397" s="43">
        <v>0</v>
      </c>
      <c r="AK397" s="43">
        <v>10</v>
      </c>
      <c r="AL397" s="340">
        <v>20</v>
      </c>
      <c r="AM397" s="16">
        <f t="shared" si="67"/>
        <v>0.25</v>
      </c>
      <c r="AN397" s="166">
        <v>10</v>
      </c>
      <c r="AO397" s="43">
        <v>10</v>
      </c>
      <c r="AP397" s="107">
        <v>10</v>
      </c>
      <c r="AQ397" s="107"/>
      <c r="AR397" s="27">
        <f>AL397</f>
        <v>20</v>
      </c>
      <c r="AS397" s="21">
        <v>1</v>
      </c>
      <c r="AT397" s="1">
        <f t="shared" si="56"/>
        <v>25</v>
      </c>
      <c r="AU397" s="31"/>
      <c r="AV397" s="31"/>
      <c r="AW397" s="31"/>
      <c r="AX397" s="16">
        <f t="shared" si="64"/>
        <v>0.3125</v>
      </c>
      <c r="AY397" s="156">
        <v>25</v>
      </c>
      <c r="AZ397" s="76">
        <v>5</v>
      </c>
      <c r="BA397" s="31"/>
      <c r="BB397" s="31"/>
      <c r="BC397" s="31"/>
      <c r="BD397" s="16">
        <f t="shared" si="57"/>
        <v>0.2</v>
      </c>
      <c r="BE397" s="31"/>
      <c r="BF397" s="31"/>
      <c r="BG397" s="31"/>
      <c r="BH397" s="31"/>
      <c r="BI397" s="16"/>
      <c r="BJ397" s="16"/>
      <c r="BK397" s="31"/>
      <c r="BL397" s="31"/>
      <c r="BM397" s="31"/>
      <c r="BN397" s="31"/>
      <c r="BO397" s="16"/>
      <c r="BP397" s="31"/>
      <c r="BQ397" s="31"/>
      <c r="BR397" s="31"/>
      <c r="BS397" s="31"/>
      <c r="BT397" s="16"/>
      <c r="BU397" s="16"/>
      <c r="BV397" s="16"/>
      <c r="BW397" s="16"/>
      <c r="BX397" s="16"/>
      <c r="BY397" s="16"/>
      <c r="BZ397" s="16"/>
      <c r="CA397" s="43"/>
      <c r="CB397" s="43"/>
      <c r="CC397" s="43"/>
    </row>
    <row r="398" spans="1:81" s="52" customFormat="1" ht="50.65" customHeight="1" x14ac:dyDescent="0.25">
      <c r="A398" s="1">
        <v>4</v>
      </c>
      <c r="B398" s="13" t="s">
        <v>1749</v>
      </c>
      <c r="C398" s="572"/>
      <c r="D398" s="573"/>
      <c r="E398" s="10" t="s">
        <v>1328</v>
      </c>
      <c r="F398" s="56" t="s">
        <v>1329</v>
      </c>
      <c r="G398" s="583"/>
      <c r="H398" s="586"/>
      <c r="I398" s="43" t="s">
        <v>1330</v>
      </c>
      <c r="J398" s="56" t="s">
        <v>1875</v>
      </c>
      <c r="K398" s="584"/>
      <c r="L398" s="587"/>
      <c r="M398" s="44"/>
      <c r="N398" s="42" t="s">
        <v>1331</v>
      </c>
      <c r="O398" s="42" t="s">
        <v>1331</v>
      </c>
      <c r="P398" s="43">
        <v>0</v>
      </c>
      <c r="Q398" s="43">
        <v>50</v>
      </c>
      <c r="R398" s="44"/>
      <c r="S398" s="42" t="s">
        <v>1338</v>
      </c>
      <c r="T398" s="42" t="s">
        <v>1338</v>
      </c>
      <c r="U398" s="43">
        <v>4</v>
      </c>
      <c r="V398" s="43">
        <v>4</v>
      </c>
      <c r="W398" s="43" t="s">
        <v>1335</v>
      </c>
      <c r="X398" s="42" t="s">
        <v>1212</v>
      </c>
      <c r="Y398" s="43">
        <v>45</v>
      </c>
      <c r="Z398" s="43"/>
      <c r="AA398" s="56" t="s">
        <v>1333</v>
      </c>
      <c r="AB398" s="10" t="s">
        <v>1333</v>
      </c>
      <c r="AC398" s="166">
        <v>1</v>
      </c>
      <c r="AD398" s="156">
        <v>1</v>
      </c>
      <c r="AE398" s="156">
        <v>1</v>
      </c>
      <c r="AF398" s="156">
        <v>1</v>
      </c>
      <c r="AG398" s="377">
        <f t="shared" si="58"/>
        <v>4</v>
      </c>
      <c r="AH398" s="377" t="b">
        <f t="shared" si="66"/>
        <v>1</v>
      </c>
      <c r="AI398" s="43">
        <v>0</v>
      </c>
      <c r="AJ398" s="43">
        <v>0</v>
      </c>
      <c r="AK398" s="43">
        <v>1</v>
      </c>
      <c r="AL398" s="43">
        <v>1</v>
      </c>
      <c r="AM398" s="16">
        <f t="shared" si="67"/>
        <v>0.25</v>
      </c>
      <c r="AN398" s="166">
        <v>1</v>
      </c>
      <c r="AO398" s="43">
        <v>0</v>
      </c>
      <c r="AP398" s="107">
        <v>0</v>
      </c>
      <c r="AQ398" s="107"/>
      <c r="AR398" s="27">
        <f>AL398</f>
        <v>1</v>
      </c>
      <c r="AS398" s="21">
        <f>IFERROR(+AR398/AN398,0)</f>
        <v>1</v>
      </c>
      <c r="AT398" s="1">
        <f t="shared" ref="AT398:AT461" si="68">IF(W398="Mantenimiento",(AL398+AZ398)/4*100%,AL398+AZ398)</f>
        <v>1</v>
      </c>
      <c r="AU398" s="31"/>
      <c r="AV398" s="31"/>
      <c r="AW398" s="31"/>
      <c r="AX398" s="16">
        <f t="shared" si="64"/>
        <v>0.25</v>
      </c>
      <c r="AY398" s="156">
        <v>1</v>
      </c>
      <c r="AZ398" s="76">
        <v>0</v>
      </c>
      <c r="BA398" s="31"/>
      <c r="BB398" s="31"/>
      <c r="BC398" s="31"/>
      <c r="BD398" s="16">
        <f t="shared" si="57"/>
        <v>0</v>
      </c>
      <c r="BE398" s="31"/>
      <c r="BF398" s="31"/>
      <c r="BG398" s="31"/>
      <c r="BH398" s="31"/>
      <c r="BI398" s="16"/>
      <c r="BJ398" s="16"/>
      <c r="BK398" s="31"/>
      <c r="BL398" s="31"/>
      <c r="BM398" s="31"/>
      <c r="BN398" s="31"/>
      <c r="BO398" s="16"/>
      <c r="BP398" s="31"/>
      <c r="BQ398" s="31"/>
      <c r="BR398" s="31"/>
      <c r="BS398" s="31"/>
      <c r="BT398" s="16"/>
      <c r="BU398" s="16"/>
      <c r="BV398" s="16"/>
      <c r="BW398" s="16"/>
      <c r="BX398" s="16"/>
      <c r="BY398" s="16"/>
      <c r="BZ398" s="16"/>
      <c r="CA398" s="43"/>
      <c r="CB398" s="43"/>
      <c r="CC398" s="43"/>
    </row>
    <row r="399" spans="1:81" s="52" customFormat="1" ht="93.6" customHeight="1" x14ac:dyDescent="0.25">
      <c r="A399" s="1">
        <v>4</v>
      </c>
      <c r="B399" s="13" t="s">
        <v>1749</v>
      </c>
      <c r="C399" s="572"/>
      <c r="D399" s="573"/>
      <c r="E399" s="10" t="s">
        <v>1328</v>
      </c>
      <c r="F399" s="13" t="s">
        <v>1339</v>
      </c>
      <c r="G399" s="583"/>
      <c r="H399" s="586"/>
      <c r="I399" s="10" t="s">
        <v>1340</v>
      </c>
      <c r="J399" s="13" t="s">
        <v>1876</v>
      </c>
      <c r="K399" s="567">
        <f>AVERAGE(AX399:AX401)</f>
        <v>0.11666666666666665</v>
      </c>
      <c r="L399" s="569">
        <f>AVERAGE(BD399:BD401)</f>
        <v>0</v>
      </c>
      <c r="M399" s="10"/>
      <c r="N399" s="10" t="s">
        <v>1341</v>
      </c>
      <c r="O399" s="10" t="s">
        <v>1341</v>
      </c>
      <c r="P399" s="1">
        <v>45</v>
      </c>
      <c r="Q399" s="1">
        <v>45</v>
      </c>
      <c r="R399" s="24"/>
      <c r="S399" s="13" t="s">
        <v>1342</v>
      </c>
      <c r="T399" s="13" t="s">
        <v>1342</v>
      </c>
      <c r="U399" s="1">
        <v>0</v>
      </c>
      <c r="V399" s="1">
        <v>40</v>
      </c>
      <c r="W399" s="1" t="s">
        <v>412</v>
      </c>
      <c r="X399" s="1"/>
      <c r="Y399" s="10" t="s">
        <v>1212</v>
      </c>
      <c r="Z399" s="1">
        <v>45</v>
      </c>
      <c r="AA399" s="24">
        <v>10</v>
      </c>
      <c r="AB399" s="10" t="s">
        <v>1333</v>
      </c>
      <c r="AC399" s="157">
        <v>5</v>
      </c>
      <c r="AD399" s="156">
        <v>10</v>
      </c>
      <c r="AE399" s="156">
        <v>15</v>
      </c>
      <c r="AF399" s="156">
        <v>15</v>
      </c>
      <c r="AG399" s="377">
        <f t="shared" si="58"/>
        <v>45</v>
      </c>
      <c r="AH399" s="377" t="b">
        <f t="shared" si="66"/>
        <v>0</v>
      </c>
      <c r="AI399" s="1">
        <v>0</v>
      </c>
      <c r="AJ399" s="1">
        <v>5</v>
      </c>
      <c r="AK399" s="1">
        <v>10</v>
      </c>
      <c r="AL399" s="1">
        <v>10</v>
      </c>
      <c r="AM399" s="16">
        <f t="shared" si="67"/>
        <v>0.25</v>
      </c>
      <c r="AN399" s="157">
        <v>5</v>
      </c>
      <c r="AO399" s="1">
        <v>0</v>
      </c>
      <c r="AP399" s="27">
        <v>5</v>
      </c>
      <c r="AQ399" s="27"/>
      <c r="AR399" s="27">
        <f>AL399</f>
        <v>10</v>
      </c>
      <c r="AS399" s="21">
        <v>1</v>
      </c>
      <c r="AT399" s="1">
        <f t="shared" si="68"/>
        <v>10</v>
      </c>
      <c r="AU399" s="31"/>
      <c r="AV399" s="31"/>
      <c r="AW399" s="31"/>
      <c r="AX399" s="16">
        <f t="shared" si="64"/>
        <v>0.25</v>
      </c>
      <c r="AY399" s="156">
        <v>10</v>
      </c>
      <c r="AZ399" s="76">
        <v>0</v>
      </c>
      <c r="BA399" s="31"/>
      <c r="BB399" s="31"/>
      <c r="BC399" s="31"/>
      <c r="BD399" s="16">
        <f t="shared" ref="BD399:BD461" si="69">IFERROR(IF((+AZ399/AY399)&gt;100%,100%,(+AZ399/AY399)),"NP")</f>
        <v>0</v>
      </c>
      <c r="BE399" s="31"/>
      <c r="BF399" s="31"/>
      <c r="BG399" s="31"/>
      <c r="BH399" s="31"/>
      <c r="BI399" s="16"/>
      <c r="BJ399" s="16"/>
      <c r="BK399" s="31"/>
      <c r="BL399" s="31"/>
      <c r="BM399" s="31"/>
      <c r="BN399" s="31"/>
      <c r="BO399" s="16"/>
      <c r="BP399" s="31"/>
      <c r="BQ399" s="31"/>
      <c r="BR399" s="31"/>
      <c r="BS399" s="31"/>
      <c r="BT399" s="16"/>
      <c r="BU399" s="16"/>
      <c r="BV399" s="16"/>
      <c r="BW399" s="16"/>
      <c r="BX399" s="16"/>
      <c r="BY399" s="16"/>
      <c r="BZ399" s="16"/>
      <c r="CA399" s="1"/>
      <c r="CB399" s="1"/>
      <c r="CC399" s="1"/>
    </row>
    <row r="400" spans="1:81" s="52" customFormat="1" ht="93.6" customHeight="1" x14ac:dyDescent="0.25">
      <c r="A400" s="1">
        <v>4</v>
      </c>
      <c r="B400" s="13" t="s">
        <v>1749</v>
      </c>
      <c r="C400" s="572"/>
      <c r="D400" s="573"/>
      <c r="E400" s="10" t="s">
        <v>1328</v>
      </c>
      <c r="F400" s="13" t="s">
        <v>1339</v>
      </c>
      <c r="G400" s="583"/>
      <c r="H400" s="586"/>
      <c r="I400" s="10" t="s">
        <v>1340</v>
      </c>
      <c r="J400" s="13" t="s">
        <v>1876</v>
      </c>
      <c r="K400" s="572"/>
      <c r="L400" s="573"/>
      <c r="M400" s="10"/>
      <c r="N400" s="10" t="s">
        <v>1341</v>
      </c>
      <c r="O400" s="10" t="s">
        <v>1341</v>
      </c>
      <c r="P400" s="1">
        <v>45</v>
      </c>
      <c r="Q400" s="1">
        <v>45</v>
      </c>
      <c r="R400" s="24"/>
      <c r="S400" s="13" t="s">
        <v>1343</v>
      </c>
      <c r="T400" s="13" t="s">
        <v>1343</v>
      </c>
      <c r="U400" s="1" t="s">
        <v>868</v>
      </c>
      <c r="V400" s="1">
        <v>1000</v>
      </c>
      <c r="W400" s="1" t="s">
        <v>412</v>
      </c>
      <c r="X400" s="1"/>
      <c r="Y400" s="10" t="s">
        <v>1212</v>
      </c>
      <c r="Z400" s="1">
        <v>45</v>
      </c>
      <c r="AA400" s="24">
        <v>10</v>
      </c>
      <c r="AB400" s="10" t="s">
        <v>1333</v>
      </c>
      <c r="AC400" s="157">
        <v>100</v>
      </c>
      <c r="AD400" s="156">
        <v>1000</v>
      </c>
      <c r="AE400" s="156"/>
      <c r="AF400" s="156"/>
      <c r="AG400" s="377">
        <f t="shared" ref="AG400:AG462" si="70">SUBTOTAL(9,AC400:AF400)</f>
        <v>1100</v>
      </c>
      <c r="AH400" s="377" t="b">
        <f t="shared" si="66"/>
        <v>0</v>
      </c>
      <c r="AI400" s="1">
        <v>0</v>
      </c>
      <c r="AJ400" s="1">
        <v>100</v>
      </c>
      <c r="AK400" s="1">
        <v>100</v>
      </c>
      <c r="AL400" s="1">
        <v>100</v>
      </c>
      <c r="AM400" s="16">
        <f t="shared" si="67"/>
        <v>0.1</v>
      </c>
      <c r="AN400" s="157">
        <v>100</v>
      </c>
      <c r="AO400" s="1">
        <v>0</v>
      </c>
      <c r="AP400" s="27">
        <v>100</v>
      </c>
      <c r="AQ400" s="27"/>
      <c r="AR400" s="27">
        <f>AL400</f>
        <v>100</v>
      </c>
      <c r="AS400" s="21">
        <f>IFERROR(+AR400/AN400,0)</f>
        <v>1</v>
      </c>
      <c r="AT400" s="1">
        <f t="shared" si="68"/>
        <v>100</v>
      </c>
      <c r="AU400" s="31"/>
      <c r="AV400" s="31"/>
      <c r="AW400" s="31"/>
      <c r="AX400" s="16">
        <f t="shared" si="64"/>
        <v>0.1</v>
      </c>
      <c r="AY400" s="156">
        <v>1000</v>
      </c>
      <c r="AZ400" s="76">
        <v>0</v>
      </c>
      <c r="BA400" s="31"/>
      <c r="BB400" s="31"/>
      <c r="BC400" s="31"/>
      <c r="BD400" s="16">
        <f t="shared" si="69"/>
        <v>0</v>
      </c>
      <c r="BE400" s="31"/>
      <c r="BF400" s="31"/>
      <c r="BG400" s="31"/>
      <c r="BH400" s="31"/>
      <c r="BI400" s="16"/>
      <c r="BJ400" s="16"/>
      <c r="BK400" s="31"/>
      <c r="BL400" s="31"/>
      <c r="BM400" s="31"/>
      <c r="BN400" s="31"/>
      <c r="BO400" s="16"/>
      <c r="BP400" s="31"/>
      <c r="BQ400" s="31"/>
      <c r="BR400" s="31"/>
      <c r="BS400" s="31"/>
      <c r="BT400" s="16"/>
      <c r="BU400" s="16"/>
      <c r="BV400" s="16"/>
      <c r="BW400" s="16"/>
      <c r="BX400" s="16"/>
      <c r="BY400" s="16"/>
      <c r="BZ400" s="16"/>
      <c r="CA400" s="1"/>
      <c r="CB400" s="1"/>
      <c r="CC400" s="1"/>
    </row>
    <row r="401" spans="1:81" s="52" customFormat="1" ht="93.6" customHeight="1" x14ac:dyDescent="0.25">
      <c r="A401" s="1">
        <v>4</v>
      </c>
      <c r="B401" s="13" t="s">
        <v>1749</v>
      </c>
      <c r="C401" s="572"/>
      <c r="D401" s="573"/>
      <c r="E401" s="10" t="s">
        <v>1328</v>
      </c>
      <c r="F401" s="13" t="s">
        <v>1339</v>
      </c>
      <c r="G401" s="583"/>
      <c r="H401" s="586"/>
      <c r="I401" s="10" t="s">
        <v>1340</v>
      </c>
      <c r="J401" s="13" t="s">
        <v>1876</v>
      </c>
      <c r="K401" s="568"/>
      <c r="L401" s="570"/>
      <c r="M401" s="10"/>
      <c r="N401" s="10" t="s">
        <v>1341</v>
      </c>
      <c r="O401" s="10" t="s">
        <v>1341</v>
      </c>
      <c r="P401" s="1">
        <v>45</v>
      </c>
      <c r="Q401" s="1">
        <v>45</v>
      </c>
      <c r="R401" s="24"/>
      <c r="S401" s="13" t="s">
        <v>1344</v>
      </c>
      <c r="T401" s="13" t="s">
        <v>1344</v>
      </c>
      <c r="U401" s="1">
        <v>0</v>
      </c>
      <c r="V401" s="1">
        <v>1</v>
      </c>
      <c r="W401" s="1" t="s">
        <v>412</v>
      </c>
      <c r="X401" s="1"/>
      <c r="Y401" s="10" t="s">
        <v>1212</v>
      </c>
      <c r="Z401" s="1">
        <v>45</v>
      </c>
      <c r="AA401" s="24">
        <v>10</v>
      </c>
      <c r="AB401" s="10" t="s">
        <v>1333</v>
      </c>
      <c r="AC401" s="157"/>
      <c r="AD401" s="156"/>
      <c r="AE401" s="156">
        <v>1</v>
      </c>
      <c r="AF401" s="156"/>
      <c r="AG401" s="377">
        <f t="shared" si="70"/>
        <v>1</v>
      </c>
      <c r="AH401" s="377" t="b">
        <f t="shared" si="66"/>
        <v>1</v>
      </c>
      <c r="AI401" s="1"/>
      <c r="AJ401" s="1"/>
      <c r="AK401" s="1"/>
      <c r="AL401" s="1"/>
      <c r="AM401" s="16">
        <f t="shared" si="67"/>
        <v>0</v>
      </c>
      <c r="AN401" s="157"/>
      <c r="AO401" s="1"/>
      <c r="AP401" s="27"/>
      <c r="AQ401" s="27"/>
      <c r="AR401" s="27"/>
      <c r="AS401" s="21" t="s">
        <v>310</v>
      </c>
      <c r="AT401" s="1">
        <f t="shared" si="68"/>
        <v>0</v>
      </c>
      <c r="AU401" s="31"/>
      <c r="AV401" s="31"/>
      <c r="AW401" s="31"/>
      <c r="AX401" s="16">
        <f t="shared" si="64"/>
        <v>0</v>
      </c>
      <c r="AY401" s="156" t="s">
        <v>310</v>
      </c>
      <c r="AZ401" s="76"/>
      <c r="BA401" s="31"/>
      <c r="BB401" s="31"/>
      <c r="BC401" s="31"/>
      <c r="BD401" s="16" t="str">
        <f t="shared" si="69"/>
        <v>NP</v>
      </c>
      <c r="BE401" s="31"/>
      <c r="BF401" s="31"/>
      <c r="BG401" s="31"/>
      <c r="BH401" s="31"/>
      <c r="BI401" s="16"/>
      <c r="BJ401" s="16"/>
      <c r="BK401" s="31"/>
      <c r="BL401" s="31"/>
      <c r="BM401" s="31"/>
      <c r="BN401" s="31"/>
      <c r="BO401" s="16"/>
      <c r="BP401" s="31"/>
      <c r="BQ401" s="31"/>
      <c r="BR401" s="31"/>
      <c r="BS401" s="31"/>
      <c r="BT401" s="16"/>
      <c r="BU401" s="16"/>
      <c r="BV401" s="16"/>
      <c r="BW401" s="16"/>
      <c r="BX401" s="16"/>
      <c r="BY401" s="16"/>
      <c r="BZ401" s="16"/>
      <c r="CA401" s="1"/>
      <c r="CB401" s="1"/>
      <c r="CC401" s="1"/>
    </row>
    <row r="402" spans="1:81" s="52" customFormat="1" ht="63" x14ac:dyDescent="0.25">
      <c r="A402" s="1">
        <v>4</v>
      </c>
      <c r="B402" s="13" t="s">
        <v>1749</v>
      </c>
      <c r="C402" s="572"/>
      <c r="D402" s="573"/>
      <c r="E402" s="10" t="s">
        <v>1328</v>
      </c>
      <c r="F402" s="13" t="s">
        <v>1339</v>
      </c>
      <c r="G402" s="583"/>
      <c r="H402" s="586"/>
      <c r="I402" s="10" t="s">
        <v>1345</v>
      </c>
      <c r="J402" s="13" t="s">
        <v>1877</v>
      </c>
      <c r="K402" s="143">
        <f>AVERAGE(AX402)</f>
        <v>0.5</v>
      </c>
      <c r="L402" s="144" t="str">
        <f>IFERROR(AVERAGE(BD402),"NP")</f>
        <v>NP</v>
      </c>
      <c r="M402" s="10"/>
      <c r="N402" s="10" t="s">
        <v>1346</v>
      </c>
      <c r="O402" s="10" t="s">
        <v>1346</v>
      </c>
      <c r="P402" s="1">
        <v>45</v>
      </c>
      <c r="Q402" s="1">
        <v>45</v>
      </c>
      <c r="R402" s="24"/>
      <c r="S402" s="13" t="s">
        <v>1347</v>
      </c>
      <c r="T402" s="13" t="s">
        <v>1348</v>
      </c>
      <c r="U402" s="1">
        <v>1</v>
      </c>
      <c r="V402" s="1">
        <v>2</v>
      </c>
      <c r="W402" s="1" t="s">
        <v>412</v>
      </c>
      <c r="X402" s="1"/>
      <c r="Y402" s="10" t="s">
        <v>1212</v>
      </c>
      <c r="Z402" s="1">
        <v>45</v>
      </c>
      <c r="AA402" s="24">
        <v>16</v>
      </c>
      <c r="AB402" s="10" t="s">
        <v>1333</v>
      </c>
      <c r="AC402" s="157">
        <v>1</v>
      </c>
      <c r="AD402" s="156"/>
      <c r="AE402" s="156">
        <v>1</v>
      </c>
      <c r="AF402" s="156"/>
      <c r="AG402" s="377">
        <f t="shared" si="70"/>
        <v>2</v>
      </c>
      <c r="AH402" s="377" t="b">
        <f t="shared" si="66"/>
        <v>1</v>
      </c>
      <c r="AI402" s="1">
        <v>0</v>
      </c>
      <c r="AJ402" s="1">
        <v>1</v>
      </c>
      <c r="AK402" s="1">
        <v>1</v>
      </c>
      <c r="AL402" s="1">
        <v>1</v>
      </c>
      <c r="AM402" s="16">
        <f t="shared" si="67"/>
        <v>0.5</v>
      </c>
      <c r="AN402" s="157">
        <v>1</v>
      </c>
      <c r="AO402" s="1">
        <v>0</v>
      </c>
      <c r="AP402" s="27">
        <v>1</v>
      </c>
      <c r="AQ402" s="27"/>
      <c r="AR402" s="27">
        <f>AL402</f>
        <v>1</v>
      </c>
      <c r="AS402" s="21">
        <f>IFERROR(+AR402/AN402,0)</f>
        <v>1</v>
      </c>
      <c r="AT402" s="1">
        <f t="shared" si="68"/>
        <v>1</v>
      </c>
      <c r="AU402" s="31"/>
      <c r="AV402" s="31"/>
      <c r="AW402" s="31"/>
      <c r="AX402" s="16">
        <f t="shared" si="64"/>
        <v>0.5</v>
      </c>
      <c r="AY402" s="156" t="s">
        <v>310</v>
      </c>
      <c r="AZ402" s="76"/>
      <c r="BA402" s="31"/>
      <c r="BB402" s="31"/>
      <c r="BC402" s="31"/>
      <c r="BD402" s="16" t="str">
        <f t="shared" si="69"/>
        <v>NP</v>
      </c>
      <c r="BE402" s="31"/>
      <c r="BF402" s="31"/>
      <c r="BG402" s="31"/>
      <c r="BH402" s="31"/>
      <c r="BI402" s="16"/>
      <c r="BJ402" s="16"/>
      <c r="BK402" s="31"/>
      <c r="BL402" s="31"/>
      <c r="BM402" s="31"/>
      <c r="BN402" s="31"/>
      <c r="BO402" s="16"/>
      <c r="BP402" s="31"/>
      <c r="BQ402" s="31"/>
      <c r="BR402" s="31"/>
      <c r="BS402" s="31"/>
      <c r="BT402" s="16"/>
      <c r="BU402" s="16"/>
      <c r="BV402" s="16"/>
      <c r="BW402" s="16"/>
      <c r="BX402" s="16"/>
      <c r="BY402" s="16"/>
      <c r="BZ402" s="16"/>
      <c r="CA402" s="1"/>
      <c r="CB402" s="1"/>
      <c r="CC402" s="1"/>
    </row>
    <row r="403" spans="1:81" s="52" customFormat="1" ht="63" x14ac:dyDescent="0.25">
      <c r="A403" s="1">
        <v>4</v>
      </c>
      <c r="B403" s="13" t="s">
        <v>1749</v>
      </c>
      <c r="C403" s="572"/>
      <c r="D403" s="573"/>
      <c r="E403" s="10" t="s">
        <v>1328</v>
      </c>
      <c r="F403" s="13" t="s">
        <v>1339</v>
      </c>
      <c r="G403" s="583"/>
      <c r="H403" s="586"/>
      <c r="I403" s="10" t="s">
        <v>1349</v>
      </c>
      <c r="J403" s="13" t="s">
        <v>1878</v>
      </c>
      <c r="K403" s="567">
        <f>AVERAGE(AX403:AX405)</f>
        <v>0</v>
      </c>
      <c r="L403" s="569" t="str">
        <f>IFERROR(AVERAGE(AS403:AS405),"NP")</f>
        <v>NP</v>
      </c>
      <c r="M403" s="10"/>
      <c r="N403" s="10" t="s">
        <v>1350</v>
      </c>
      <c r="O403" s="10" t="s">
        <v>1350</v>
      </c>
      <c r="P403" s="1">
        <v>0</v>
      </c>
      <c r="Q403" s="26">
        <v>0.6</v>
      </c>
      <c r="R403" s="14"/>
      <c r="S403" s="13" t="s">
        <v>1351</v>
      </c>
      <c r="T403" s="13" t="s">
        <v>1351</v>
      </c>
      <c r="U403" s="1" t="s">
        <v>868</v>
      </c>
      <c r="V403" s="1">
        <v>1</v>
      </c>
      <c r="W403" s="1" t="s">
        <v>412</v>
      </c>
      <c r="X403" s="1"/>
      <c r="Y403" s="10" t="s">
        <v>1212</v>
      </c>
      <c r="Z403" s="1">
        <v>45</v>
      </c>
      <c r="AA403" s="24">
        <v>16</v>
      </c>
      <c r="AB403" s="10" t="s">
        <v>1333</v>
      </c>
      <c r="AC403" s="157"/>
      <c r="AD403" s="156">
        <v>1</v>
      </c>
      <c r="AE403" s="156"/>
      <c r="AF403" s="156"/>
      <c r="AG403" s="377">
        <f t="shared" si="70"/>
        <v>1</v>
      </c>
      <c r="AH403" s="377" t="b">
        <f t="shared" si="66"/>
        <v>1</v>
      </c>
      <c r="AI403" s="1"/>
      <c r="AJ403" s="1"/>
      <c r="AK403" s="1"/>
      <c r="AL403" s="1"/>
      <c r="AM403" s="16">
        <f t="shared" si="67"/>
        <v>0</v>
      </c>
      <c r="AN403" s="157"/>
      <c r="AO403" s="1"/>
      <c r="AP403" s="1"/>
      <c r="AQ403" s="1"/>
      <c r="AR403" s="1"/>
      <c r="AS403" s="21" t="s">
        <v>310</v>
      </c>
      <c r="AT403" s="1">
        <f t="shared" si="68"/>
        <v>0</v>
      </c>
      <c r="AU403" s="31"/>
      <c r="AV403" s="31"/>
      <c r="AW403" s="31"/>
      <c r="AX403" s="16">
        <f t="shared" si="64"/>
        <v>0</v>
      </c>
      <c r="AY403" s="156">
        <v>1</v>
      </c>
      <c r="AZ403" s="76">
        <v>0</v>
      </c>
      <c r="BA403" s="31"/>
      <c r="BB403" s="31"/>
      <c r="BC403" s="31"/>
      <c r="BD403" s="16">
        <f t="shared" si="69"/>
        <v>0</v>
      </c>
      <c r="BE403" s="31"/>
      <c r="BF403" s="31"/>
      <c r="BG403" s="31"/>
      <c r="BH403" s="31"/>
      <c r="BI403" s="16"/>
      <c r="BJ403" s="16"/>
      <c r="BK403" s="31"/>
      <c r="BL403" s="31"/>
      <c r="BM403" s="31"/>
      <c r="BN403" s="31"/>
      <c r="BO403" s="16"/>
      <c r="BP403" s="31"/>
      <c r="BQ403" s="31"/>
      <c r="BR403" s="31"/>
      <c r="BS403" s="31"/>
      <c r="BT403" s="16"/>
      <c r="BU403" s="16"/>
      <c r="BV403" s="16"/>
      <c r="BW403" s="16"/>
      <c r="BX403" s="16"/>
      <c r="BY403" s="16"/>
      <c r="BZ403" s="16"/>
      <c r="CA403" s="1"/>
      <c r="CB403" s="1"/>
      <c r="CC403" s="1"/>
    </row>
    <row r="404" spans="1:81" s="52" customFormat="1" ht="63" x14ac:dyDescent="0.25">
      <c r="A404" s="1">
        <v>4</v>
      </c>
      <c r="B404" s="13" t="s">
        <v>1749</v>
      </c>
      <c r="C404" s="572"/>
      <c r="D404" s="573"/>
      <c r="E404" s="10" t="s">
        <v>1328</v>
      </c>
      <c r="F404" s="13" t="s">
        <v>1339</v>
      </c>
      <c r="G404" s="583"/>
      <c r="H404" s="586"/>
      <c r="I404" s="10" t="s">
        <v>1349</v>
      </c>
      <c r="J404" s="13" t="s">
        <v>1878</v>
      </c>
      <c r="K404" s="572"/>
      <c r="L404" s="573"/>
      <c r="M404" s="10"/>
      <c r="N404" s="10" t="s">
        <v>1350</v>
      </c>
      <c r="O404" s="10" t="s">
        <v>1350</v>
      </c>
      <c r="P404" s="1">
        <v>0</v>
      </c>
      <c r="Q404" s="26">
        <v>0.6</v>
      </c>
      <c r="R404" s="14"/>
      <c r="S404" s="13" t="s">
        <v>1352</v>
      </c>
      <c r="T404" s="13" t="s">
        <v>1352</v>
      </c>
      <c r="U404" s="1">
        <v>1</v>
      </c>
      <c r="V404" s="1">
        <v>4</v>
      </c>
      <c r="W404" s="1" t="s">
        <v>412</v>
      </c>
      <c r="X404" s="1"/>
      <c r="Y404" s="10" t="s">
        <v>1212</v>
      </c>
      <c r="Z404" s="1">
        <v>45</v>
      </c>
      <c r="AA404" s="24">
        <v>16</v>
      </c>
      <c r="AB404" s="10" t="s">
        <v>1333</v>
      </c>
      <c r="AC404" s="157"/>
      <c r="AD404" s="156">
        <v>1</v>
      </c>
      <c r="AE404" s="156">
        <v>2</v>
      </c>
      <c r="AF404" s="156">
        <v>1</v>
      </c>
      <c r="AG404" s="377">
        <f t="shared" si="70"/>
        <v>4</v>
      </c>
      <c r="AH404" s="377" t="b">
        <f t="shared" si="66"/>
        <v>1</v>
      </c>
      <c r="AI404" s="1"/>
      <c r="AJ404" s="1"/>
      <c r="AK404" s="1"/>
      <c r="AL404" s="1"/>
      <c r="AM404" s="16">
        <f t="shared" si="67"/>
        <v>0</v>
      </c>
      <c r="AN404" s="157"/>
      <c r="AO404" s="1"/>
      <c r="AP404" s="1"/>
      <c r="AQ404" s="1"/>
      <c r="AR404" s="1"/>
      <c r="AS404" s="21" t="s">
        <v>310</v>
      </c>
      <c r="AT404" s="1">
        <f t="shared" si="68"/>
        <v>0</v>
      </c>
      <c r="AU404" s="31"/>
      <c r="AV404" s="31"/>
      <c r="AW404" s="31"/>
      <c r="AX404" s="16">
        <f t="shared" si="64"/>
        <v>0</v>
      </c>
      <c r="AY404" s="156">
        <v>1</v>
      </c>
      <c r="AZ404" s="76">
        <v>0</v>
      </c>
      <c r="BA404" s="31"/>
      <c r="BB404" s="31"/>
      <c r="BC404" s="31"/>
      <c r="BD404" s="16">
        <f t="shared" si="69"/>
        <v>0</v>
      </c>
      <c r="BE404" s="31"/>
      <c r="BF404" s="31"/>
      <c r="BG404" s="31"/>
      <c r="BH404" s="31"/>
      <c r="BI404" s="16"/>
      <c r="BJ404" s="16"/>
      <c r="BK404" s="31"/>
      <c r="BL404" s="31"/>
      <c r="BM404" s="31"/>
      <c r="BN404" s="31"/>
      <c r="BO404" s="16"/>
      <c r="BP404" s="31"/>
      <c r="BQ404" s="31"/>
      <c r="BR404" s="31"/>
      <c r="BS404" s="31"/>
      <c r="BT404" s="16"/>
      <c r="BU404" s="16"/>
      <c r="BV404" s="16"/>
      <c r="BW404" s="16"/>
      <c r="BX404" s="16"/>
      <c r="BY404" s="16"/>
      <c r="BZ404" s="16"/>
      <c r="CA404" s="1"/>
      <c r="CB404" s="1"/>
      <c r="CC404" s="1"/>
    </row>
    <row r="405" spans="1:81" s="52" customFormat="1" ht="63" x14ac:dyDescent="0.25">
      <c r="A405" s="1">
        <v>4</v>
      </c>
      <c r="B405" s="13" t="s">
        <v>1749</v>
      </c>
      <c r="C405" s="568"/>
      <c r="D405" s="570"/>
      <c r="E405" s="10" t="s">
        <v>1328</v>
      </c>
      <c r="F405" s="13" t="s">
        <v>1339</v>
      </c>
      <c r="G405" s="584"/>
      <c r="H405" s="587"/>
      <c r="I405" s="10" t="s">
        <v>1349</v>
      </c>
      <c r="J405" s="13" t="s">
        <v>1878</v>
      </c>
      <c r="K405" s="568"/>
      <c r="L405" s="570"/>
      <c r="M405" s="10"/>
      <c r="N405" s="10" t="s">
        <v>1350</v>
      </c>
      <c r="O405" s="10" t="s">
        <v>1350</v>
      </c>
      <c r="P405" s="1">
        <v>0</v>
      </c>
      <c r="Q405" s="26">
        <v>0.6</v>
      </c>
      <c r="R405" s="14"/>
      <c r="S405" s="13" t="s">
        <v>1353</v>
      </c>
      <c r="T405" s="13" t="s">
        <v>1353</v>
      </c>
      <c r="U405" s="1">
        <v>0</v>
      </c>
      <c r="V405" s="1">
        <v>1</v>
      </c>
      <c r="W405" s="1" t="s">
        <v>412</v>
      </c>
      <c r="X405" s="1"/>
      <c r="Y405" s="10" t="s">
        <v>1212</v>
      </c>
      <c r="Z405" s="1">
        <v>45</v>
      </c>
      <c r="AA405" s="24">
        <v>16</v>
      </c>
      <c r="AB405" s="10" t="s">
        <v>1333</v>
      </c>
      <c r="AC405" s="157"/>
      <c r="AD405" s="156">
        <v>1</v>
      </c>
      <c r="AE405" s="156"/>
      <c r="AF405" s="156"/>
      <c r="AG405" s="377">
        <f t="shared" si="70"/>
        <v>1</v>
      </c>
      <c r="AH405" s="377" t="b">
        <f t="shared" si="66"/>
        <v>1</v>
      </c>
      <c r="AI405" s="1"/>
      <c r="AJ405" s="1"/>
      <c r="AK405" s="1"/>
      <c r="AL405" s="1"/>
      <c r="AM405" s="16">
        <f t="shared" si="67"/>
        <v>0</v>
      </c>
      <c r="AN405" s="157"/>
      <c r="AO405" s="1"/>
      <c r="AP405" s="1"/>
      <c r="AQ405" s="1"/>
      <c r="AR405" s="1"/>
      <c r="AS405" s="21" t="s">
        <v>310</v>
      </c>
      <c r="AT405" s="1">
        <f t="shared" si="68"/>
        <v>0</v>
      </c>
      <c r="AU405" s="31"/>
      <c r="AV405" s="31"/>
      <c r="AW405" s="31"/>
      <c r="AX405" s="16">
        <f t="shared" si="64"/>
        <v>0</v>
      </c>
      <c r="AY405" s="156">
        <v>1</v>
      </c>
      <c r="AZ405" s="76">
        <v>0</v>
      </c>
      <c r="BA405" s="31"/>
      <c r="BB405" s="31"/>
      <c r="BC405" s="31"/>
      <c r="BD405" s="16">
        <f t="shared" si="69"/>
        <v>0</v>
      </c>
      <c r="BE405" s="31"/>
      <c r="BF405" s="31"/>
      <c r="BG405" s="31"/>
      <c r="BH405" s="31"/>
      <c r="BI405" s="16"/>
      <c r="BJ405" s="16"/>
      <c r="BK405" s="31"/>
      <c r="BL405" s="31"/>
      <c r="BM405" s="31"/>
      <c r="BN405" s="31"/>
      <c r="BO405" s="16"/>
      <c r="BP405" s="31"/>
      <c r="BQ405" s="31"/>
      <c r="BR405" s="31"/>
      <c r="BS405" s="31"/>
      <c r="BT405" s="16"/>
      <c r="BU405" s="16"/>
      <c r="BV405" s="16"/>
      <c r="BW405" s="16"/>
      <c r="BX405" s="16"/>
      <c r="BY405" s="16"/>
      <c r="BZ405" s="16"/>
      <c r="CA405" s="1"/>
      <c r="CB405" s="1"/>
      <c r="CC405" s="1"/>
    </row>
    <row r="406" spans="1:81" s="52" customFormat="1" ht="71.25" customHeight="1" x14ac:dyDescent="0.25">
      <c r="A406" s="1">
        <v>5</v>
      </c>
      <c r="B406" s="13" t="s">
        <v>1750</v>
      </c>
      <c r="C406" s="567">
        <f>+AVERAGEIF(B14:B567,B407,AM14:AM567)</f>
        <v>0.11365974625144175</v>
      </c>
      <c r="D406" s="569">
        <f>+AVERAGEIF(B14:B567,B406,AS14:AS567)</f>
        <v>0.90440000000000009</v>
      </c>
      <c r="E406" s="10" t="s">
        <v>1354</v>
      </c>
      <c r="F406" s="13" t="s">
        <v>1355</v>
      </c>
      <c r="G406" s="567">
        <f>+AVERAGEIF(F14:F567,F406,AX14:AX567)</f>
        <v>0.22386277131173324</v>
      </c>
      <c r="H406" s="569">
        <f>+AVERAGEIF(F14:F567,F406,BD14:BD567)</f>
        <v>0.29363119868637111</v>
      </c>
      <c r="I406" s="10" t="s">
        <v>1356</v>
      </c>
      <c r="J406" s="13" t="s">
        <v>1357</v>
      </c>
      <c r="K406" s="567">
        <f>IFERROR(AVERAGE(AX406:AX414),"NP")</f>
        <v>1.9166666666666665E-2</v>
      </c>
      <c r="L406" s="569">
        <f>IFERROR(AVERAGE(BD406:BD414),"NP")</f>
        <v>0.12023809523809523</v>
      </c>
      <c r="M406" s="11"/>
      <c r="N406" s="23" t="s">
        <v>93</v>
      </c>
      <c r="O406" s="13" t="s">
        <v>1358</v>
      </c>
      <c r="P406" s="10" t="s">
        <v>55</v>
      </c>
      <c r="Q406" s="1">
        <v>100</v>
      </c>
      <c r="R406" s="24"/>
      <c r="S406" s="13" t="s">
        <v>1359</v>
      </c>
      <c r="T406" s="13" t="s">
        <v>1360</v>
      </c>
      <c r="U406" s="1" t="s">
        <v>55</v>
      </c>
      <c r="V406" s="1">
        <v>22</v>
      </c>
      <c r="W406" s="1" t="s">
        <v>412</v>
      </c>
      <c r="X406" s="10"/>
      <c r="Y406" s="1" t="s">
        <v>50</v>
      </c>
      <c r="Z406" s="1"/>
      <c r="AA406" s="24">
        <v>1</v>
      </c>
      <c r="AB406" s="10" t="s">
        <v>1761</v>
      </c>
      <c r="AC406" s="156"/>
      <c r="AD406" s="156">
        <v>5</v>
      </c>
      <c r="AE406" s="156">
        <v>10</v>
      </c>
      <c r="AF406" s="156">
        <v>9</v>
      </c>
      <c r="AG406" s="377">
        <f t="shared" si="70"/>
        <v>24</v>
      </c>
      <c r="AH406" s="377" t="b">
        <f t="shared" si="66"/>
        <v>0</v>
      </c>
      <c r="AI406" s="1"/>
      <c r="AJ406" s="1"/>
      <c r="AK406" s="1"/>
      <c r="AL406" s="1"/>
      <c r="AM406" s="16">
        <f t="shared" si="67"/>
        <v>0</v>
      </c>
      <c r="AN406" s="156"/>
      <c r="AO406" s="1"/>
      <c r="AP406" s="1"/>
      <c r="AQ406" s="1"/>
      <c r="AR406" s="1"/>
      <c r="AS406" s="21" t="s">
        <v>310</v>
      </c>
      <c r="AT406" s="1">
        <f t="shared" si="68"/>
        <v>0</v>
      </c>
      <c r="AU406" s="31"/>
      <c r="AV406" s="31"/>
      <c r="AW406" s="31"/>
      <c r="AX406" s="16">
        <f t="shared" si="64"/>
        <v>0</v>
      </c>
      <c r="AY406" s="156">
        <v>5</v>
      </c>
      <c r="AZ406" s="76">
        <v>0</v>
      </c>
      <c r="BA406" s="31"/>
      <c r="BB406" s="31"/>
      <c r="BC406" s="31"/>
      <c r="BD406" s="16">
        <f t="shared" si="69"/>
        <v>0</v>
      </c>
      <c r="BE406" s="31"/>
      <c r="BF406" s="31"/>
      <c r="BG406" s="31"/>
      <c r="BH406" s="31"/>
      <c r="BI406" s="16"/>
      <c r="BJ406" s="16"/>
      <c r="BK406" s="31"/>
      <c r="BL406" s="31"/>
      <c r="BM406" s="31"/>
      <c r="BN406" s="31"/>
      <c r="BO406" s="16"/>
      <c r="BP406" s="31"/>
      <c r="BQ406" s="31"/>
      <c r="BR406" s="31"/>
      <c r="BS406" s="31"/>
      <c r="BT406" s="16"/>
      <c r="BU406" s="16"/>
      <c r="BV406" s="16"/>
      <c r="BW406" s="16"/>
      <c r="BX406" s="16"/>
      <c r="BY406" s="16"/>
      <c r="BZ406" s="16"/>
      <c r="CA406" s="1"/>
      <c r="CB406" s="1"/>
      <c r="CC406" s="1"/>
    </row>
    <row r="407" spans="1:81" s="52" customFormat="1" ht="71.25" customHeight="1" x14ac:dyDescent="0.25">
      <c r="A407" s="1">
        <v>5</v>
      </c>
      <c r="B407" s="13" t="s">
        <v>1750</v>
      </c>
      <c r="C407" s="572"/>
      <c r="D407" s="573"/>
      <c r="E407" s="10" t="s">
        <v>1354</v>
      </c>
      <c r="F407" s="13" t="s">
        <v>1355</v>
      </c>
      <c r="G407" s="572"/>
      <c r="H407" s="573"/>
      <c r="I407" s="10" t="s">
        <v>1356</v>
      </c>
      <c r="J407" s="13" t="s">
        <v>1357</v>
      </c>
      <c r="K407" s="572"/>
      <c r="L407" s="573"/>
      <c r="M407" s="11"/>
      <c r="N407" s="23" t="s">
        <v>93</v>
      </c>
      <c r="O407" s="13" t="s">
        <v>1358</v>
      </c>
      <c r="P407" s="10" t="s">
        <v>55</v>
      </c>
      <c r="Q407" s="1">
        <v>100</v>
      </c>
      <c r="R407" s="24"/>
      <c r="S407" s="13" t="s">
        <v>1361</v>
      </c>
      <c r="T407" s="13" t="s">
        <v>1361</v>
      </c>
      <c r="U407" s="1" t="s">
        <v>55</v>
      </c>
      <c r="V407" s="1">
        <v>100</v>
      </c>
      <c r="W407" s="1" t="s">
        <v>412</v>
      </c>
      <c r="X407" s="10"/>
      <c r="Y407" s="1" t="s">
        <v>50</v>
      </c>
      <c r="Z407" s="1"/>
      <c r="AA407" s="24">
        <v>1</v>
      </c>
      <c r="AB407" s="10" t="s">
        <v>1761</v>
      </c>
      <c r="AC407" s="371"/>
      <c r="AD407" s="108">
        <v>20</v>
      </c>
      <c r="AE407" s="371"/>
      <c r="AF407" s="371"/>
      <c r="AG407" s="377">
        <f t="shared" si="70"/>
        <v>20</v>
      </c>
      <c r="AH407" s="377" t="b">
        <f t="shared" si="66"/>
        <v>0</v>
      </c>
      <c r="AI407" s="1"/>
      <c r="AJ407" s="1"/>
      <c r="AK407" s="1"/>
      <c r="AL407" s="1"/>
      <c r="AM407" s="16">
        <f t="shared" si="67"/>
        <v>0</v>
      </c>
      <c r="AN407" s="156"/>
      <c r="AO407" s="1"/>
      <c r="AP407" s="1"/>
      <c r="AQ407" s="1"/>
      <c r="AR407" s="1"/>
      <c r="AS407" s="21" t="s">
        <v>310</v>
      </c>
      <c r="AT407" s="1">
        <f t="shared" si="68"/>
        <v>0</v>
      </c>
      <c r="AU407" s="31"/>
      <c r="AV407" s="31"/>
      <c r="AW407" s="31"/>
      <c r="AX407" s="16">
        <f t="shared" si="64"/>
        <v>0</v>
      </c>
      <c r="AY407" s="108">
        <v>20</v>
      </c>
      <c r="AZ407" s="76">
        <v>0</v>
      </c>
      <c r="BA407" s="31"/>
      <c r="BB407" s="31"/>
      <c r="BC407" s="31"/>
      <c r="BD407" s="16">
        <f t="shared" si="69"/>
        <v>0</v>
      </c>
      <c r="BE407" s="31"/>
      <c r="BF407" s="31"/>
      <c r="BG407" s="31"/>
      <c r="BH407" s="31"/>
      <c r="BI407" s="16"/>
      <c r="BJ407" s="16"/>
      <c r="BK407" s="31"/>
      <c r="BL407" s="31"/>
      <c r="BM407" s="31"/>
      <c r="BN407" s="31"/>
      <c r="BO407" s="16"/>
      <c r="BP407" s="31"/>
      <c r="BQ407" s="31"/>
      <c r="BR407" s="31"/>
      <c r="BS407" s="31"/>
      <c r="BT407" s="16"/>
      <c r="BU407" s="16"/>
      <c r="BV407" s="16"/>
      <c r="BW407" s="16"/>
      <c r="BX407" s="16"/>
      <c r="BY407" s="16"/>
      <c r="BZ407" s="16"/>
      <c r="CA407" s="1"/>
      <c r="CB407" s="1"/>
      <c r="CC407" s="1"/>
    </row>
    <row r="408" spans="1:81" s="52" customFormat="1" ht="63" x14ac:dyDescent="0.25">
      <c r="A408" s="1">
        <v>5</v>
      </c>
      <c r="B408" s="13" t="s">
        <v>1750</v>
      </c>
      <c r="C408" s="572"/>
      <c r="D408" s="573"/>
      <c r="E408" s="10" t="s">
        <v>1354</v>
      </c>
      <c r="F408" s="13" t="s">
        <v>1355</v>
      </c>
      <c r="G408" s="572"/>
      <c r="H408" s="573"/>
      <c r="I408" s="10" t="s">
        <v>1356</v>
      </c>
      <c r="J408" s="13" t="s">
        <v>1357</v>
      </c>
      <c r="K408" s="572"/>
      <c r="L408" s="573"/>
      <c r="M408" s="10"/>
      <c r="N408" s="10" t="s">
        <v>1358</v>
      </c>
      <c r="O408" s="13" t="s">
        <v>1358</v>
      </c>
      <c r="P408" s="1" t="s">
        <v>55</v>
      </c>
      <c r="Q408" s="1">
        <v>100</v>
      </c>
      <c r="R408" s="24"/>
      <c r="S408" s="13" t="s">
        <v>1362</v>
      </c>
      <c r="T408" s="13" t="s">
        <v>1362</v>
      </c>
      <c r="U408" s="1" t="s">
        <v>55</v>
      </c>
      <c r="V408" s="1">
        <v>1</v>
      </c>
      <c r="W408" s="1" t="s">
        <v>412</v>
      </c>
      <c r="X408" s="10"/>
      <c r="Y408" s="10"/>
      <c r="Z408" s="1">
        <v>45</v>
      </c>
      <c r="AA408" s="24">
        <v>10</v>
      </c>
      <c r="AB408" s="10" t="s">
        <v>1333</v>
      </c>
      <c r="AC408" s="157"/>
      <c r="AD408" s="156"/>
      <c r="AE408" s="156"/>
      <c r="AF408" s="156"/>
      <c r="AG408" s="377">
        <f t="shared" si="70"/>
        <v>0</v>
      </c>
      <c r="AH408" s="377" t="b">
        <f t="shared" si="66"/>
        <v>0</v>
      </c>
      <c r="AI408" s="1"/>
      <c r="AJ408" s="1"/>
      <c r="AK408" s="1"/>
      <c r="AL408" s="1"/>
      <c r="AM408" s="16">
        <f t="shared" si="67"/>
        <v>0</v>
      </c>
      <c r="AN408" s="157"/>
      <c r="AO408" s="1"/>
      <c r="AP408" s="26"/>
      <c r="AQ408" s="26"/>
      <c r="AR408" s="26"/>
      <c r="AS408" s="21" t="s">
        <v>310</v>
      </c>
      <c r="AT408" s="1">
        <f t="shared" si="68"/>
        <v>0</v>
      </c>
      <c r="AU408" s="31"/>
      <c r="AV408" s="31"/>
      <c r="AW408" s="31"/>
      <c r="AX408" s="16">
        <f t="shared" si="64"/>
        <v>0</v>
      </c>
      <c r="AY408" s="156" t="s">
        <v>310</v>
      </c>
      <c r="AZ408" s="76"/>
      <c r="BA408" s="31"/>
      <c r="BB408" s="31"/>
      <c r="BC408" s="31"/>
      <c r="BD408" s="16" t="str">
        <f t="shared" si="69"/>
        <v>NP</v>
      </c>
      <c r="BE408" s="31"/>
      <c r="BF408" s="31"/>
      <c r="BG408" s="31"/>
      <c r="BH408" s="31"/>
      <c r="BI408" s="16"/>
      <c r="BJ408" s="16"/>
      <c r="BK408" s="31"/>
      <c r="BL408" s="31"/>
      <c r="BM408" s="31"/>
      <c r="BN408" s="31"/>
      <c r="BO408" s="16"/>
      <c r="BP408" s="31"/>
      <c r="BQ408" s="31"/>
      <c r="BR408" s="31"/>
      <c r="BS408" s="31"/>
      <c r="BT408" s="16"/>
      <c r="BU408" s="16"/>
      <c r="BV408" s="16"/>
      <c r="BW408" s="16"/>
      <c r="BX408" s="16"/>
      <c r="BY408" s="16"/>
      <c r="BZ408" s="16"/>
      <c r="CA408" s="1"/>
      <c r="CB408" s="1"/>
      <c r="CC408" s="1"/>
    </row>
    <row r="409" spans="1:81" s="52" customFormat="1" ht="63" x14ac:dyDescent="0.25">
      <c r="A409" s="1">
        <v>5</v>
      </c>
      <c r="B409" s="13" t="s">
        <v>1750</v>
      </c>
      <c r="C409" s="572"/>
      <c r="D409" s="573"/>
      <c r="E409" s="10" t="s">
        <v>1354</v>
      </c>
      <c r="F409" s="13" t="s">
        <v>1355</v>
      </c>
      <c r="G409" s="572"/>
      <c r="H409" s="573"/>
      <c r="I409" s="10" t="s">
        <v>1356</v>
      </c>
      <c r="J409" s="13" t="s">
        <v>1357</v>
      </c>
      <c r="K409" s="572"/>
      <c r="L409" s="573"/>
      <c r="M409" s="10"/>
      <c r="N409" s="10" t="s">
        <v>1358</v>
      </c>
      <c r="O409" s="13" t="s">
        <v>1358</v>
      </c>
      <c r="P409" s="1" t="s">
        <v>55</v>
      </c>
      <c r="Q409" s="1">
        <v>100</v>
      </c>
      <c r="R409" s="24"/>
      <c r="S409" s="13" t="s">
        <v>1363</v>
      </c>
      <c r="T409" s="13" t="s">
        <v>1363</v>
      </c>
      <c r="U409" s="1" t="s">
        <v>55</v>
      </c>
      <c r="V409" s="1">
        <v>10</v>
      </c>
      <c r="W409" s="1" t="s">
        <v>412</v>
      </c>
      <c r="X409" s="10"/>
      <c r="Y409" s="10"/>
      <c r="Z409" s="1">
        <v>45</v>
      </c>
      <c r="AA409" s="24">
        <v>10</v>
      </c>
      <c r="AB409" s="10" t="s">
        <v>1333</v>
      </c>
      <c r="AC409" s="157"/>
      <c r="AD409" s="156"/>
      <c r="AE409" s="156"/>
      <c r="AF409" s="156"/>
      <c r="AG409" s="377">
        <f t="shared" si="70"/>
        <v>0</v>
      </c>
      <c r="AH409" s="377" t="b">
        <f t="shared" si="66"/>
        <v>0</v>
      </c>
      <c r="AI409" s="1"/>
      <c r="AJ409" s="1"/>
      <c r="AK409" s="1"/>
      <c r="AL409" s="1"/>
      <c r="AM409" s="16">
        <f t="shared" si="67"/>
        <v>0</v>
      </c>
      <c r="AN409" s="157"/>
      <c r="AO409" s="1"/>
      <c r="AP409" s="1"/>
      <c r="AQ409" s="1"/>
      <c r="AR409" s="1"/>
      <c r="AS409" s="21" t="s">
        <v>310</v>
      </c>
      <c r="AT409" s="1">
        <f t="shared" si="68"/>
        <v>0</v>
      </c>
      <c r="AU409" s="31"/>
      <c r="AV409" s="31"/>
      <c r="AW409" s="31"/>
      <c r="AX409" s="16">
        <f t="shared" si="64"/>
        <v>0</v>
      </c>
      <c r="AY409" s="156" t="s">
        <v>310</v>
      </c>
      <c r="AZ409" s="76"/>
      <c r="BA409" s="31"/>
      <c r="BB409" s="31"/>
      <c r="BC409" s="31"/>
      <c r="BD409" s="16" t="str">
        <f t="shared" si="69"/>
        <v>NP</v>
      </c>
      <c r="BE409" s="31"/>
      <c r="BF409" s="31"/>
      <c r="BG409" s="31"/>
      <c r="BH409" s="31"/>
      <c r="BI409" s="16"/>
      <c r="BJ409" s="16"/>
      <c r="BK409" s="31"/>
      <c r="BL409" s="31"/>
      <c r="BM409" s="31"/>
      <c r="BN409" s="31"/>
      <c r="BO409" s="16"/>
      <c r="BP409" s="31"/>
      <c r="BQ409" s="31"/>
      <c r="BR409" s="31"/>
      <c r="BS409" s="31"/>
      <c r="BT409" s="16"/>
      <c r="BU409" s="16"/>
      <c r="BV409" s="16"/>
      <c r="BW409" s="16"/>
      <c r="BX409" s="16"/>
      <c r="BY409" s="16"/>
      <c r="BZ409" s="16"/>
      <c r="CA409" s="1"/>
      <c r="CB409" s="1"/>
      <c r="CC409" s="1"/>
    </row>
    <row r="410" spans="1:81" s="52" customFormat="1" ht="63" x14ac:dyDescent="0.25">
      <c r="A410" s="1">
        <v>5</v>
      </c>
      <c r="B410" s="13" t="s">
        <v>1750</v>
      </c>
      <c r="C410" s="572"/>
      <c r="D410" s="573"/>
      <c r="E410" s="10" t="s">
        <v>1354</v>
      </c>
      <c r="F410" s="13" t="s">
        <v>1355</v>
      </c>
      <c r="G410" s="572"/>
      <c r="H410" s="573"/>
      <c r="I410" s="10" t="s">
        <v>1356</v>
      </c>
      <c r="J410" s="13" t="s">
        <v>1357</v>
      </c>
      <c r="K410" s="572"/>
      <c r="L410" s="573"/>
      <c r="M410" s="11"/>
      <c r="N410" s="11" t="s">
        <v>1358</v>
      </c>
      <c r="O410" s="13" t="s">
        <v>1358</v>
      </c>
      <c r="P410" s="10" t="s">
        <v>55</v>
      </c>
      <c r="Q410" s="18">
        <v>1</v>
      </c>
      <c r="R410" s="20"/>
      <c r="S410" s="13" t="s">
        <v>1364</v>
      </c>
      <c r="T410" s="13" t="s">
        <v>1364</v>
      </c>
      <c r="U410" s="10">
        <v>48042</v>
      </c>
      <c r="V410" s="10">
        <v>800</v>
      </c>
      <c r="W410" s="10" t="s">
        <v>49</v>
      </c>
      <c r="X410" s="10">
        <v>0</v>
      </c>
      <c r="Y410" s="1" t="s">
        <v>81</v>
      </c>
      <c r="Z410" s="1">
        <v>40</v>
      </c>
      <c r="AA410" s="13" t="s">
        <v>82</v>
      </c>
      <c r="AB410" s="42" t="s">
        <v>1769</v>
      </c>
      <c r="AC410" s="156"/>
      <c r="AD410" s="108">
        <v>300</v>
      </c>
      <c r="AE410" s="156"/>
      <c r="AF410" s="156"/>
      <c r="AG410" s="377">
        <f t="shared" si="70"/>
        <v>300</v>
      </c>
      <c r="AH410" s="377" t="b">
        <f t="shared" si="66"/>
        <v>0</v>
      </c>
      <c r="AI410" s="1"/>
      <c r="AJ410" s="1"/>
      <c r="AK410" s="1"/>
      <c r="AL410" s="1"/>
      <c r="AM410" s="16">
        <f t="shared" si="67"/>
        <v>0</v>
      </c>
      <c r="AN410" s="156"/>
      <c r="AO410" s="1"/>
      <c r="AP410" s="1"/>
      <c r="AQ410" s="1"/>
      <c r="AR410" s="1"/>
      <c r="AS410" s="21" t="s">
        <v>310</v>
      </c>
      <c r="AT410" s="1">
        <f t="shared" si="68"/>
        <v>50</v>
      </c>
      <c r="AU410" s="31"/>
      <c r="AV410" s="31"/>
      <c r="AW410" s="31"/>
      <c r="AX410" s="16">
        <f t="shared" si="64"/>
        <v>6.25E-2</v>
      </c>
      <c r="AY410" s="108">
        <v>300</v>
      </c>
      <c r="AZ410" s="76">
        <v>50</v>
      </c>
      <c r="BA410" s="31"/>
      <c r="BB410" s="31"/>
      <c r="BC410" s="31"/>
      <c r="BD410" s="16">
        <f t="shared" si="69"/>
        <v>0.16666666666666666</v>
      </c>
      <c r="BE410" s="31"/>
      <c r="BF410" s="31"/>
      <c r="BG410" s="31"/>
      <c r="BH410" s="31"/>
      <c r="BI410" s="16"/>
      <c r="BJ410" s="16"/>
      <c r="BK410" s="31"/>
      <c r="BL410" s="31"/>
      <c r="BM410" s="31"/>
      <c r="BN410" s="31"/>
      <c r="BO410" s="16"/>
      <c r="BP410" s="31"/>
      <c r="BQ410" s="31"/>
      <c r="BR410" s="31"/>
      <c r="BS410" s="31"/>
      <c r="BT410" s="16"/>
      <c r="BU410" s="16"/>
      <c r="BV410" s="16"/>
      <c r="BW410" s="16"/>
      <c r="BX410" s="16"/>
      <c r="BY410" s="16"/>
      <c r="BZ410" s="16"/>
      <c r="CA410" s="19">
        <v>0</v>
      </c>
      <c r="CB410" s="19">
        <v>0</v>
      </c>
      <c r="CC410" s="19">
        <v>0</v>
      </c>
    </row>
    <row r="411" spans="1:81" s="52" customFormat="1" ht="72" customHeight="1" x14ac:dyDescent="0.25">
      <c r="A411" s="1">
        <v>5</v>
      </c>
      <c r="B411" s="13" t="s">
        <v>1750</v>
      </c>
      <c r="C411" s="572"/>
      <c r="D411" s="573"/>
      <c r="E411" s="10" t="s">
        <v>1354</v>
      </c>
      <c r="F411" s="13" t="s">
        <v>1355</v>
      </c>
      <c r="G411" s="572"/>
      <c r="H411" s="573"/>
      <c r="I411" s="10" t="s">
        <v>1356</v>
      </c>
      <c r="J411" s="13" t="s">
        <v>1357</v>
      </c>
      <c r="K411" s="572"/>
      <c r="L411" s="573"/>
      <c r="M411" s="11"/>
      <c r="N411" s="11" t="s">
        <v>1358</v>
      </c>
      <c r="O411" s="13" t="s">
        <v>1358</v>
      </c>
      <c r="P411" s="10" t="s">
        <v>55</v>
      </c>
      <c r="Q411" s="18">
        <v>1</v>
      </c>
      <c r="R411" s="20"/>
      <c r="S411" s="13" t="s">
        <v>1365</v>
      </c>
      <c r="T411" s="13" t="s">
        <v>1365</v>
      </c>
      <c r="U411" s="10">
        <v>78004</v>
      </c>
      <c r="V411" s="10">
        <v>800</v>
      </c>
      <c r="W411" s="10" t="s">
        <v>49</v>
      </c>
      <c r="X411" s="10">
        <v>0</v>
      </c>
      <c r="Y411" s="1" t="s">
        <v>81</v>
      </c>
      <c r="Z411" s="1">
        <v>40</v>
      </c>
      <c r="AA411" s="13" t="s">
        <v>82</v>
      </c>
      <c r="AB411" s="42" t="s">
        <v>1769</v>
      </c>
      <c r="AC411" s="156"/>
      <c r="AD411" s="108"/>
      <c r="AE411" s="156"/>
      <c r="AF411" s="156"/>
      <c r="AG411" s="377">
        <f t="shared" si="70"/>
        <v>0</v>
      </c>
      <c r="AH411" s="377" t="b">
        <f t="shared" si="66"/>
        <v>0</v>
      </c>
      <c r="AI411" s="1"/>
      <c r="AJ411" s="1"/>
      <c r="AK411" s="1"/>
      <c r="AL411" s="1"/>
      <c r="AM411" s="16">
        <f t="shared" si="67"/>
        <v>0</v>
      </c>
      <c r="AN411" s="156"/>
      <c r="AO411" s="1"/>
      <c r="AP411" s="1"/>
      <c r="AQ411" s="1"/>
      <c r="AR411" s="1"/>
      <c r="AS411" s="21" t="s">
        <v>310</v>
      </c>
      <c r="AT411" s="1">
        <f t="shared" si="68"/>
        <v>0</v>
      </c>
      <c r="AU411" s="31"/>
      <c r="AV411" s="31"/>
      <c r="AW411" s="31"/>
      <c r="AX411" s="16">
        <f t="shared" si="64"/>
        <v>0</v>
      </c>
      <c r="AY411" s="108" t="s">
        <v>310</v>
      </c>
      <c r="AZ411" s="76">
        <v>0</v>
      </c>
      <c r="BA411" s="31"/>
      <c r="BB411" s="31"/>
      <c r="BC411" s="31"/>
      <c r="BD411" s="16" t="str">
        <f t="shared" si="69"/>
        <v>NP</v>
      </c>
      <c r="BE411" s="31"/>
      <c r="BF411" s="31"/>
      <c r="BG411" s="31"/>
      <c r="BH411" s="31"/>
      <c r="BI411" s="16"/>
      <c r="BJ411" s="16"/>
      <c r="BK411" s="31"/>
      <c r="BL411" s="31"/>
      <c r="BM411" s="31"/>
      <c r="BN411" s="31"/>
      <c r="BO411" s="16"/>
      <c r="BP411" s="31"/>
      <c r="BQ411" s="31"/>
      <c r="BR411" s="31"/>
      <c r="BS411" s="31"/>
      <c r="BT411" s="16"/>
      <c r="BU411" s="16"/>
      <c r="BV411" s="16"/>
      <c r="BW411" s="16"/>
      <c r="BX411" s="16"/>
      <c r="BY411" s="16"/>
      <c r="BZ411" s="16"/>
      <c r="CA411" s="19">
        <v>0</v>
      </c>
      <c r="CB411" s="19">
        <v>0</v>
      </c>
      <c r="CC411" s="19">
        <v>0</v>
      </c>
    </row>
    <row r="412" spans="1:81" s="52" customFormat="1" ht="60" customHeight="1" x14ac:dyDescent="0.25">
      <c r="A412" s="1">
        <v>5</v>
      </c>
      <c r="B412" s="13" t="s">
        <v>1750</v>
      </c>
      <c r="C412" s="572"/>
      <c r="D412" s="573"/>
      <c r="E412" s="10" t="s">
        <v>1354</v>
      </c>
      <c r="F412" s="13" t="s">
        <v>1355</v>
      </c>
      <c r="G412" s="572"/>
      <c r="H412" s="573"/>
      <c r="I412" s="10" t="s">
        <v>1356</v>
      </c>
      <c r="J412" s="13" t="s">
        <v>1357</v>
      </c>
      <c r="K412" s="572"/>
      <c r="L412" s="573"/>
      <c r="M412" s="11"/>
      <c r="N412" s="11" t="s">
        <v>1358</v>
      </c>
      <c r="O412" s="13" t="s">
        <v>1358</v>
      </c>
      <c r="P412" s="10" t="s">
        <v>55</v>
      </c>
      <c r="Q412" s="18">
        <v>1</v>
      </c>
      <c r="R412" s="20"/>
      <c r="S412" s="13" t="s">
        <v>1366</v>
      </c>
      <c r="T412" s="13" t="s">
        <v>1366</v>
      </c>
      <c r="U412" s="10" t="s">
        <v>55</v>
      </c>
      <c r="V412" s="10">
        <v>200</v>
      </c>
      <c r="W412" s="10" t="s">
        <v>49</v>
      </c>
      <c r="X412" s="10">
        <v>0</v>
      </c>
      <c r="Y412" s="1" t="s">
        <v>81</v>
      </c>
      <c r="Z412" s="1">
        <v>40</v>
      </c>
      <c r="AA412" s="13" t="s">
        <v>82</v>
      </c>
      <c r="AB412" s="10" t="s">
        <v>1770</v>
      </c>
      <c r="AC412" s="156"/>
      <c r="AD412" s="108">
        <v>70</v>
      </c>
      <c r="AE412" s="156"/>
      <c r="AF412" s="156"/>
      <c r="AG412" s="377">
        <f t="shared" si="70"/>
        <v>70</v>
      </c>
      <c r="AH412" s="377" t="b">
        <f t="shared" si="66"/>
        <v>0</v>
      </c>
      <c r="AI412" s="1"/>
      <c r="AJ412" s="1"/>
      <c r="AK412" s="1"/>
      <c r="AL412" s="1"/>
      <c r="AM412" s="16">
        <f t="shared" si="67"/>
        <v>0</v>
      </c>
      <c r="AN412" s="156"/>
      <c r="AO412" s="1"/>
      <c r="AP412" s="1"/>
      <c r="AQ412" s="1"/>
      <c r="AR412" s="1"/>
      <c r="AS412" s="21" t="s">
        <v>310</v>
      </c>
      <c r="AT412" s="1">
        <f t="shared" si="68"/>
        <v>22</v>
      </c>
      <c r="AU412" s="31"/>
      <c r="AV412" s="31"/>
      <c r="AW412" s="31"/>
      <c r="AX412" s="16">
        <f t="shared" si="64"/>
        <v>0.11</v>
      </c>
      <c r="AY412" s="108">
        <v>70</v>
      </c>
      <c r="AZ412" s="76">
        <v>22</v>
      </c>
      <c r="BA412" s="31"/>
      <c r="BB412" s="31"/>
      <c r="BC412" s="31"/>
      <c r="BD412" s="16">
        <f t="shared" si="69"/>
        <v>0.31428571428571428</v>
      </c>
      <c r="BE412" s="31"/>
      <c r="BF412" s="31"/>
      <c r="BG412" s="31"/>
      <c r="BH412" s="31"/>
      <c r="BI412" s="16"/>
      <c r="BJ412" s="16"/>
      <c r="BK412" s="31"/>
      <c r="BL412" s="31"/>
      <c r="BM412" s="31"/>
      <c r="BN412" s="31"/>
      <c r="BO412" s="16"/>
      <c r="BP412" s="31"/>
      <c r="BQ412" s="31"/>
      <c r="BR412" s="31"/>
      <c r="BS412" s="31"/>
      <c r="BT412" s="16"/>
      <c r="BU412" s="16"/>
      <c r="BV412" s="16"/>
      <c r="BW412" s="16"/>
      <c r="BX412" s="16"/>
      <c r="BY412" s="16"/>
      <c r="BZ412" s="16"/>
      <c r="CA412" s="19">
        <v>0</v>
      </c>
      <c r="CB412" s="19">
        <v>0</v>
      </c>
      <c r="CC412" s="19">
        <v>0</v>
      </c>
    </row>
    <row r="413" spans="1:81" s="52" customFormat="1" ht="77.25" customHeight="1" x14ac:dyDescent="0.25">
      <c r="A413" s="1">
        <v>5</v>
      </c>
      <c r="B413" s="13" t="s">
        <v>1750</v>
      </c>
      <c r="C413" s="572"/>
      <c r="D413" s="573"/>
      <c r="E413" s="10" t="s">
        <v>1354</v>
      </c>
      <c r="F413" s="13" t="s">
        <v>1355</v>
      </c>
      <c r="G413" s="572"/>
      <c r="H413" s="573"/>
      <c r="I413" s="10" t="s">
        <v>1356</v>
      </c>
      <c r="J413" s="13" t="s">
        <v>1357</v>
      </c>
      <c r="K413" s="572"/>
      <c r="L413" s="573"/>
      <c r="M413" s="11"/>
      <c r="N413" s="11" t="s">
        <v>1358</v>
      </c>
      <c r="O413" s="13" t="s">
        <v>1358</v>
      </c>
      <c r="P413" s="10" t="s">
        <v>55</v>
      </c>
      <c r="Q413" s="18">
        <v>1</v>
      </c>
      <c r="R413" s="20"/>
      <c r="S413" s="13" t="s">
        <v>1367</v>
      </c>
      <c r="T413" s="13" t="s">
        <v>1367</v>
      </c>
      <c r="U413" s="10" t="s">
        <v>55</v>
      </c>
      <c r="V413" s="10">
        <v>200</v>
      </c>
      <c r="W413" s="10" t="s">
        <v>49</v>
      </c>
      <c r="X413" s="10">
        <v>0</v>
      </c>
      <c r="Y413" s="1" t="s">
        <v>81</v>
      </c>
      <c r="Z413" s="1">
        <v>40</v>
      </c>
      <c r="AA413" s="13" t="s">
        <v>82</v>
      </c>
      <c r="AB413" s="10" t="s">
        <v>1770</v>
      </c>
      <c r="AC413" s="156"/>
      <c r="AD413" s="108"/>
      <c r="AE413" s="156"/>
      <c r="AF413" s="156"/>
      <c r="AG413" s="377">
        <f t="shared" si="70"/>
        <v>0</v>
      </c>
      <c r="AH413" s="377" t="b">
        <f t="shared" si="66"/>
        <v>0</v>
      </c>
      <c r="AI413" s="1"/>
      <c r="AJ413" s="1"/>
      <c r="AK413" s="1"/>
      <c r="AL413" s="1"/>
      <c r="AM413" s="16">
        <f t="shared" si="67"/>
        <v>0</v>
      </c>
      <c r="AN413" s="156"/>
      <c r="AO413" s="1"/>
      <c r="AP413" s="1"/>
      <c r="AQ413" s="1"/>
      <c r="AR413" s="1"/>
      <c r="AS413" s="21" t="s">
        <v>310</v>
      </c>
      <c r="AT413" s="1">
        <f t="shared" si="68"/>
        <v>0</v>
      </c>
      <c r="AU413" s="31"/>
      <c r="AV413" s="31"/>
      <c r="AW413" s="31"/>
      <c r="AX413" s="16">
        <f t="shared" si="64"/>
        <v>0</v>
      </c>
      <c r="AY413" s="108" t="s">
        <v>310</v>
      </c>
      <c r="AZ413" s="76">
        <v>0</v>
      </c>
      <c r="BA413" s="31"/>
      <c r="BB413" s="31"/>
      <c r="BC413" s="31"/>
      <c r="BD413" s="16" t="str">
        <f t="shared" si="69"/>
        <v>NP</v>
      </c>
      <c r="BE413" s="31"/>
      <c r="BF413" s="31"/>
      <c r="BG413" s="31"/>
      <c r="BH413" s="31"/>
      <c r="BI413" s="16"/>
      <c r="BJ413" s="16"/>
      <c r="BK413" s="31"/>
      <c r="BL413" s="31"/>
      <c r="BM413" s="31"/>
      <c r="BN413" s="31"/>
      <c r="BO413" s="16"/>
      <c r="BP413" s="31"/>
      <c r="BQ413" s="31"/>
      <c r="BR413" s="31"/>
      <c r="BS413" s="31"/>
      <c r="BT413" s="16"/>
      <c r="BU413" s="16"/>
      <c r="BV413" s="16"/>
      <c r="BW413" s="16"/>
      <c r="BX413" s="16"/>
      <c r="BY413" s="16"/>
      <c r="BZ413" s="16"/>
      <c r="CA413" s="19">
        <v>0</v>
      </c>
      <c r="CB413" s="19">
        <v>0</v>
      </c>
      <c r="CC413" s="19">
        <v>0</v>
      </c>
    </row>
    <row r="414" spans="1:81" s="425" customFormat="1" ht="90" customHeight="1" x14ac:dyDescent="0.25">
      <c r="A414" s="1">
        <v>5</v>
      </c>
      <c r="B414" s="13" t="s">
        <v>1750</v>
      </c>
      <c r="C414" s="572"/>
      <c r="D414" s="573"/>
      <c r="E414" s="10" t="s">
        <v>1354</v>
      </c>
      <c r="F414" s="13" t="s">
        <v>1355</v>
      </c>
      <c r="G414" s="572"/>
      <c r="H414" s="573"/>
      <c r="I414" s="10" t="s">
        <v>1356</v>
      </c>
      <c r="J414" s="312" t="s">
        <v>1357</v>
      </c>
      <c r="K414" s="580"/>
      <c r="L414" s="580"/>
      <c r="M414" s="423"/>
      <c r="N414" s="11" t="s">
        <v>1358</v>
      </c>
      <c r="O414" s="13" t="s">
        <v>1358</v>
      </c>
      <c r="P414" s="10" t="s">
        <v>55</v>
      </c>
      <c r="Q414" s="18">
        <v>1</v>
      </c>
      <c r="R414" s="20"/>
      <c r="S414" s="312" t="s">
        <v>1368</v>
      </c>
      <c r="T414" s="13" t="s">
        <v>1368</v>
      </c>
      <c r="U414" s="133" t="s">
        <v>55</v>
      </c>
      <c r="V414" s="432">
        <v>5000</v>
      </c>
      <c r="W414" s="133" t="s">
        <v>412</v>
      </c>
      <c r="X414" s="1"/>
      <c r="Y414" s="1" t="s">
        <v>81</v>
      </c>
      <c r="Z414" s="1">
        <v>40</v>
      </c>
      <c r="AA414" s="13" t="s">
        <v>82</v>
      </c>
      <c r="AB414" s="433" t="s">
        <v>1754</v>
      </c>
      <c r="AC414" s="156"/>
      <c r="AD414" s="108"/>
      <c r="AE414" s="156"/>
      <c r="AF414" s="156"/>
      <c r="AG414" s="377">
        <f t="shared" si="70"/>
        <v>0</v>
      </c>
      <c r="AH414" s="377" t="b">
        <f t="shared" si="66"/>
        <v>0</v>
      </c>
      <c r="AI414" s="108"/>
      <c r="AJ414" s="108"/>
      <c r="AK414" s="108"/>
      <c r="AL414" s="108"/>
      <c r="AM414" s="191">
        <f t="shared" si="67"/>
        <v>0</v>
      </c>
      <c r="AN414" s="156"/>
      <c r="AO414" s="1"/>
      <c r="AP414" s="1"/>
      <c r="AQ414" s="1"/>
      <c r="AR414" s="108"/>
      <c r="AS414" s="191" t="s">
        <v>310</v>
      </c>
      <c r="AT414" s="1">
        <f t="shared" si="68"/>
        <v>0</v>
      </c>
      <c r="AU414" s="191"/>
      <c r="AV414" s="191"/>
      <c r="AW414" s="191"/>
      <c r="AX414" s="16">
        <f t="shared" si="64"/>
        <v>0</v>
      </c>
      <c r="AY414" s="108" t="s">
        <v>310</v>
      </c>
      <c r="AZ414" s="108"/>
      <c r="BA414" s="191"/>
      <c r="BB414" s="191"/>
      <c r="BC414" s="191"/>
      <c r="BD414" s="191" t="str">
        <f t="shared" si="69"/>
        <v>NP</v>
      </c>
      <c r="BE414" s="191"/>
      <c r="BF414" s="191"/>
      <c r="BG414" s="191"/>
      <c r="BH414" s="191"/>
      <c r="BI414" s="191"/>
      <c r="BJ414" s="191"/>
      <c r="BK414" s="191"/>
      <c r="BL414" s="191"/>
      <c r="BM414" s="191"/>
      <c r="BN414" s="191"/>
      <c r="BO414" s="191"/>
      <c r="BP414" s="191"/>
      <c r="BQ414" s="191"/>
      <c r="BR414" s="191"/>
      <c r="BS414" s="191"/>
      <c r="BT414" s="191"/>
      <c r="BU414" s="191"/>
      <c r="BV414" s="191"/>
      <c r="BW414" s="191"/>
      <c r="BX414" s="191"/>
      <c r="BY414" s="191"/>
      <c r="BZ414" s="191"/>
      <c r="CA414" s="108"/>
      <c r="CB414" s="108"/>
      <c r="CC414" s="108"/>
    </row>
    <row r="415" spans="1:81" s="52" customFormat="1" ht="47.25" x14ac:dyDescent="0.25">
      <c r="A415" s="1">
        <v>5</v>
      </c>
      <c r="B415" s="13" t="s">
        <v>1750</v>
      </c>
      <c r="C415" s="572"/>
      <c r="D415" s="573"/>
      <c r="E415" s="10" t="s">
        <v>1354</v>
      </c>
      <c r="F415" s="13" t="s">
        <v>1355</v>
      </c>
      <c r="G415" s="572"/>
      <c r="H415" s="573"/>
      <c r="I415" s="1" t="s">
        <v>1369</v>
      </c>
      <c r="J415" s="13" t="s">
        <v>1370</v>
      </c>
      <c r="K415" s="567">
        <f>AVERAGE(AX415:AX418)</f>
        <v>0.36909090909090914</v>
      </c>
      <c r="L415" s="569">
        <f>IFERROR(AVERAGE(BD415:BD418),"NP")</f>
        <v>0.69620689655172407</v>
      </c>
      <c r="M415" s="11"/>
      <c r="N415" s="23" t="s">
        <v>1371</v>
      </c>
      <c r="O415" s="13" t="s">
        <v>1371</v>
      </c>
      <c r="P415" s="10" t="s">
        <v>55</v>
      </c>
      <c r="Q415" s="18">
        <v>1</v>
      </c>
      <c r="R415" s="20"/>
      <c r="S415" s="13" t="s">
        <v>1372</v>
      </c>
      <c r="T415" s="13" t="s">
        <v>1372</v>
      </c>
      <c r="U415" s="133">
        <v>146</v>
      </c>
      <c r="V415" s="133">
        <v>210</v>
      </c>
      <c r="W415" s="10" t="s">
        <v>412</v>
      </c>
      <c r="X415" s="1"/>
      <c r="Y415" s="1"/>
      <c r="Z415" s="1"/>
      <c r="AA415" s="24"/>
      <c r="AB415" s="42" t="s">
        <v>1753</v>
      </c>
      <c r="AC415" s="156">
        <v>40</v>
      </c>
      <c r="AD415" s="156">
        <v>100</v>
      </c>
      <c r="AE415" s="156">
        <v>40</v>
      </c>
      <c r="AF415" s="156">
        <v>30</v>
      </c>
      <c r="AG415" s="377">
        <f t="shared" si="70"/>
        <v>210</v>
      </c>
      <c r="AH415" s="377" t="b">
        <f t="shared" si="66"/>
        <v>1</v>
      </c>
      <c r="AI415" s="1"/>
      <c r="AJ415" s="1"/>
      <c r="AK415" s="1"/>
      <c r="AL415" s="1"/>
      <c r="AM415" s="16">
        <v>0</v>
      </c>
      <c r="AN415" s="156"/>
      <c r="AO415" s="1"/>
      <c r="AP415" s="1"/>
      <c r="AQ415" s="1"/>
      <c r="AR415" s="65"/>
      <c r="AS415" s="21" t="s">
        <v>310</v>
      </c>
      <c r="AT415" s="1">
        <f t="shared" si="68"/>
        <v>84</v>
      </c>
      <c r="AU415" s="31"/>
      <c r="AV415" s="31"/>
      <c r="AW415" s="31"/>
      <c r="AX415" s="16">
        <f t="shared" si="64"/>
        <v>0.4</v>
      </c>
      <c r="AY415" s="156">
        <v>100</v>
      </c>
      <c r="AZ415" s="76">
        <v>84</v>
      </c>
      <c r="BA415" s="31"/>
      <c r="BB415" s="31"/>
      <c r="BC415" s="31"/>
      <c r="BD415" s="16">
        <f t="shared" si="69"/>
        <v>0.84</v>
      </c>
      <c r="BE415" s="31"/>
      <c r="BF415" s="31"/>
      <c r="BG415" s="31"/>
      <c r="BH415" s="31"/>
      <c r="BI415" s="16"/>
      <c r="BJ415" s="16"/>
      <c r="BK415" s="31"/>
      <c r="BL415" s="31"/>
      <c r="BM415" s="31"/>
      <c r="BN415" s="31"/>
      <c r="BO415" s="16"/>
      <c r="BP415" s="31"/>
      <c r="BQ415" s="31"/>
      <c r="BR415" s="31"/>
      <c r="BS415" s="31"/>
      <c r="BT415" s="16"/>
      <c r="BU415" s="16"/>
      <c r="BV415" s="16"/>
      <c r="BW415" s="16"/>
      <c r="BX415" s="16"/>
      <c r="BY415" s="16"/>
      <c r="BZ415" s="16"/>
      <c r="CA415" s="1"/>
      <c r="CB415" s="1"/>
      <c r="CC415" s="1"/>
    </row>
    <row r="416" spans="1:81" s="52" customFormat="1" ht="46.9" customHeight="1" x14ac:dyDescent="0.25">
      <c r="A416" s="1">
        <v>5</v>
      </c>
      <c r="B416" s="13" t="s">
        <v>1750</v>
      </c>
      <c r="C416" s="572"/>
      <c r="D416" s="573"/>
      <c r="E416" s="10" t="s">
        <v>1354</v>
      </c>
      <c r="F416" s="13" t="s">
        <v>1355</v>
      </c>
      <c r="G416" s="572"/>
      <c r="H416" s="573"/>
      <c r="I416" s="1" t="s">
        <v>1369</v>
      </c>
      <c r="J416" s="13" t="s">
        <v>1370</v>
      </c>
      <c r="K416" s="572"/>
      <c r="L416" s="573"/>
      <c r="M416" s="11"/>
      <c r="N416" s="23" t="s">
        <v>1371</v>
      </c>
      <c r="O416" s="13" t="s">
        <v>1371</v>
      </c>
      <c r="P416" s="10" t="s">
        <v>55</v>
      </c>
      <c r="Q416" s="18">
        <v>1</v>
      </c>
      <c r="R416" s="20"/>
      <c r="S416" s="13" t="s">
        <v>1374</v>
      </c>
      <c r="T416" s="13" t="s">
        <v>1374</v>
      </c>
      <c r="U416" s="1">
        <v>85</v>
      </c>
      <c r="V416" s="36">
        <v>275</v>
      </c>
      <c r="W416" s="10" t="s">
        <v>412</v>
      </c>
      <c r="X416" s="1"/>
      <c r="Y416" s="1"/>
      <c r="Z416" s="1"/>
      <c r="AA416" s="24"/>
      <c r="AB416" s="42" t="s">
        <v>1753</v>
      </c>
      <c r="AC416" s="156">
        <v>30</v>
      </c>
      <c r="AD416" s="156">
        <v>145</v>
      </c>
      <c r="AE416" s="156">
        <v>50</v>
      </c>
      <c r="AF416" s="156">
        <v>50</v>
      </c>
      <c r="AG416" s="377">
        <f t="shared" si="70"/>
        <v>275</v>
      </c>
      <c r="AH416" s="377" t="b">
        <f t="shared" si="66"/>
        <v>1</v>
      </c>
      <c r="AI416" s="1"/>
      <c r="AJ416" s="1"/>
      <c r="AK416" s="1"/>
      <c r="AL416" s="1"/>
      <c r="AM416" s="16">
        <f t="shared" si="67"/>
        <v>0</v>
      </c>
      <c r="AN416" s="156"/>
      <c r="AO416" s="1"/>
      <c r="AP416" s="1"/>
      <c r="AQ416" s="1"/>
      <c r="AR416" s="65"/>
      <c r="AS416" s="21" t="s">
        <v>310</v>
      </c>
      <c r="AT416" s="1">
        <f t="shared" si="68"/>
        <v>21</v>
      </c>
      <c r="AU416" s="31"/>
      <c r="AV416" s="31"/>
      <c r="AW416" s="31"/>
      <c r="AX416" s="16">
        <f t="shared" si="64"/>
        <v>7.636363636363637E-2</v>
      </c>
      <c r="AY416" s="156">
        <v>145</v>
      </c>
      <c r="AZ416" s="76">
        <v>21</v>
      </c>
      <c r="BA416" s="31"/>
      <c r="BB416" s="31"/>
      <c r="BC416" s="31"/>
      <c r="BD416" s="16">
        <f t="shared" si="69"/>
        <v>0.14482758620689656</v>
      </c>
      <c r="BE416" s="31"/>
      <c r="BF416" s="31"/>
      <c r="BG416" s="31"/>
      <c r="BH416" s="31"/>
      <c r="BI416" s="16"/>
      <c r="BJ416" s="16"/>
      <c r="BK416" s="31"/>
      <c r="BL416" s="31"/>
      <c r="BM416" s="31"/>
      <c r="BN416" s="31"/>
      <c r="BO416" s="16"/>
      <c r="BP416" s="31"/>
      <c r="BQ416" s="31"/>
      <c r="BR416" s="31"/>
      <c r="BS416" s="31"/>
      <c r="BT416" s="16"/>
      <c r="BU416" s="16"/>
      <c r="BV416" s="16"/>
      <c r="BW416" s="16"/>
      <c r="BX416" s="16"/>
      <c r="BY416" s="16"/>
      <c r="BZ416" s="16"/>
      <c r="CA416" s="1"/>
      <c r="CB416" s="1"/>
      <c r="CC416" s="1"/>
    </row>
    <row r="417" spans="1:81" s="52" customFormat="1" ht="47.25" x14ac:dyDescent="0.25">
      <c r="A417" s="1">
        <v>5</v>
      </c>
      <c r="B417" s="13" t="s">
        <v>1750</v>
      </c>
      <c r="C417" s="572"/>
      <c r="D417" s="573"/>
      <c r="E417" s="10" t="s">
        <v>1354</v>
      </c>
      <c r="F417" s="13" t="s">
        <v>1355</v>
      </c>
      <c r="G417" s="572"/>
      <c r="H417" s="573"/>
      <c r="I417" s="1" t="s">
        <v>1369</v>
      </c>
      <c r="J417" s="13" t="s">
        <v>1370</v>
      </c>
      <c r="K417" s="572"/>
      <c r="L417" s="573"/>
      <c r="M417" s="11"/>
      <c r="N417" s="23" t="s">
        <v>1371</v>
      </c>
      <c r="O417" s="13" t="s">
        <v>1371</v>
      </c>
      <c r="P417" s="10" t="s">
        <v>55</v>
      </c>
      <c r="Q417" s="18">
        <v>1</v>
      </c>
      <c r="R417" s="20"/>
      <c r="S417" s="13" t="s">
        <v>1375</v>
      </c>
      <c r="T417" s="13" t="s">
        <v>1375</v>
      </c>
      <c r="U417" s="10" t="s">
        <v>1373</v>
      </c>
      <c r="V417" s="10">
        <v>10</v>
      </c>
      <c r="W417" s="10" t="s">
        <v>412</v>
      </c>
      <c r="X417" s="1"/>
      <c r="Y417" s="1"/>
      <c r="Z417" s="1"/>
      <c r="AA417" s="24"/>
      <c r="AB417" s="42" t="s">
        <v>1753</v>
      </c>
      <c r="AC417" s="156">
        <v>2</v>
      </c>
      <c r="AD417" s="156">
        <v>2</v>
      </c>
      <c r="AE417" s="156">
        <v>3</v>
      </c>
      <c r="AF417" s="156">
        <v>3</v>
      </c>
      <c r="AG417" s="377">
        <f t="shared" si="70"/>
        <v>10</v>
      </c>
      <c r="AH417" s="377" t="b">
        <f t="shared" si="66"/>
        <v>1</v>
      </c>
      <c r="AI417" s="1"/>
      <c r="AJ417" s="1"/>
      <c r="AK417" s="1"/>
      <c r="AL417" s="1"/>
      <c r="AM417" s="16">
        <f t="shared" si="67"/>
        <v>0</v>
      </c>
      <c r="AN417" s="156"/>
      <c r="AO417" s="1"/>
      <c r="AP417" s="1"/>
      <c r="AQ417" s="1"/>
      <c r="AR417" s="65"/>
      <c r="AS417" s="21" t="s">
        <v>310</v>
      </c>
      <c r="AT417" s="1">
        <f t="shared" si="68"/>
        <v>2</v>
      </c>
      <c r="AU417" s="31"/>
      <c r="AV417" s="31"/>
      <c r="AW417" s="31"/>
      <c r="AX417" s="16">
        <f t="shared" si="64"/>
        <v>0.2</v>
      </c>
      <c r="AY417" s="156">
        <v>2</v>
      </c>
      <c r="AZ417" s="76">
        <v>2</v>
      </c>
      <c r="BA417" s="31"/>
      <c r="BB417" s="31"/>
      <c r="BC417" s="31"/>
      <c r="BD417" s="16">
        <f t="shared" si="69"/>
        <v>1</v>
      </c>
      <c r="BE417" s="31"/>
      <c r="BF417" s="31"/>
      <c r="BG417" s="31"/>
      <c r="BH417" s="31"/>
      <c r="BI417" s="16"/>
      <c r="BJ417" s="16"/>
      <c r="BK417" s="31"/>
      <c r="BL417" s="31"/>
      <c r="BM417" s="31"/>
      <c r="BN417" s="31"/>
      <c r="BO417" s="16"/>
      <c r="BP417" s="31"/>
      <c r="BQ417" s="31"/>
      <c r="BR417" s="31"/>
      <c r="BS417" s="31"/>
      <c r="BT417" s="16"/>
      <c r="BU417" s="16"/>
      <c r="BV417" s="16"/>
      <c r="BW417" s="16"/>
      <c r="BX417" s="16"/>
      <c r="BY417" s="16"/>
      <c r="BZ417" s="16"/>
      <c r="CA417" s="1"/>
      <c r="CB417" s="1"/>
      <c r="CC417" s="1"/>
    </row>
    <row r="418" spans="1:81" s="52" customFormat="1" ht="47.25" x14ac:dyDescent="0.25">
      <c r="A418" s="1">
        <v>5</v>
      </c>
      <c r="B418" s="13" t="s">
        <v>1750</v>
      </c>
      <c r="C418" s="572"/>
      <c r="D418" s="573"/>
      <c r="E418" s="10" t="s">
        <v>1354</v>
      </c>
      <c r="F418" s="13" t="s">
        <v>1355</v>
      </c>
      <c r="G418" s="572"/>
      <c r="H418" s="573"/>
      <c r="I418" s="1" t="s">
        <v>1369</v>
      </c>
      <c r="J418" s="13" t="s">
        <v>1370</v>
      </c>
      <c r="K418" s="568"/>
      <c r="L418" s="570"/>
      <c r="M418" s="11"/>
      <c r="N418" s="23" t="s">
        <v>1371</v>
      </c>
      <c r="O418" s="13" t="s">
        <v>1371</v>
      </c>
      <c r="P418" s="10" t="s">
        <v>55</v>
      </c>
      <c r="Q418" s="18">
        <v>1</v>
      </c>
      <c r="R418" s="20"/>
      <c r="S418" s="13" t="s">
        <v>1376</v>
      </c>
      <c r="T418" s="13" t="s">
        <v>1376</v>
      </c>
      <c r="U418" s="10" t="s">
        <v>1373</v>
      </c>
      <c r="V418" s="10">
        <v>10</v>
      </c>
      <c r="W418" s="10" t="s">
        <v>412</v>
      </c>
      <c r="X418" s="1"/>
      <c r="Y418" s="1"/>
      <c r="Z418" s="1"/>
      <c r="AA418" s="24"/>
      <c r="AB418" s="42" t="s">
        <v>1753</v>
      </c>
      <c r="AC418" s="156">
        <v>0</v>
      </c>
      <c r="AD418" s="156">
        <v>10</v>
      </c>
      <c r="AE418" s="156"/>
      <c r="AF418" s="156"/>
      <c r="AG418" s="377">
        <f t="shared" si="70"/>
        <v>10</v>
      </c>
      <c r="AH418" s="377" t="b">
        <f t="shared" si="66"/>
        <v>1</v>
      </c>
      <c r="AI418" s="1"/>
      <c r="AJ418" s="1"/>
      <c r="AK418" s="1"/>
      <c r="AL418" s="1"/>
      <c r="AM418" s="16">
        <f t="shared" si="67"/>
        <v>0</v>
      </c>
      <c r="AN418" s="156"/>
      <c r="AO418" s="1"/>
      <c r="AP418" s="1"/>
      <c r="AQ418" s="1"/>
      <c r="AR418" s="65"/>
      <c r="AS418" s="21" t="s">
        <v>310</v>
      </c>
      <c r="AT418" s="1">
        <f t="shared" si="68"/>
        <v>8</v>
      </c>
      <c r="AU418" s="31"/>
      <c r="AV418" s="31"/>
      <c r="AW418" s="31"/>
      <c r="AX418" s="16">
        <f t="shared" si="64"/>
        <v>0.8</v>
      </c>
      <c r="AY418" s="156">
        <v>10</v>
      </c>
      <c r="AZ418" s="76">
        <v>8</v>
      </c>
      <c r="BA418" s="31"/>
      <c r="BB418" s="31"/>
      <c r="BC418" s="31"/>
      <c r="BD418" s="16">
        <f t="shared" si="69"/>
        <v>0.8</v>
      </c>
      <c r="BE418" s="31"/>
      <c r="BF418" s="31"/>
      <c r="BG418" s="31"/>
      <c r="BH418" s="31"/>
      <c r="BI418" s="16"/>
      <c r="BJ418" s="16"/>
      <c r="BK418" s="31"/>
      <c r="BL418" s="31"/>
      <c r="BM418" s="31"/>
      <c r="BN418" s="31"/>
      <c r="BO418" s="16"/>
      <c r="BP418" s="31"/>
      <c r="BQ418" s="31"/>
      <c r="BR418" s="31"/>
      <c r="BS418" s="31"/>
      <c r="BT418" s="16"/>
      <c r="BU418" s="16"/>
      <c r="BV418" s="16"/>
      <c r="BW418" s="16"/>
      <c r="BX418" s="16"/>
      <c r="BY418" s="16"/>
      <c r="BZ418" s="16"/>
      <c r="CA418" s="1"/>
      <c r="CB418" s="1"/>
      <c r="CC418" s="1"/>
    </row>
    <row r="419" spans="1:81" s="52" customFormat="1" ht="110.25" x14ac:dyDescent="0.25">
      <c r="A419" s="1">
        <v>5</v>
      </c>
      <c r="B419" s="13" t="s">
        <v>1750</v>
      </c>
      <c r="C419" s="572"/>
      <c r="D419" s="573"/>
      <c r="E419" s="10" t="s">
        <v>1354</v>
      </c>
      <c r="F419" s="13" t="s">
        <v>1355</v>
      </c>
      <c r="G419" s="572"/>
      <c r="H419" s="573"/>
      <c r="I419" s="10" t="s">
        <v>1377</v>
      </c>
      <c r="J419" s="13" t="s">
        <v>1378</v>
      </c>
      <c r="K419" s="567">
        <f>AVERAGE(AX419:AX421)</f>
        <v>0.48</v>
      </c>
      <c r="L419" s="569">
        <f>AVERAGE(BD419:BD421)</f>
        <v>0.375</v>
      </c>
      <c r="M419" s="11"/>
      <c r="N419" s="11" t="s">
        <v>1379</v>
      </c>
      <c r="O419" s="11" t="s">
        <v>1379</v>
      </c>
      <c r="P419" s="10">
        <v>0.41</v>
      </c>
      <c r="Q419" s="10" t="s">
        <v>1380</v>
      </c>
      <c r="R419" s="13"/>
      <c r="S419" s="13" t="s">
        <v>1381</v>
      </c>
      <c r="T419" s="13" t="s">
        <v>1381</v>
      </c>
      <c r="U419" s="10">
        <v>13</v>
      </c>
      <c r="V419" s="10">
        <v>25</v>
      </c>
      <c r="W419" s="10" t="s">
        <v>49</v>
      </c>
      <c r="X419" s="1"/>
      <c r="Y419" s="1" t="s">
        <v>81</v>
      </c>
      <c r="Z419" s="1">
        <v>40</v>
      </c>
      <c r="AA419" s="13" t="s">
        <v>1382</v>
      </c>
      <c r="AB419" s="10" t="s">
        <v>1771</v>
      </c>
      <c r="AC419" s="157">
        <v>1</v>
      </c>
      <c r="AD419" s="156">
        <v>8</v>
      </c>
      <c r="AE419" s="156"/>
      <c r="AF419" s="156"/>
      <c r="AG419" s="377">
        <f t="shared" si="70"/>
        <v>9</v>
      </c>
      <c r="AH419" s="377" t="b">
        <f t="shared" si="66"/>
        <v>0</v>
      </c>
      <c r="AI419" s="1">
        <v>1</v>
      </c>
      <c r="AJ419" s="1">
        <v>4</v>
      </c>
      <c r="AK419" s="1">
        <v>10</v>
      </c>
      <c r="AL419" s="1">
        <v>10</v>
      </c>
      <c r="AM419" s="16">
        <f t="shared" si="67"/>
        <v>0.4</v>
      </c>
      <c r="AN419" s="157">
        <v>1</v>
      </c>
      <c r="AO419" s="1">
        <v>1</v>
      </c>
      <c r="AP419" s="108">
        <v>1</v>
      </c>
      <c r="AQ419" s="108"/>
      <c r="AR419" s="1">
        <f>AL419</f>
        <v>10</v>
      </c>
      <c r="AS419" s="21">
        <v>1</v>
      </c>
      <c r="AT419" s="1">
        <f t="shared" si="68"/>
        <v>11</v>
      </c>
      <c r="AU419" s="31"/>
      <c r="AV419" s="31"/>
      <c r="AW419" s="31"/>
      <c r="AX419" s="16">
        <f t="shared" si="64"/>
        <v>0.44</v>
      </c>
      <c r="AY419" s="156">
        <v>8</v>
      </c>
      <c r="AZ419" s="76">
        <v>1</v>
      </c>
      <c r="BA419" s="31"/>
      <c r="BB419" s="31"/>
      <c r="BC419" s="31"/>
      <c r="BD419" s="16">
        <f t="shared" si="69"/>
        <v>0.125</v>
      </c>
      <c r="BE419" s="31"/>
      <c r="BF419" s="31"/>
      <c r="BG419" s="31"/>
      <c r="BH419" s="31"/>
      <c r="BI419" s="16"/>
      <c r="BJ419" s="16"/>
      <c r="BK419" s="31"/>
      <c r="BL419" s="31"/>
      <c r="BM419" s="31"/>
      <c r="BN419" s="31"/>
      <c r="BO419" s="16"/>
      <c r="BP419" s="31"/>
      <c r="BQ419" s="31"/>
      <c r="BR419" s="31"/>
      <c r="BS419" s="31"/>
      <c r="BT419" s="16"/>
      <c r="BU419" s="16"/>
      <c r="BV419" s="16"/>
      <c r="BW419" s="16"/>
      <c r="BX419" s="16"/>
      <c r="BY419" s="16"/>
      <c r="BZ419" s="16"/>
      <c r="CA419" s="19">
        <v>0</v>
      </c>
      <c r="CB419" s="19">
        <v>0</v>
      </c>
      <c r="CC419" s="19">
        <v>0</v>
      </c>
    </row>
    <row r="420" spans="1:81" s="52" customFormat="1" ht="110.25" x14ac:dyDescent="0.25">
      <c r="A420" s="1">
        <v>5</v>
      </c>
      <c r="B420" s="13" t="s">
        <v>1750</v>
      </c>
      <c r="C420" s="572"/>
      <c r="D420" s="573"/>
      <c r="E420" s="10" t="s">
        <v>1354</v>
      </c>
      <c r="F420" s="13" t="s">
        <v>1355</v>
      </c>
      <c r="G420" s="572"/>
      <c r="H420" s="573"/>
      <c r="I420" s="10" t="s">
        <v>1377</v>
      </c>
      <c r="J420" s="13" t="s">
        <v>1378</v>
      </c>
      <c r="K420" s="572"/>
      <c r="L420" s="573"/>
      <c r="M420" s="11"/>
      <c r="N420" s="11" t="s">
        <v>1383</v>
      </c>
      <c r="O420" s="11" t="s">
        <v>1383</v>
      </c>
      <c r="P420" s="10">
        <v>0.03</v>
      </c>
      <c r="Q420" s="10" t="s">
        <v>1384</v>
      </c>
      <c r="R420" s="13"/>
      <c r="S420" s="13" t="s">
        <v>1385</v>
      </c>
      <c r="T420" s="13" t="s">
        <v>1385</v>
      </c>
      <c r="U420" s="10">
        <v>0</v>
      </c>
      <c r="V420" s="10">
        <v>6</v>
      </c>
      <c r="W420" s="10" t="s">
        <v>49</v>
      </c>
      <c r="X420" s="1"/>
      <c r="Y420" s="1" t="s">
        <v>81</v>
      </c>
      <c r="Z420" s="1">
        <v>40</v>
      </c>
      <c r="AA420" s="13" t="s">
        <v>1382</v>
      </c>
      <c r="AB420" s="10" t="s">
        <v>1771</v>
      </c>
      <c r="AC420" s="157"/>
      <c r="AD420" s="156">
        <v>2</v>
      </c>
      <c r="AE420" s="156"/>
      <c r="AF420" s="156"/>
      <c r="AG420" s="377">
        <f t="shared" si="70"/>
        <v>2</v>
      </c>
      <c r="AH420" s="377" t="b">
        <f t="shared" si="66"/>
        <v>0</v>
      </c>
      <c r="AI420" s="1"/>
      <c r="AJ420" s="1"/>
      <c r="AK420" s="1"/>
      <c r="AL420" s="1"/>
      <c r="AM420" s="16">
        <f t="shared" si="67"/>
        <v>0</v>
      </c>
      <c r="AN420" s="157"/>
      <c r="AO420" s="1"/>
      <c r="AP420" s="1"/>
      <c r="AQ420" s="1"/>
      <c r="AR420" s="1"/>
      <c r="AS420" s="21" t="s">
        <v>310</v>
      </c>
      <c r="AT420" s="1">
        <f t="shared" si="68"/>
        <v>0</v>
      </c>
      <c r="AU420" s="31"/>
      <c r="AV420" s="31"/>
      <c r="AW420" s="31"/>
      <c r="AX420" s="16">
        <f t="shared" si="64"/>
        <v>0</v>
      </c>
      <c r="AY420" s="156">
        <v>2</v>
      </c>
      <c r="AZ420" s="76">
        <v>0</v>
      </c>
      <c r="BA420" s="31"/>
      <c r="BB420" s="31"/>
      <c r="BC420" s="31"/>
      <c r="BD420" s="16">
        <f t="shared" si="69"/>
        <v>0</v>
      </c>
      <c r="BE420" s="31"/>
      <c r="BF420" s="31"/>
      <c r="BG420" s="31"/>
      <c r="BH420" s="31"/>
      <c r="BI420" s="16"/>
      <c r="BJ420" s="16"/>
      <c r="BK420" s="31"/>
      <c r="BL420" s="31"/>
      <c r="BM420" s="31"/>
      <c r="BN420" s="31"/>
      <c r="BO420" s="16"/>
      <c r="BP420" s="31"/>
      <c r="BQ420" s="31"/>
      <c r="BR420" s="31"/>
      <c r="BS420" s="31"/>
      <c r="BT420" s="16"/>
      <c r="BU420" s="16"/>
      <c r="BV420" s="16"/>
      <c r="BW420" s="16"/>
      <c r="BX420" s="16"/>
      <c r="BY420" s="16"/>
      <c r="BZ420" s="16"/>
      <c r="CA420" s="1">
        <v>0</v>
      </c>
      <c r="CB420" s="1">
        <v>0</v>
      </c>
      <c r="CC420" s="1">
        <v>0</v>
      </c>
    </row>
    <row r="421" spans="1:81" s="52" customFormat="1" ht="110.25" customHeight="1" x14ac:dyDescent="0.25">
      <c r="A421" s="1">
        <v>5</v>
      </c>
      <c r="B421" s="13" t="s">
        <v>1750</v>
      </c>
      <c r="C421" s="572"/>
      <c r="D421" s="573"/>
      <c r="E421" s="10" t="s">
        <v>1354</v>
      </c>
      <c r="F421" s="13" t="s">
        <v>1355</v>
      </c>
      <c r="G421" s="572"/>
      <c r="H421" s="573"/>
      <c r="I421" s="10" t="s">
        <v>1377</v>
      </c>
      <c r="J421" s="13" t="s">
        <v>1378</v>
      </c>
      <c r="K421" s="568"/>
      <c r="L421" s="570"/>
      <c r="M421" s="11"/>
      <c r="N421" s="23" t="s">
        <v>1386</v>
      </c>
      <c r="O421" s="13" t="s">
        <v>1386</v>
      </c>
      <c r="P421" s="26">
        <v>0.7</v>
      </c>
      <c r="Q421" s="26">
        <v>0.85</v>
      </c>
      <c r="R421" s="14"/>
      <c r="S421" s="13" t="s">
        <v>1387</v>
      </c>
      <c r="T421" s="13" t="s">
        <v>1387</v>
      </c>
      <c r="U421" s="10" t="s">
        <v>1373</v>
      </c>
      <c r="V421" s="10">
        <v>1000</v>
      </c>
      <c r="W421" s="10" t="s">
        <v>412</v>
      </c>
      <c r="X421" s="1"/>
      <c r="Y421" s="1"/>
      <c r="Z421" s="1"/>
      <c r="AA421" s="24"/>
      <c r="AB421" s="10" t="s">
        <v>1772</v>
      </c>
      <c r="AC421" s="156"/>
      <c r="AD421" s="156"/>
      <c r="AE421" s="156"/>
      <c r="AF421" s="156"/>
      <c r="AG421" s="377">
        <f t="shared" si="70"/>
        <v>0</v>
      </c>
      <c r="AH421" s="377" t="b">
        <f t="shared" si="66"/>
        <v>0</v>
      </c>
      <c r="AI421" s="1"/>
      <c r="AJ421" s="1"/>
      <c r="AK421" s="1"/>
      <c r="AL421" s="1"/>
      <c r="AM421" s="16">
        <f t="shared" si="67"/>
        <v>0</v>
      </c>
      <c r="AN421" s="156"/>
      <c r="AO421" s="1"/>
      <c r="AP421" s="1"/>
      <c r="AQ421" s="1"/>
      <c r="AR421" s="1"/>
      <c r="AS421" s="21" t="s">
        <v>310</v>
      </c>
      <c r="AT421" s="1">
        <f t="shared" si="68"/>
        <v>1000</v>
      </c>
      <c r="AU421" s="31"/>
      <c r="AV421" s="31"/>
      <c r="AW421" s="31"/>
      <c r="AX421" s="16">
        <f t="shared" si="64"/>
        <v>1</v>
      </c>
      <c r="AY421" s="108">
        <v>1000</v>
      </c>
      <c r="AZ421" s="76">
        <v>1000</v>
      </c>
      <c r="BA421" s="31"/>
      <c r="BB421" s="31"/>
      <c r="BC421" s="31"/>
      <c r="BD421" s="16">
        <f t="shared" si="69"/>
        <v>1</v>
      </c>
      <c r="BE421" s="31"/>
      <c r="BF421" s="31"/>
      <c r="BG421" s="31"/>
      <c r="BH421" s="31"/>
      <c r="BI421" s="16"/>
      <c r="BJ421" s="16"/>
      <c r="BK421" s="31"/>
      <c r="BL421" s="31"/>
      <c r="BM421" s="31"/>
      <c r="BN421" s="31"/>
      <c r="BO421" s="16"/>
      <c r="BP421" s="31"/>
      <c r="BQ421" s="31"/>
      <c r="BR421" s="31"/>
      <c r="BS421" s="31"/>
      <c r="BT421" s="16"/>
      <c r="BU421" s="16"/>
      <c r="BV421" s="16"/>
      <c r="BW421" s="16"/>
      <c r="BX421" s="16"/>
      <c r="BY421" s="16"/>
      <c r="BZ421" s="16"/>
      <c r="CA421" s="1"/>
      <c r="CB421" s="1"/>
      <c r="CC421" s="1"/>
    </row>
    <row r="422" spans="1:81" s="52" customFormat="1" ht="98.25" customHeight="1" x14ac:dyDescent="0.25">
      <c r="A422" s="1">
        <v>5</v>
      </c>
      <c r="B422" s="13" t="s">
        <v>1750</v>
      </c>
      <c r="C422" s="572"/>
      <c r="D422" s="573"/>
      <c r="E422" s="10" t="s">
        <v>1354</v>
      </c>
      <c r="F422" s="13" t="s">
        <v>1355</v>
      </c>
      <c r="G422" s="572"/>
      <c r="H422" s="573"/>
      <c r="I422" s="10" t="s">
        <v>1388</v>
      </c>
      <c r="J422" s="13" t="s">
        <v>1389</v>
      </c>
      <c r="K422" s="567">
        <f>AVERAGE(AX422:AX431)</f>
        <v>0.28860000000000002</v>
      </c>
      <c r="L422" s="569">
        <f>AVERAGE(BD422:BD431)</f>
        <v>5.5555555555555552E-2</v>
      </c>
      <c r="M422" s="23"/>
      <c r="N422" s="23" t="s">
        <v>1390</v>
      </c>
      <c r="O422" s="13" t="s">
        <v>1391</v>
      </c>
      <c r="P422" s="18" t="s">
        <v>55</v>
      </c>
      <c r="Q422" s="18">
        <v>1</v>
      </c>
      <c r="R422" s="20"/>
      <c r="S422" s="13" t="s">
        <v>1392</v>
      </c>
      <c r="T422" s="13" t="s">
        <v>1393</v>
      </c>
      <c r="U422" s="19" t="s">
        <v>55</v>
      </c>
      <c r="V422" s="19">
        <v>20</v>
      </c>
      <c r="W422" s="1" t="s">
        <v>49</v>
      </c>
      <c r="X422" s="10" t="s">
        <v>1394</v>
      </c>
      <c r="Y422" s="1" t="s">
        <v>918</v>
      </c>
      <c r="Z422" s="1"/>
      <c r="AA422" s="24" t="s">
        <v>963</v>
      </c>
      <c r="AB422" s="10" t="s">
        <v>1768</v>
      </c>
      <c r="AC422" s="163">
        <v>20</v>
      </c>
      <c r="AD422" s="156"/>
      <c r="AE422" s="156">
        <v>5</v>
      </c>
      <c r="AF422" s="156">
        <v>5</v>
      </c>
      <c r="AG422" s="377">
        <f t="shared" si="70"/>
        <v>30</v>
      </c>
      <c r="AH422" s="377" t="b">
        <f t="shared" si="66"/>
        <v>0</v>
      </c>
      <c r="AI422" s="19">
        <v>0</v>
      </c>
      <c r="AJ422" s="19">
        <v>20</v>
      </c>
      <c r="AK422" s="19">
        <v>20</v>
      </c>
      <c r="AL422" s="19">
        <v>20</v>
      </c>
      <c r="AM422" s="16">
        <f t="shared" si="67"/>
        <v>1</v>
      </c>
      <c r="AN422" s="163">
        <v>20</v>
      </c>
      <c r="AO422" s="19">
        <v>0</v>
      </c>
      <c r="AP422" s="19">
        <v>20</v>
      </c>
      <c r="AQ422" s="19"/>
      <c r="AR422" s="19">
        <f t="shared" ref="AR422:AR431" si="71">AL422</f>
        <v>20</v>
      </c>
      <c r="AS422" s="21">
        <f>IFERROR(+AR422/AN422,0)</f>
        <v>1</v>
      </c>
      <c r="AT422" s="1">
        <f t="shared" si="68"/>
        <v>20</v>
      </c>
      <c r="AU422" s="31"/>
      <c r="AV422" s="31"/>
      <c r="AW422" s="31"/>
      <c r="AX422" s="16">
        <f t="shared" si="64"/>
        <v>1</v>
      </c>
      <c r="AY422" s="156" t="s">
        <v>310</v>
      </c>
      <c r="AZ422" s="76">
        <v>0</v>
      </c>
      <c r="BA422" s="31"/>
      <c r="BB422" s="31"/>
      <c r="BC422" s="31"/>
      <c r="BD422" s="16" t="str">
        <f t="shared" si="69"/>
        <v>NP</v>
      </c>
      <c r="BE422" s="31"/>
      <c r="BF422" s="31"/>
      <c r="BG422" s="31"/>
      <c r="BH422" s="31"/>
      <c r="BI422" s="16"/>
      <c r="BJ422" s="16"/>
      <c r="BK422" s="31"/>
      <c r="BL422" s="31"/>
      <c r="BM422" s="31"/>
      <c r="BN422" s="31"/>
      <c r="BO422" s="16"/>
      <c r="BP422" s="31"/>
      <c r="BQ422" s="31"/>
      <c r="BR422" s="31"/>
      <c r="BS422" s="31"/>
      <c r="BT422" s="16"/>
      <c r="BU422" s="16"/>
      <c r="BV422" s="16"/>
      <c r="BW422" s="16"/>
      <c r="BX422" s="16"/>
      <c r="BY422" s="16"/>
      <c r="BZ422" s="16"/>
      <c r="CA422" s="10"/>
      <c r="CB422" s="1"/>
      <c r="CC422" s="19"/>
    </row>
    <row r="423" spans="1:81" s="52" customFormat="1" ht="98.25" customHeight="1" x14ac:dyDescent="0.25">
      <c r="A423" s="1">
        <v>5</v>
      </c>
      <c r="B423" s="13" t="s">
        <v>1750</v>
      </c>
      <c r="C423" s="572"/>
      <c r="D423" s="573"/>
      <c r="E423" s="10" t="s">
        <v>1354</v>
      </c>
      <c r="F423" s="13" t="s">
        <v>1355</v>
      </c>
      <c r="G423" s="572"/>
      <c r="H423" s="573"/>
      <c r="I423" s="10" t="s">
        <v>1388</v>
      </c>
      <c r="J423" s="13" t="s">
        <v>1389</v>
      </c>
      <c r="K423" s="572"/>
      <c r="L423" s="573"/>
      <c r="M423" s="23"/>
      <c r="N423" s="23" t="s">
        <v>1395</v>
      </c>
      <c r="O423" s="13" t="s">
        <v>1396</v>
      </c>
      <c r="P423" s="18" t="s">
        <v>55</v>
      </c>
      <c r="Q423" s="18">
        <v>1</v>
      </c>
      <c r="R423" s="20"/>
      <c r="S423" s="13" t="s">
        <v>1395</v>
      </c>
      <c r="T423" s="13" t="s">
        <v>1397</v>
      </c>
      <c r="U423" s="19" t="s">
        <v>55</v>
      </c>
      <c r="V423" s="19">
        <v>1</v>
      </c>
      <c r="W423" s="1" t="s">
        <v>49</v>
      </c>
      <c r="X423" s="1"/>
      <c r="Y423" s="1" t="s">
        <v>1398</v>
      </c>
      <c r="Z423" s="1"/>
      <c r="AA423" s="13" t="s">
        <v>919</v>
      </c>
      <c r="AB423" s="10" t="s">
        <v>1768</v>
      </c>
      <c r="AC423" s="163"/>
      <c r="AD423" s="156"/>
      <c r="AE423" s="156"/>
      <c r="AF423" s="156"/>
      <c r="AG423" s="377">
        <f t="shared" si="70"/>
        <v>0</v>
      </c>
      <c r="AH423" s="377" t="b">
        <f t="shared" si="66"/>
        <v>0</v>
      </c>
      <c r="AI423" s="19"/>
      <c r="AJ423" s="19"/>
      <c r="AK423" s="19"/>
      <c r="AL423" s="19"/>
      <c r="AM423" s="16">
        <f t="shared" si="67"/>
        <v>0</v>
      </c>
      <c r="AN423" s="163"/>
      <c r="AO423" s="19"/>
      <c r="AP423" s="19"/>
      <c r="AQ423" s="19"/>
      <c r="AR423" s="19"/>
      <c r="AS423" s="21" t="s">
        <v>310</v>
      </c>
      <c r="AT423" s="1">
        <f t="shared" si="68"/>
        <v>0</v>
      </c>
      <c r="AU423" s="31"/>
      <c r="AV423" s="31"/>
      <c r="AW423" s="31"/>
      <c r="AX423" s="16">
        <f t="shared" si="64"/>
        <v>0</v>
      </c>
      <c r="AY423" s="156" t="s">
        <v>310</v>
      </c>
      <c r="AZ423" s="76"/>
      <c r="BA423" s="31"/>
      <c r="BB423" s="31"/>
      <c r="BC423" s="31"/>
      <c r="BD423" s="16" t="str">
        <f t="shared" si="69"/>
        <v>NP</v>
      </c>
      <c r="BE423" s="31"/>
      <c r="BF423" s="31"/>
      <c r="BG423" s="31"/>
      <c r="BH423" s="31"/>
      <c r="BI423" s="16"/>
      <c r="BJ423" s="16"/>
      <c r="BK423" s="31"/>
      <c r="BL423" s="31"/>
      <c r="BM423" s="31"/>
      <c r="BN423" s="31"/>
      <c r="BO423" s="16"/>
      <c r="BP423" s="31"/>
      <c r="BQ423" s="31"/>
      <c r="BR423" s="31"/>
      <c r="BS423" s="31"/>
      <c r="BT423" s="16"/>
      <c r="BU423" s="16"/>
      <c r="BV423" s="16"/>
      <c r="BW423" s="16"/>
      <c r="BX423" s="16"/>
      <c r="BY423" s="16"/>
      <c r="BZ423" s="16"/>
      <c r="CA423" s="10"/>
      <c r="CB423" s="1"/>
      <c r="CC423" s="19"/>
    </row>
    <row r="424" spans="1:81" s="52" customFormat="1" ht="98.25" customHeight="1" x14ac:dyDescent="0.25">
      <c r="A424" s="1">
        <v>5</v>
      </c>
      <c r="B424" s="13" t="s">
        <v>1750</v>
      </c>
      <c r="C424" s="572"/>
      <c r="D424" s="573"/>
      <c r="E424" s="10" t="s">
        <v>1354</v>
      </c>
      <c r="F424" s="13" t="s">
        <v>1355</v>
      </c>
      <c r="G424" s="572"/>
      <c r="H424" s="573"/>
      <c r="I424" s="10" t="s">
        <v>1388</v>
      </c>
      <c r="J424" s="13" t="s">
        <v>1389</v>
      </c>
      <c r="K424" s="572"/>
      <c r="L424" s="573"/>
      <c r="M424" s="23"/>
      <c r="N424" s="23" t="s">
        <v>1399</v>
      </c>
      <c r="O424" s="13" t="s">
        <v>1400</v>
      </c>
      <c r="P424" s="18" t="s">
        <v>55</v>
      </c>
      <c r="Q424" s="18">
        <v>1</v>
      </c>
      <c r="R424" s="20"/>
      <c r="S424" s="13" t="s">
        <v>1401</v>
      </c>
      <c r="T424" s="13" t="s">
        <v>1402</v>
      </c>
      <c r="U424" s="19" t="s">
        <v>55</v>
      </c>
      <c r="V424" s="19">
        <v>4</v>
      </c>
      <c r="W424" s="1" t="s">
        <v>49</v>
      </c>
      <c r="X424" s="10" t="s">
        <v>1403</v>
      </c>
      <c r="Y424" s="1" t="s">
        <v>918</v>
      </c>
      <c r="Z424" s="1"/>
      <c r="AA424" s="13" t="s">
        <v>919</v>
      </c>
      <c r="AB424" s="10" t="s">
        <v>1768</v>
      </c>
      <c r="AC424" s="163">
        <v>1</v>
      </c>
      <c r="AD424" s="156">
        <v>1</v>
      </c>
      <c r="AE424" s="156">
        <v>1</v>
      </c>
      <c r="AF424" s="156">
        <v>1</v>
      </c>
      <c r="AG424" s="377">
        <f t="shared" si="70"/>
        <v>4</v>
      </c>
      <c r="AH424" s="377" t="b">
        <f t="shared" si="66"/>
        <v>1</v>
      </c>
      <c r="AI424" s="19">
        <v>0</v>
      </c>
      <c r="AJ424" s="19">
        <f>1+AI424</f>
        <v>1</v>
      </c>
      <c r="AK424" s="19">
        <v>1</v>
      </c>
      <c r="AL424" s="19">
        <v>1</v>
      </c>
      <c r="AM424" s="16">
        <f t="shared" si="67"/>
        <v>0.25</v>
      </c>
      <c r="AN424" s="163">
        <v>1</v>
      </c>
      <c r="AO424" s="19">
        <v>0</v>
      </c>
      <c r="AP424" s="19">
        <f>1+AO424</f>
        <v>1</v>
      </c>
      <c r="AQ424" s="19"/>
      <c r="AR424" s="19">
        <f t="shared" si="71"/>
        <v>1</v>
      </c>
      <c r="AS424" s="21">
        <f>IFERROR(+AR424/AN424,0)</f>
        <v>1</v>
      </c>
      <c r="AT424" s="1">
        <f t="shared" si="68"/>
        <v>1</v>
      </c>
      <c r="AU424" s="31"/>
      <c r="AV424" s="31"/>
      <c r="AW424" s="31"/>
      <c r="AX424" s="16">
        <f t="shared" si="64"/>
        <v>0.25</v>
      </c>
      <c r="AY424" s="156">
        <v>1</v>
      </c>
      <c r="AZ424" s="76">
        <v>0</v>
      </c>
      <c r="BA424" s="31"/>
      <c r="BB424" s="31"/>
      <c r="BC424" s="31"/>
      <c r="BD424" s="16">
        <f t="shared" si="69"/>
        <v>0</v>
      </c>
      <c r="BE424" s="31"/>
      <c r="BF424" s="31"/>
      <c r="BG424" s="31"/>
      <c r="BH424" s="31"/>
      <c r="BI424" s="16"/>
      <c r="BJ424" s="16"/>
      <c r="BK424" s="31"/>
      <c r="BL424" s="31"/>
      <c r="BM424" s="31"/>
      <c r="BN424" s="31"/>
      <c r="BO424" s="16"/>
      <c r="BP424" s="31"/>
      <c r="BQ424" s="31"/>
      <c r="BR424" s="31"/>
      <c r="BS424" s="31"/>
      <c r="BT424" s="16"/>
      <c r="BU424" s="16"/>
      <c r="BV424" s="16"/>
      <c r="BW424" s="16"/>
      <c r="BX424" s="16"/>
      <c r="BY424" s="16"/>
      <c r="BZ424" s="16"/>
      <c r="CA424" s="10"/>
      <c r="CB424" s="1"/>
      <c r="CC424" s="19"/>
    </row>
    <row r="425" spans="1:81" s="52" customFormat="1" ht="98.25" customHeight="1" x14ac:dyDescent="0.25">
      <c r="A425" s="1">
        <v>5</v>
      </c>
      <c r="B425" s="13" t="s">
        <v>1750</v>
      </c>
      <c r="C425" s="572"/>
      <c r="D425" s="573"/>
      <c r="E425" s="10" t="s">
        <v>1354</v>
      </c>
      <c r="F425" s="13" t="s">
        <v>1355</v>
      </c>
      <c r="G425" s="572"/>
      <c r="H425" s="573"/>
      <c r="I425" s="10" t="s">
        <v>1388</v>
      </c>
      <c r="J425" s="13" t="s">
        <v>1389</v>
      </c>
      <c r="K425" s="572"/>
      <c r="L425" s="573"/>
      <c r="M425" s="23"/>
      <c r="N425" s="23" t="s">
        <v>1404</v>
      </c>
      <c r="O425" s="13" t="s">
        <v>1405</v>
      </c>
      <c r="P425" s="18" t="s">
        <v>55</v>
      </c>
      <c r="Q425" s="18">
        <v>0.2</v>
      </c>
      <c r="R425" s="20"/>
      <c r="S425" s="13" t="s">
        <v>1406</v>
      </c>
      <c r="T425" s="13" t="s">
        <v>1407</v>
      </c>
      <c r="U425" s="19" t="s">
        <v>55</v>
      </c>
      <c r="V425" s="19">
        <v>1</v>
      </c>
      <c r="W425" s="1" t="s">
        <v>49</v>
      </c>
      <c r="X425" s="1"/>
      <c r="Y425" s="1"/>
      <c r="Z425" s="1"/>
      <c r="AA425" s="13" t="s">
        <v>919</v>
      </c>
      <c r="AB425" s="10" t="s">
        <v>1768</v>
      </c>
      <c r="AC425" s="163"/>
      <c r="AD425" s="156"/>
      <c r="AE425" s="156"/>
      <c r="AF425" s="371">
        <v>2</v>
      </c>
      <c r="AG425" s="377">
        <f t="shared" si="70"/>
        <v>2</v>
      </c>
      <c r="AH425" s="377" t="b">
        <f t="shared" si="66"/>
        <v>0</v>
      </c>
      <c r="AI425" s="19"/>
      <c r="AJ425" s="19"/>
      <c r="AK425" s="19"/>
      <c r="AL425" s="19"/>
      <c r="AM425" s="16">
        <f t="shared" si="67"/>
        <v>0</v>
      </c>
      <c r="AN425" s="163"/>
      <c r="AO425" s="19"/>
      <c r="AP425" s="19"/>
      <c r="AQ425" s="19"/>
      <c r="AR425" s="19"/>
      <c r="AS425" s="21" t="s">
        <v>310</v>
      </c>
      <c r="AT425" s="1">
        <f t="shared" si="68"/>
        <v>0</v>
      </c>
      <c r="AU425" s="31"/>
      <c r="AV425" s="31"/>
      <c r="AW425" s="31"/>
      <c r="AX425" s="16">
        <f t="shared" si="64"/>
        <v>0</v>
      </c>
      <c r="AY425" s="156" t="s">
        <v>310</v>
      </c>
      <c r="AZ425" s="76">
        <v>0</v>
      </c>
      <c r="BA425" s="31"/>
      <c r="BB425" s="31"/>
      <c r="BC425" s="31"/>
      <c r="BD425" s="16" t="str">
        <f t="shared" si="69"/>
        <v>NP</v>
      </c>
      <c r="BE425" s="31"/>
      <c r="BF425" s="31"/>
      <c r="BG425" s="31"/>
      <c r="BH425" s="31"/>
      <c r="BI425" s="16"/>
      <c r="BJ425" s="16"/>
      <c r="BK425" s="31"/>
      <c r="BL425" s="31"/>
      <c r="BM425" s="31"/>
      <c r="BN425" s="31"/>
      <c r="BO425" s="16"/>
      <c r="BP425" s="31"/>
      <c r="BQ425" s="31"/>
      <c r="BR425" s="31"/>
      <c r="BS425" s="31"/>
      <c r="BT425" s="16"/>
      <c r="BU425" s="16"/>
      <c r="BV425" s="16"/>
      <c r="BW425" s="16"/>
      <c r="BX425" s="16"/>
      <c r="BY425" s="16"/>
      <c r="BZ425" s="16"/>
      <c r="CA425" s="10"/>
      <c r="CB425" s="1"/>
      <c r="CC425" s="19"/>
    </row>
    <row r="426" spans="1:81" s="52" customFormat="1" ht="98.25" customHeight="1" x14ac:dyDescent="0.25">
      <c r="A426" s="1">
        <v>5</v>
      </c>
      <c r="B426" s="13" t="s">
        <v>1750</v>
      </c>
      <c r="C426" s="572"/>
      <c r="D426" s="573"/>
      <c r="E426" s="10" t="s">
        <v>1354</v>
      </c>
      <c r="F426" s="13" t="s">
        <v>1355</v>
      </c>
      <c r="G426" s="572"/>
      <c r="H426" s="573"/>
      <c r="I426" s="10" t="s">
        <v>1388</v>
      </c>
      <c r="J426" s="13" t="s">
        <v>1389</v>
      </c>
      <c r="K426" s="572"/>
      <c r="L426" s="573"/>
      <c r="M426" s="23"/>
      <c r="N426" s="23" t="s">
        <v>1408</v>
      </c>
      <c r="O426" s="13" t="s">
        <v>1409</v>
      </c>
      <c r="P426" s="18" t="s">
        <v>55</v>
      </c>
      <c r="Q426" s="18">
        <v>1</v>
      </c>
      <c r="R426" s="20"/>
      <c r="S426" s="13" t="s">
        <v>1408</v>
      </c>
      <c r="T426" s="13" t="s">
        <v>1410</v>
      </c>
      <c r="U426" s="19" t="s">
        <v>55</v>
      </c>
      <c r="V426" s="19">
        <v>6</v>
      </c>
      <c r="W426" s="1" t="s">
        <v>49</v>
      </c>
      <c r="X426" s="10" t="s">
        <v>1411</v>
      </c>
      <c r="Y426" s="1"/>
      <c r="Z426" s="1"/>
      <c r="AA426" s="13" t="s">
        <v>919</v>
      </c>
      <c r="AB426" s="10" t="s">
        <v>1768</v>
      </c>
      <c r="AC426" s="373">
        <v>3</v>
      </c>
      <c r="AD426" s="156">
        <v>2</v>
      </c>
      <c r="AE426" s="371">
        <v>2</v>
      </c>
      <c r="AF426" s="156"/>
      <c r="AG426" s="377">
        <f t="shared" si="70"/>
        <v>7</v>
      </c>
      <c r="AH426" s="377" t="b">
        <f t="shared" si="66"/>
        <v>0</v>
      </c>
      <c r="AI426" s="19"/>
      <c r="AJ426" s="19">
        <v>1</v>
      </c>
      <c r="AK426" s="19">
        <v>3</v>
      </c>
      <c r="AL426" s="19">
        <v>3</v>
      </c>
      <c r="AM426" s="16">
        <f t="shared" si="67"/>
        <v>0.5</v>
      </c>
      <c r="AN426" s="163">
        <v>3</v>
      </c>
      <c r="AO426" s="19"/>
      <c r="AP426" s="19">
        <v>1</v>
      </c>
      <c r="AQ426" s="19"/>
      <c r="AR426" s="19">
        <f t="shared" si="71"/>
        <v>3</v>
      </c>
      <c r="AS426" s="21">
        <f>IFERROR(+AR426/AN426,0)</f>
        <v>1</v>
      </c>
      <c r="AT426" s="1">
        <f t="shared" si="68"/>
        <v>3</v>
      </c>
      <c r="AU426" s="31"/>
      <c r="AV426" s="31"/>
      <c r="AW426" s="31"/>
      <c r="AX426" s="16">
        <f t="shared" si="64"/>
        <v>0.5</v>
      </c>
      <c r="AY426" s="156">
        <v>2</v>
      </c>
      <c r="AZ426" s="76">
        <v>0</v>
      </c>
      <c r="BA426" s="31"/>
      <c r="BB426" s="31"/>
      <c r="BC426" s="31"/>
      <c r="BD426" s="16">
        <f t="shared" si="69"/>
        <v>0</v>
      </c>
      <c r="BE426" s="31"/>
      <c r="BF426" s="31"/>
      <c r="BG426" s="31"/>
      <c r="BH426" s="31"/>
      <c r="BI426" s="16"/>
      <c r="BJ426" s="16"/>
      <c r="BK426" s="31"/>
      <c r="BL426" s="31"/>
      <c r="BM426" s="31"/>
      <c r="BN426" s="31"/>
      <c r="BO426" s="16"/>
      <c r="BP426" s="31"/>
      <c r="BQ426" s="31"/>
      <c r="BR426" s="31"/>
      <c r="BS426" s="31"/>
      <c r="BT426" s="16"/>
      <c r="BU426" s="16"/>
      <c r="BV426" s="16"/>
      <c r="BW426" s="16"/>
      <c r="BX426" s="16"/>
      <c r="BY426" s="16"/>
      <c r="BZ426" s="16"/>
      <c r="CA426" s="10"/>
      <c r="CB426" s="1"/>
      <c r="CC426" s="19"/>
    </row>
    <row r="427" spans="1:81" s="52" customFormat="1" ht="98.25" customHeight="1" x14ac:dyDescent="0.25">
      <c r="A427" s="1">
        <v>5</v>
      </c>
      <c r="B427" s="13" t="s">
        <v>1750</v>
      </c>
      <c r="C427" s="572"/>
      <c r="D427" s="573"/>
      <c r="E427" s="10" t="s">
        <v>1354</v>
      </c>
      <c r="F427" s="13" t="s">
        <v>1355</v>
      </c>
      <c r="G427" s="572"/>
      <c r="H427" s="573"/>
      <c r="I427" s="10" t="s">
        <v>1388</v>
      </c>
      <c r="J427" s="13" t="s">
        <v>1389</v>
      </c>
      <c r="K427" s="572"/>
      <c r="L427" s="573"/>
      <c r="M427" s="23"/>
      <c r="N427" s="23" t="s">
        <v>1412</v>
      </c>
      <c r="O427" s="13" t="s">
        <v>1413</v>
      </c>
      <c r="P427" s="18" t="s">
        <v>55</v>
      </c>
      <c r="Q427" s="18">
        <v>1</v>
      </c>
      <c r="R427" s="20"/>
      <c r="S427" s="13" t="s">
        <v>1412</v>
      </c>
      <c r="T427" s="13" t="s">
        <v>1414</v>
      </c>
      <c r="U427" s="19" t="s">
        <v>55</v>
      </c>
      <c r="V427" s="19">
        <v>4</v>
      </c>
      <c r="W427" s="1" t="s">
        <v>49</v>
      </c>
      <c r="X427" s="10" t="s">
        <v>1415</v>
      </c>
      <c r="Y427" s="1"/>
      <c r="Z427" s="1"/>
      <c r="AA427" s="13" t="s">
        <v>919</v>
      </c>
      <c r="AB427" s="10" t="s">
        <v>1768</v>
      </c>
      <c r="AC427" s="163">
        <v>2</v>
      </c>
      <c r="AD427" s="156">
        <v>1</v>
      </c>
      <c r="AE427" s="156">
        <v>1</v>
      </c>
      <c r="AF427" s="156">
        <v>1</v>
      </c>
      <c r="AG427" s="377">
        <f t="shared" si="70"/>
        <v>5</v>
      </c>
      <c r="AH427" s="377" t="b">
        <f t="shared" si="66"/>
        <v>0</v>
      </c>
      <c r="AI427" s="19"/>
      <c r="AJ427" s="19"/>
      <c r="AK427" s="19">
        <v>2</v>
      </c>
      <c r="AL427" s="19">
        <v>2</v>
      </c>
      <c r="AM427" s="16">
        <f t="shared" si="67"/>
        <v>0.5</v>
      </c>
      <c r="AN427" s="163">
        <v>2</v>
      </c>
      <c r="AO427" s="19"/>
      <c r="AP427" s="19"/>
      <c r="AQ427" s="19"/>
      <c r="AR427" s="19">
        <f t="shared" si="71"/>
        <v>2</v>
      </c>
      <c r="AS427" s="21">
        <f>IFERROR(+AR427/AN427,0)</f>
        <v>1</v>
      </c>
      <c r="AT427" s="1">
        <f t="shared" si="68"/>
        <v>2</v>
      </c>
      <c r="AU427" s="31"/>
      <c r="AV427" s="31"/>
      <c r="AW427" s="31"/>
      <c r="AX427" s="16">
        <f t="shared" si="64"/>
        <v>0.5</v>
      </c>
      <c r="AY427" s="156">
        <v>1</v>
      </c>
      <c r="AZ427" s="76">
        <v>0</v>
      </c>
      <c r="BA427" s="31"/>
      <c r="BB427" s="31"/>
      <c r="BC427" s="31"/>
      <c r="BD427" s="16">
        <f t="shared" si="69"/>
        <v>0</v>
      </c>
      <c r="BE427" s="31"/>
      <c r="BF427" s="31"/>
      <c r="BG427" s="31"/>
      <c r="BH427" s="31"/>
      <c r="BI427" s="16"/>
      <c r="BJ427" s="16"/>
      <c r="BK427" s="31"/>
      <c r="BL427" s="31"/>
      <c r="BM427" s="31"/>
      <c r="BN427" s="31"/>
      <c r="BO427" s="16"/>
      <c r="BP427" s="31"/>
      <c r="BQ427" s="31"/>
      <c r="BR427" s="31"/>
      <c r="BS427" s="31"/>
      <c r="BT427" s="16"/>
      <c r="BU427" s="16"/>
      <c r="BV427" s="16"/>
      <c r="BW427" s="16"/>
      <c r="BX427" s="16"/>
      <c r="BY427" s="16"/>
      <c r="BZ427" s="16"/>
      <c r="CA427" s="10"/>
      <c r="CB427" s="1"/>
      <c r="CC427" s="19"/>
    </row>
    <row r="428" spans="1:81" s="52" customFormat="1" ht="98.25" customHeight="1" x14ac:dyDescent="0.25">
      <c r="A428" s="1">
        <v>5</v>
      </c>
      <c r="B428" s="13" t="s">
        <v>1750</v>
      </c>
      <c r="C428" s="572"/>
      <c r="D428" s="573"/>
      <c r="E428" s="10" t="s">
        <v>1354</v>
      </c>
      <c r="F428" s="13" t="s">
        <v>1355</v>
      </c>
      <c r="G428" s="572"/>
      <c r="H428" s="573"/>
      <c r="I428" s="10" t="s">
        <v>1388</v>
      </c>
      <c r="J428" s="13" t="s">
        <v>1389</v>
      </c>
      <c r="K428" s="572"/>
      <c r="L428" s="573"/>
      <c r="M428" s="23"/>
      <c r="N428" s="23" t="s">
        <v>1416</v>
      </c>
      <c r="O428" s="13" t="s">
        <v>1417</v>
      </c>
      <c r="P428" s="18" t="s">
        <v>55</v>
      </c>
      <c r="Q428" s="18">
        <v>1</v>
      </c>
      <c r="R428" s="20"/>
      <c r="S428" s="13" t="s">
        <v>1418</v>
      </c>
      <c r="T428" s="13" t="s">
        <v>1418</v>
      </c>
      <c r="U428" s="19" t="s">
        <v>55</v>
      </c>
      <c r="V428" s="19">
        <v>1</v>
      </c>
      <c r="W428" s="1" t="s">
        <v>49</v>
      </c>
      <c r="X428" s="1"/>
      <c r="Y428" s="1"/>
      <c r="Z428" s="1"/>
      <c r="AA428" s="13" t="s">
        <v>919</v>
      </c>
      <c r="AB428" s="10" t="s">
        <v>1768</v>
      </c>
      <c r="AC428" s="316"/>
      <c r="AD428" s="156"/>
      <c r="AE428" s="108"/>
      <c r="AF428" s="108"/>
      <c r="AG428" s="377">
        <f t="shared" si="70"/>
        <v>0</v>
      </c>
      <c r="AH428" s="377" t="b">
        <f t="shared" si="66"/>
        <v>0</v>
      </c>
      <c r="AI428" s="19"/>
      <c r="AJ428" s="19"/>
      <c r="AK428" s="19"/>
      <c r="AL428" s="19"/>
      <c r="AM428" s="16">
        <f t="shared" si="67"/>
        <v>0</v>
      </c>
      <c r="AN428" s="163"/>
      <c r="AO428" s="19"/>
      <c r="AP428" s="19"/>
      <c r="AQ428" s="19"/>
      <c r="AR428" s="19"/>
      <c r="AS428" s="21" t="s">
        <v>310</v>
      </c>
      <c r="AT428" s="1">
        <f t="shared" si="68"/>
        <v>0</v>
      </c>
      <c r="AU428" s="31"/>
      <c r="AV428" s="31"/>
      <c r="AW428" s="31"/>
      <c r="AX428" s="16">
        <f t="shared" si="64"/>
        <v>0</v>
      </c>
      <c r="AY428" s="156" t="s">
        <v>310</v>
      </c>
      <c r="AZ428" s="76">
        <v>0</v>
      </c>
      <c r="BA428" s="31"/>
      <c r="BB428" s="31"/>
      <c r="BC428" s="31"/>
      <c r="BD428" s="16" t="str">
        <f t="shared" si="69"/>
        <v>NP</v>
      </c>
      <c r="BE428" s="31"/>
      <c r="BF428" s="31"/>
      <c r="BG428" s="31"/>
      <c r="BH428" s="31"/>
      <c r="BI428" s="16"/>
      <c r="BJ428" s="16"/>
      <c r="BK428" s="31"/>
      <c r="BL428" s="31"/>
      <c r="BM428" s="31"/>
      <c r="BN428" s="31"/>
      <c r="BO428" s="16"/>
      <c r="BP428" s="31"/>
      <c r="BQ428" s="31"/>
      <c r="BR428" s="31"/>
      <c r="BS428" s="31"/>
      <c r="BT428" s="16"/>
      <c r="BU428" s="16"/>
      <c r="BV428" s="16"/>
      <c r="BW428" s="16"/>
      <c r="BX428" s="16"/>
      <c r="BY428" s="16"/>
      <c r="BZ428" s="16"/>
      <c r="CA428" s="10"/>
      <c r="CB428" s="1"/>
      <c r="CC428" s="19"/>
    </row>
    <row r="429" spans="1:81" s="52" customFormat="1" ht="98.25" customHeight="1" x14ac:dyDescent="0.25">
      <c r="A429" s="1">
        <v>5</v>
      </c>
      <c r="B429" s="13" t="s">
        <v>1750</v>
      </c>
      <c r="C429" s="572"/>
      <c r="D429" s="573"/>
      <c r="E429" s="10" t="s">
        <v>1354</v>
      </c>
      <c r="F429" s="13" t="s">
        <v>1355</v>
      </c>
      <c r="G429" s="572"/>
      <c r="H429" s="573"/>
      <c r="I429" s="10" t="s">
        <v>1388</v>
      </c>
      <c r="J429" s="13" t="s">
        <v>1389</v>
      </c>
      <c r="K429" s="572"/>
      <c r="L429" s="573"/>
      <c r="M429" s="23"/>
      <c r="N429" s="23" t="s">
        <v>1419</v>
      </c>
      <c r="O429" s="13" t="s">
        <v>1420</v>
      </c>
      <c r="P429" s="18" t="s">
        <v>55</v>
      </c>
      <c r="Q429" s="18">
        <v>1</v>
      </c>
      <c r="R429" s="20"/>
      <c r="S429" s="13" t="s">
        <v>1421</v>
      </c>
      <c r="T429" s="13" t="s">
        <v>1422</v>
      </c>
      <c r="U429" s="19" t="s">
        <v>55</v>
      </c>
      <c r="V429" s="19">
        <v>12</v>
      </c>
      <c r="W429" s="1" t="s">
        <v>49</v>
      </c>
      <c r="X429" s="10" t="s">
        <v>1423</v>
      </c>
      <c r="Y429" s="1"/>
      <c r="Z429" s="1"/>
      <c r="AA429" s="13" t="s">
        <v>919</v>
      </c>
      <c r="AB429" s="10" t="s">
        <v>1768</v>
      </c>
      <c r="AC429" s="163">
        <v>3</v>
      </c>
      <c r="AD429" s="156">
        <v>3</v>
      </c>
      <c r="AE429" s="156">
        <v>3</v>
      </c>
      <c r="AF429" s="156">
        <v>3</v>
      </c>
      <c r="AG429" s="377">
        <f t="shared" si="70"/>
        <v>12</v>
      </c>
      <c r="AH429" s="377" t="b">
        <f t="shared" si="66"/>
        <v>1</v>
      </c>
      <c r="AI429" s="19">
        <v>0</v>
      </c>
      <c r="AJ429" s="19">
        <f>3+AI429</f>
        <v>3</v>
      </c>
      <c r="AK429" s="19">
        <v>3</v>
      </c>
      <c r="AL429" s="19">
        <v>3</v>
      </c>
      <c r="AM429" s="16">
        <f t="shared" si="67"/>
        <v>0.25</v>
      </c>
      <c r="AN429" s="163">
        <v>3</v>
      </c>
      <c r="AO429" s="19">
        <v>0</v>
      </c>
      <c r="AP429" s="19">
        <f>3+AO429</f>
        <v>3</v>
      </c>
      <c r="AQ429" s="19"/>
      <c r="AR429" s="19">
        <f t="shared" si="71"/>
        <v>3</v>
      </c>
      <c r="AS429" s="21">
        <f>IFERROR(+AR429/AN429,0)</f>
        <v>1</v>
      </c>
      <c r="AT429" s="1">
        <f t="shared" si="68"/>
        <v>4</v>
      </c>
      <c r="AU429" s="31"/>
      <c r="AV429" s="31"/>
      <c r="AW429" s="31"/>
      <c r="AX429" s="16">
        <f t="shared" si="64"/>
        <v>0.33333333333333331</v>
      </c>
      <c r="AY429" s="156">
        <v>3</v>
      </c>
      <c r="AZ429" s="76">
        <v>1</v>
      </c>
      <c r="BA429" s="31"/>
      <c r="BB429" s="31"/>
      <c r="BC429" s="31"/>
      <c r="BD429" s="16">
        <f t="shared" si="69"/>
        <v>0.33333333333333331</v>
      </c>
      <c r="BE429" s="31"/>
      <c r="BF429" s="31"/>
      <c r="BG429" s="31"/>
      <c r="BH429" s="31"/>
      <c r="BI429" s="16"/>
      <c r="BJ429" s="16"/>
      <c r="BK429" s="31"/>
      <c r="BL429" s="31"/>
      <c r="BM429" s="31"/>
      <c r="BN429" s="31"/>
      <c r="BO429" s="16"/>
      <c r="BP429" s="31"/>
      <c r="BQ429" s="31"/>
      <c r="BR429" s="31"/>
      <c r="BS429" s="31"/>
      <c r="BT429" s="16"/>
      <c r="BU429" s="16"/>
      <c r="BV429" s="16"/>
      <c r="BW429" s="16"/>
      <c r="BX429" s="16"/>
      <c r="BY429" s="16"/>
      <c r="BZ429" s="16"/>
      <c r="CA429" s="10"/>
      <c r="CB429" s="1"/>
      <c r="CC429" s="19"/>
    </row>
    <row r="430" spans="1:81" s="52" customFormat="1" ht="98.25" customHeight="1" x14ac:dyDescent="0.25">
      <c r="A430" s="1">
        <v>5</v>
      </c>
      <c r="B430" s="13" t="s">
        <v>1750</v>
      </c>
      <c r="C430" s="572"/>
      <c r="D430" s="573"/>
      <c r="E430" s="10" t="s">
        <v>1354</v>
      </c>
      <c r="F430" s="13" t="s">
        <v>1355</v>
      </c>
      <c r="G430" s="572"/>
      <c r="H430" s="573"/>
      <c r="I430" s="10" t="s">
        <v>1388</v>
      </c>
      <c r="J430" s="13" t="s">
        <v>1389</v>
      </c>
      <c r="K430" s="572"/>
      <c r="L430" s="573"/>
      <c r="M430" s="23"/>
      <c r="N430" s="23" t="s">
        <v>1424</v>
      </c>
      <c r="O430" s="13" t="s">
        <v>1425</v>
      </c>
      <c r="P430" s="18" t="s">
        <v>55</v>
      </c>
      <c r="Q430" s="18">
        <v>1</v>
      </c>
      <c r="R430" s="20"/>
      <c r="S430" s="13" t="s">
        <v>1986</v>
      </c>
      <c r="T430" s="13" t="s">
        <v>1426</v>
      </c>
      <c r="U430" s="19" t="s">
        <v>55</v>
      </c>
      <c r="V430" s="19">
        <v>1500</v>
      </c>
      <c r="W430" s="1" t="s">
        <v>49</v>
      </c>
      <c r="X430" s="10" t="s">
        <v>1427</v>
      </c>
      <c r="Y430" s="1"/>
      <c r="Z430" s="1"/>
      <c r="AA430" s="13" t="s">
        <v>919</v>
      </c>
      <c r="AB430" s="10" t="s">
        <v>1768</v>
      </c>
      <c r="AC430" s="373">
        <v>375</v>
      </c>
      <c r="AD430" s="156">
        <v>796</v>
      </c>
      <c r="AE430" s="371">
        <v>500</v>
      </c>
      <c r="AF430" s="371">
        <v>250</v>
      </c>
      <c r="AG430" s="377">
        <f t="shared" si="70"/>
        <v>1921</v>
      </c>
      <c r="AH430" s="377" t="b">
        <f t="shared" si="66"/>
        <v>0</v>
      </c>
      <c r="AI430" s="19">
        <v>0</v>
      </c>
      <c r="AJ430" s="19">
        <f>79+AI430</f>
        <v>79</v>
      </c>
      <c r="AK430" s="19">
        <v>79</v>
      </c>
      <c r="AL430" s="19">
        <v>79</v>
      </c>
      <c r="AM430" s="16">
        <f t="shared" si="67"/>
        <v>5.2666666666666667E-2</v>
      </c>
      <c r="AN430" s="163">
        <v>375</v>
      </c>
      <c r="AO430" s="19">
        <v>0</v>
      </c>
      <c r="AP430" s="19">
        <f>79+AO430</f>
        <v>79</v>
      </c>
      <c r="AQ430" s="19"/>
      <c r="AR430" s="19">
        <f t="shared" si="71"/>
        <v>79</v>
      </c>
      <c r="AS430" s="21">
        <f>IFERROR(+AR430/AN430,0)</f>
        <v>0.21066666666666667</v>
      </c>
      <c r="AT430" s="1">
        <f t="shared" si="68"/>
        <v>79</v>
      </c>
      <c r="AU430" s="31"/>
      <c r="AV430" s="31"/>
      <c r="AW430" s="31"/>
      <c r="AX430" s="16">
        <f t="shared" si="64"/>
        <v>5.2666666666666667E-2</v>
      </c>
      <c r="AY430" s="156">
        <v>796</v>
      </c>
      <c r="AZ430" s="76">
        <v>0</v>
      </c>
      <c r="BA430" s="31"/>
      <c r="BB430" s="31"/>
      <c r="BC430" s="31"/>
      <c r="BD430" s="16">
        <f t="shared" si="69"/>
        <v>0</v>
      </c>
      <c r="BE430" s="31"/>
      <c r="BF430" s="31"/>
      <c r="BG430" s="31"/>
      <c r="BH430" s="31"/>
      <c r="BI430" s="16"/>
      <c r="BJ430" s="16"/>
      <c r="BK430" s="31"/>
      <c r="BL430" s="31"/>
      <c r="BM430" s="31"/>
      <c r="BN430" s="31"/>
      <c r="BO430" s="16"/>
      <c r="BP430" s="31"/>
      <c r="BQ430" s="31"/>
      <c r="BR430" s="31"/>
      <c r="BS430" s="31"/>
      <c r="BT430" s="16"/>
      <c r="BU430" s="16"/>
      <c r="BV430" s="16"/>
      <c r="BW430" s="16"/>
      <c r="BX430" s="16"/>
      <c r="BY430" s="16"/>
      <c r="BZ430" s="16"/>
      <c r="CA430" s="10"/>
      <c r="CB430" s="1"/>
      <c r="CC430" s="19"/>
    </row>
    <row r="431" spans="1:81" s="52" customFormat="1" ht="98.25" customHeight="1" x14ac:dyDescent="0.25">
      <c r="A431" s="1">
        <v>5</v>
      </c>
      <c r="B431" s="13" t="s">
        <v>1750</v>
      </c>
      <c r="C431" s="572"/>
      <c r="D431" s="573"/>
      <c r="E431" s="10" t="s">
        <v>1354</v>
      </c>
      <c r="F431" s="13" t="s">
        <v>1355</v>
      </c>
      <c r="G431" s="572"/>
      <c r="H431" s="573"/>
      <c r="I431" s="10" t="s">
        <v>1388</v>
      </c>
      <c r="J431" s="13" t="s">
        <v>1389</v>
      </c>
      <c r="K431" s="568"/>
      <c r="L431" s="570"/>
      <c r="M431" s="23"/>
      <c r="N431" s="23" t="s">
        <v>1428</v>
      </c>
      <c r="O431" s="13" t="s">
        <v>1429</v>
      </c>
      <c r="P431" s="18" t="s">
        <v>55</v>
      </c>
      <c r="Q431" s="18">
        <v>1</v>
      </c>
      <c r="R431" s="20"/>
      <c r="S431" s="13" t="s">
        <v>1987</v>
      </c>
      <c r="T431" s="13" t="s">
        <v>1430</v>
      </c>
      <c r="U431" s="19" t="s">
        <v>55</v>
      </c>
      <c r="V431" s="19">
        <v>500</v>
      </c>
      <c r="W431" s="1" t="s">
        <v>49</v>
      </c>
      <c r="X431" s="10" t="s">
        <v>1427</v>
      </c>
      <c r="Y431" s="1"/>
      <c r="Z431" s="1"/>
      <c r="AA431" s="13" t="s">
        <v>919</v>
      </c>
      <c r="AB431" s="10" t="s">
        <v>1768</v>
      </c>
      <c r="AC431" s="163">
        <v>125</v>
      </c>
      <c r="AD431" s="156">
        <v>150</v>
      </c>
      <c r="AE431" s="156">
        <v>150</v>
      </c>
      <c r="AF431" s="156">
        <v>100</v>
      </c>
      <c r="AG431" s="377">
        <f t="shared" si="70"/>
        <v>525</v>
      </c>
      <c r="AH431" s="377" t="b">
        <f t="shared" si="66"/>
        <v>0</v>
      </c>
      <c r="AI431" s="19"/>
      <c r="AJ431" s="19">
        <v>20</v>
      </c>
      <c r="AK431" s="19">
        <v>125</v>
      </c>
      <c r="AL431" s="19">
        <v>125</v>
      </c>
      <c r="AM431" s="16">
        <f t="shared" si="67"/>
        <v>0.25</v>
      </c>
      <c r="AN431" s="163">
        <v>125</v>
      </c>
      <c r="AO431" s="19"/>
      <c r="AP431" s="19">
        <v>20</v>
      </c>
      <c r="AQ431" s="19"/>
      <c r="AR431" s="19">
        <f t="shared" si="71"/>
        <v>125</v>
      </c>
      <c r="AS431" s="21">
        <f>IFERROR(+AR431/AN431,0)</f>
        <v>1</v>
      </c>
      <c r="AT431" s="1">
        <f t="shared" si="68"/>
        <v>125</v>
      </c>
      <c r="AU431" s="31"/>
      <c r="AV431" s="31"/>
      <c r="AW431" s="31"/>
      <c r="AX431" s="16">
        <f t="shared" si="64"/>
        <v>0.25</v>
      </c>
      <c r="AY431" s="156">
        <v>150</v>
      </c>
      <c r="AZ431" s="76">
        <v>0</v>
      </c>
      <c r="BA431" s="31"/>
      <c r="BB431" s="31"/>
      <c r="BC431" s="31"/>
      <c r="BD431" s="16">
        <f t="shared" si="69"/>
        <v>0</v>
      </c>
      <c r="BE431" s="31"/>
      <c r="BF431" s="31"/>
      <c r="BG431" s="31"/>
      <c r="BH431" s="31"/>
      <c r="BI431" s="16"/>
      <c r="BJ431" s="16"/>
      <c r="BK431" s="31"/>
      <c r="BL431" s="31"/>
      <c r="BM431" s="31"/>
      <c r="BN431" s="31"/>
      <c r="BO431" s="16"/>
      <c r="BP431" s="31"/>
      <c r="BQ431" s="31"/>
      <c r="BR431" s="31"/>
      <c r="BS431" s="31"/>
      <c r="BT431" s="16"/>
      <c r="BU431" s="16"/>
      <c r="BV431" s="16"/>
      <c r="BW431" s="16"/>
      <c r="BX431" s="16"/>
      <c r="BY431" s="16"/>
      <c r="BZ431" s="16"/>
      <c r="CA431" s="10"/>
      <c r="CB431" s="1"/>
      <c r="CC431" s="19"/>
    </row>
    <row r="432" spans="1:81" s="52" customFormat="1" ht="171.6" customHeight="1" x14ac:dyDescent="0.25">
      <c r="A432" s="1">
        <v>5</v>
      </c>
      <c r="B432" s="13" t="s">
        <v>1750</v>
      </c>
      <c r="C432" s="572"/>
      <c r="D432" s="573"/>
      <c r="E432" s="10" t="s">
        <v>1354</v>
      </c>
      <c r="F432" s="13" t="s">
        <v>1355</v>
      </c>
      <c r="G432" s="572"/>
      <c r="H432" s="573"/>
      <c r="I432" s="10" t="s">
        <v>1431</v>
      </c>
      <c r="J432" s="13" t="s">
        <v>1432</v>
      </c>
      <c r="K432" s="567">
        <f>AVERAGE(AX432:AX433)</f>
        <v>0.71323529411764697</v>
      </c>
      <c r="L432" s="569">
        <f>AVERAGE(BD432:BD433)</f>
        <v>0.85</v>
      </c>
      <c r="M432" s="23"/>
      <c r="N432" s="13" t="s">
        <v>1433</v>
      </c>
      <c r="O432" s="13" t="s">
        <v>1433</v>
      </c>
      <c r="P432" s="1" t="s">
        <v>1434</v>
      </c>
      <c r="Q432" s="1" t="s">
        <v>1435</v>
      </c>
      <c r="R432" s="24"/>
      <c r="S432" s="13" t="s">
        <v>1436</v>
      </c>
      <c r="T432" s="13" t="s">
        <v>1437</v>
      </c>
      <c r="U432" s="1" t="s">
        <v>55</v>
      </c>
      <c r="V432" s="1">
        <v>170</v>
      </c>
      <c r="W432" s="1" t="s">
        <v>49</v>
      </c>
      <c r="X432" s="10" t="s">
        <v>1438</v>
      </c>
      <c r="Y432" s="10" t="s">
        <v>1439</v>
      </c>
      <c r="Z432" s="1">
        <v>17</v>
      </c>
      <c r="AA432" s="13" t="s">
        <v>1440</v>
      </c>
      <c r="AB432" s="42" t="s">
        <v>1754</v>
      </c>
      <c r="AC432" s="163">
        <v>40</v>
      </c>
      <c r="AD432" s="156">
        <v>40</v>
      </c>
      <c r="AE432" s="156">
        <v>30</v>
      </c>
      <c r="AF432" s="156">
        <v>30</v>
      </c>
      <c r="AG432" s="377">
        <f t="shared" si="70"/>
        <v>140</v>
      </c>
      <c r="AH432" s="377" t="b">
        <f t="shared" si="66"/>
        <v>0</v>
      </c>
      <c r="AI432" s="78">
        <f>+AO432</f>
        <v>15</v>
      </c>
      <c r="AJ432" s="19">
        <v>63</v>
      </c>
      <c r="AK432" s="19">
        <v>70</v>
      </c>
      <c r="AL432" s="19">
        <v>70</v>
      </c>
      <c r="AM432" s="16">
        <f t="shared" si="67"/>
        <v>0.41176470588235292</v>
      </c>
      <c r="AN432" s="163">
        <v>40</v>
      </c>
      <c r="AO432" s="19">
        <v>15</v>
      </c>
      <c r="AP432" s="19">
        <v>40</v>
      </c>
      <c r="AQ432" s="19"/>
      <c r="AR432" s="76">
        <f>AL432</f>
        <v>70</v>
      </c>
      <c r="AS432" s="21">
        <v>1</v>
      </c>
      <c r="AT432" s="1">
        <f t="shared" si="68"/>
        <v>98</v>
      </c>
      <c r="AU432" s="31"/>
      <c r="AV432" s="31"/>
      <c r="AW432" s="31"/>
      <c r="AX432" s="16">
        <f t="shared" si="64"/>
        <v>0.57647058823529407</v>
      </c>
      <c r="AY432" s="156">
        <v>40</v>
      </c>
      <c r="AZ432" s="76">
        <v>28</v>
      </c>
      <c r="BA432" s="31"/>
      <c r="BB432" s="31"/>
      <c r="BC432" s="31"/>
      <c r="BD432" s="16">
        <f t="shared" si="69"/>
        <v>0.7</v>
      </c>
      <c r="BE432" s="31"/>
      <c r="BF432" s="31"/>
      <c r="BG432" s="31"/>
      <c r="BH432" s="31"/>
      <c r="BI432" s="16"/>
      <c r="BJ432" s="16"/>
      <c r="BK432" s="31"/>
      <c r="BL432" s="31"/>
      <c r="BM432" s="31"/>
      <c r="BN432" s="31"/>
      <c r="BO432" s="16"/>
      <c r="BP432" s="31"/>
      <c r="BQ432" s="31"/>
      <c r="BR432" s="31"/>
      <c r="BS432" s="31"/>
      <c r="BT432" s="16"/>
      <c r="BU432" s="16"/>
      <c r="BV432" s="16"/>
      <c r="BW432" s="16"/>
      <c r="BX432" s="16"/>
      <c r="BY432" s="16"/>
      <c r="BZ432" s="16"/>
      <c r="CA432" s="19"/>
      <c r="CB432" s="19"/>
      <c r="CC432" s="19">
        <v>8000000000</v>
      </c>
    </row>
    <row r="433" spans="1:81" s="52" customFormat="1" ht="171.6" customHeight="1" x14ac:dyDescent="0.25">
      <c r="A433" s="1">
        <v>5</v>
      </c>
      <c r="B433" s="13" t="s">
        <v>1750</v>
      </c>
      <c r="C433" s="572"/>
      <c r="D433" s="573"/>
      <c r="E433" s="10" t="s">
        <v>1354</v>
      </c>
      <c r="F433" s="13" t="s">
        <v>1355</v>
      </c>
      <c r="G433" s="572"/>
      <c r="H433" s="573"/>
      <c r="I433" s="10" t="s">
        <v>1431</v>
      </c>
      <c r="J433" s="13" t="s">
        <v>1432</v>
      </c>
      <c r="K433" s="568"/>
      <c r="L433" s="570"/>
      <c r="M433" s="23"/>
      <c r="N433" s="13" t="s">
        <v>1433</v>
      </c>
      <c r="O433" s="13" t="s">
        <v>1433</v>
      </c>
      <c r="P433" s="1" t="s">
        <v>1434</v>
      </c>
      <c r="Q433" s="1" t="s">
        <v>1435</v>
      </c>
      <c r="R433" s="24"/>
      <c r="S433" s="13" t="s">
        <v>1441</v>
      </c>
      <c r="T433" s="13" t="s">
        <v>1442</v>
      </c>
      <c r="U433" s="1" t="s">
        <v>55</v>
      </c>
      <c r="V433" s="1">
        <v>200</v>
      </c>
      <c r="W433" s="1" t="s">
        <v>49</v>
      </c>
      <c r="X433" s="10" t="s">
        <v>1443</v>
      </c>
      <c r="Y433" s="10" t="s">
        <v>1439</v>
      </c>
      <c r="Z433" s="1">
        <v>17</v>
      </c>
      <c r="AA433" s="13" t="s">
        <v>1440</v>
      </c>
      <c r="AB433" s="42" t="s">
        <v>1754</v>
      </c>
      <c r="AC433" s="163">
        <v>60</v>
      </c>
      <c r="AD433" s="156">
        <v>60</v>
      </c>
      <c r="AE433" s="156">
        <v>50</v>
      </c>
      <c r="AF433" s="156">
        <v>40</v>
      </c>
      <c r="AG433" s="377">
        <f t="shared" si="70"/>
        <v>210</v>
      </c>
      <c r="AH433" s="377" t="b">
        <f t="shared" si="66"/>
        <v>0</v>
      </c>
      <c r="AI433" s="78">
        <f>+AO433</f>
        <v>0</v>
      </c>
      <c r="AJ433" s="19">
        <v>0</v>
      </c>
      <c r="AK433" s="19">
        <v>50</v>
      </c>
      <c r="AL433" s="19">
        <v>50</v>
      </c>
      <c r="AM433" s="16">
        <f t="shared" si="67"/>
        <v>0.25</v>
      </c>
      <c r="AN433" s="163">
        <v>60</v>
      </c>
      <c r="AO433" s="19">
        <v>0</v>
      </c>
      <c r="AP433" s="19">
        <v>0</v>
      </c>
      <c r="AQ433" s="19"/>
      <c r="AR433" s="76">
        <f>AL433</f>
        <v>50</v>
      </c>
      <c r="AS433" s="21">
        <f>IFERROR(+AR433/AN433,0)</f>
        <v>0.83333333333333337</v>
      </c>
      <c r="AT433" s="1">
        <f t="shared" si="68"/>
        <v>170</v>
      </c>
      <c r="AU433" s="31"/>
      <c r="AV433" s="31"/>
      <c r="AW433" s="31"/>
      <c r="AX433" s="16">
        <f t="shared" si="64"/>
        <v>0.85</v>
      </c>
      <c r="AY433" s="156">
        <v>60</v>
      </c>
      <c r="AZ433" s="76">
        <v>120</v>
      </c>
      <c r="BA433" s="31"/>
      <c r="BB433" s="31"/>
      <c r="BC433" s="31"/>
      <c r="BD433" s="16">
        <f t="shared" si="69"/>
        <v>1</v>
      </c>
      <c r="BE433" s="31"/>
      <c r="BF433" s="31"/>
      <c r="BG433" s="31"/>
      <c r="BH433" s="31"/>
      <c r="BI433" s="16"/>
      <c r="BJ433" s="16"/>
      <c r="BK433" s="31"/>
      <c r="BL433" s="31"/>
      <c r="BM433" s="31"/>
      <c r="BN433" s="31"/>
      <c r="BO433" s="16"/>
      <c r="BP433" s="31"/>
      <c r="BQ433" s="31"/>
      <c r="BR433" s="31"/>
      <c r="BS433" s="31"/>
      <c r="BT433" s="16"/>
      <c r="BU433" s="16"/>
      <c r="BV433" s="16"/>
      <c r="BW433" s="16"/>
      <c r="BX433" s="16"/>
      <c r="BY433" s="16"/>
      <c r="BZ433" s="16"/>
      <c r="CA433" s="19"/>
      <c r="CB433" s="19"/>
      <c r="CC433" s="19"/>
    </row>
    <row r="434" spans="1:81" s="52" customFormat="1" ht="78" customHeight="1" x14ac:dyDescent="0.25">
      <c r="A434" s="1">
        <v>5</v>
      </c>
      <c r="B434" s="13" t="s">
        <v>1750</v>
      </c>
      <c r="C434" s="572"/>
      <c r="D434" s="573"/>
      <c r="E434" s="10" t="s">
        <v>1354</v>
      </c>
      <c r="F434" s="13" t="s">
        <v>1355</v>
      </c>
      <c r="G434" s="572"/>
      <c r="H434" s="573"/>
      <c r="I434" s="10" t="s">
        <v>1444</v>
      </c>
      <c r="J434" s="13" t="s">
        <v>1445</v>
      </c>
      <c r="K434" s="567">
        <f>AVERAGE(AX434:AX439)</f>
        <v>3.5000000000000003E-2</v>
      </c>
      <c r="L434" s="569">
        <f>AVERAGE(BD434:BD439)</f>
        <v>0.15277777777777776</v>
      </c>
      <c r="M434" s="23"/>
      <c r="N434" s="23" t="s">
        <v>1446</v>
      </c>
      <c r="O434" s="13" t="s">
        <v>1446</v>
      </c>
      <c r="P434" s="18" t="s">
        <v>1373</v>
      </c>
      <c r="Q434" s="18">
        <v>1</v>
      </c>
      <c r="R434" s="18"/>
      <c r="S434" s="13" t="s">
        <v>1447</v>
      </c>
      <c r="T434" s="13" t="s">
        <v>1447</v>
      </c>
      <c r="U434" s="19" t="s">
        <v>1373</v>
      </c>
      <c r="V434" s="19">
        <v>100</v>
      </c>
      <c r="W434" s="1" t="s">
        <v>49</v>
      </c>
      <c r="X434" s="1"/>
      <c r="Y434" s="1"/>
      <c r="Z434" s="1"/>
      <c r="AA434" s="24"/>
      <c r="AB434" s="10" t="s">
        <v>768</v>
      </c>
      <c r="AC434" s="371"/>
      <c r="AD434" s="108">
        <v>4</v>
      </c>
      <c r="AE434" s="371"/>
      <c r="AF434" s="371"/>
      <c r="AG434" s="377">
        <f t="shared" si="70"/>
        <v>4</v>
      </c>
      <c r="AH434" s="377" t="b">
        <f t="shared" si="66"/>
        <v>0</v>
      </c>
      <c r="AI434" s="1"/>
      <c r="AJ434" s="1"/>
      <c r="AK434" s="1"/>
      <c r="AL434" s="1"/>
      <c r="AM434" s="16">
        <f t="shared" si="67"/>
        <v>0</v>
      </c>
      <c r="AN434" s="156"/>
      <c r="AO434" s="1"/>
      <c r="AP434" s="1"/>
      <c r="AQ434" s="1"/>
      <c r="AR434" s="1"/>
      <c r="AS434" s="21" t="s">
        <v>310</v>
      </c>
      <c r="AT434" s="1">
        <f t="shared" si="68"/>
        <v>1</v>
      </c>
      <c r="AU434" s="31"/>
      <c r="AV434" s="31"/>
      <c r="AW434" s="31"/>
      <c r="AX434" s="16">
        <f t="shared" si="64"/>
        <v>0.01</v>
      </c>
      <c r="AY434" s="108">
        <v>4</v>
      </c>
      <c r="AZ434" s="108">
        <v>1</v>
      </c>
      <c r="BA434" s="31"/>
      <c r="BB434" s="31"/>
      <c r="BC434" s="31"/>
      <c r="BD434" s="16">
        <f t="shared" si="69"/>
        <v>0.25</v>
      </c>
      <c r="BE434" s="31"/>
      <c r="BF434" s="31"/>
      <c r="BG434" s="31"/>
      <c r="BH434" s="31"/>
      <c r="BI434" s="16"/>
      <c r="BJ434" s="16"/>
      <c r="BK434" s="31"/>
      <c r="BL434" s="31"/>
      <c r="BM434" s="31"/>
      <c r="BN434" s="31"/>
      <c r="BO434" s="16"/>
      <c r="BP434" s="31"/>
      <c r="BQ434" s="31"/>
      <c r="BR434" s="31"/>
      <c r="BS434" s="31"/>
      <c r="BT434" s="16"/>
      <c r="BU434" s="16"/>
      <c r="BV434" s="16"/>
      <c r="BW434" s="16"/>
      <c r="BX434" s="16"/>
      <c r="BY434" s="16"/>
      <c r="BZ434" s="16"/>
      <c r="CA434" s="1"/>
      <c r="CB434" s="1"/>
      <c r="CC434" s="1"/>
    </row>
    <row r="435" spans="1:81" s="52" customFormat="1" ht="78.75" x14ac:dyDescent="0.25">
      <c r="A435" s="1">
        <v>5</v>
      </c>
      <c r="B435" s="13" t="s">
        <v>1750</v>
      </c>
      <c r="C435" s="572"/>
      <c r="D435" s="573"/>
      <c r="E435" s="10" t="s">
        <v>1354</v>
      </c>
      <c r="F435" s="13" t="s">
        <v>1355</v>
      </c>
      <c r="G435" s="572"/>
      <c r="H435" s="573"/>
      <c r="I435" s="10" t="s">
        <v>1444</v>
      </c>
      <c r="J435" s="13" t="s">
        <v>1445</v>
      </c>
      <c r="K435" s="572"/>
      <c r="L435" s="573"/>
      <c r="M435" s="23"/>
      <c r="N435" s="23" t="s">
        <v>1446</v>
      </c>
      <c r="O435" s="13" t="s">
        <v>1446</v>
      </c>
      <c r="P435" s="18" t="s">
        <v>1373</v>
      </c>
      <c r="Q435" s="18">
        <v>1</v>
      </c>
      <c r="R435" s="18"/>
      <c r="S435" s="13" t="s">
        <v>1448</v>
      </c>
      <c r="T435" s="13" t="s">
        <v>1448</v>
      </c>
      <c r="U435" s="19" t="s">
        <v>1373</v>
      </c>
      <c r="V435" s="19">
        <v>100</v>
      </c>
      <c r="W435" s="1" t="s">
        <v>49</v>
      </c>
      <c r="X435" s="1"/>
      <c r="Y435" s="1"/>
      <c r="Z435" s="1"/>
      <c r="AA435" s="24"/>
      <c r="AB435" s="10" t="s">
        <v>768</v>
      </c>
      <c r="AC435" s="371"/>
      <c r="AD435" s="319">
        <v>0.2</v>
      </c>
      <c r="AE435" s="371"/>
      <c r="AF435" s="371"/>
      <c r="AG435" s="377">
        <f t="shared" si="70"/>
        <v>0.2</v>
      </c>
      <c r="AH435" s="377" t="b">
        <f t="shared" si="66"/>
        <v>0</v>
      </c>
      <c r="AI435" s="1"/>
      <c r="AJ435" s="1"/>
      <c r="AK435" s="1"/>
      <c r="AL435" s="1"/>
      <c r="AM435" s="16">
        <f t="shared" si="67"/>
        <v>0</v>
      </c>
      <c r="AN435" s="156"/>
      <c r="AO435" s="1"/>
      <c r="AP435" s="1"/>
      <c r="AQ435" s="1"/>
      <c r="AR435" s="1"/>
      <c r="AS435" s="21" t="s">
        <v>310</v>
      </c>
      <c r="AT435" s="1">
        <f t="shared" si="68"/>
        <v>0</v>
      </c>
      <c r="AU435" s="31"/>
      <c r="AV435" s="31"/>
      <c r="AW435" s="31"/>
      <c r="AX435" s="16">
        <f t="shared" si="64"/>
        <v>0</v>
      </c>
      <c r="AY435" s="319">
        <v>0.2</v>
      </c>
      <c r="AZ435" s="76">
        <v>0</v>
      </c>
      <c r="BA435" s="31"/>
      <c r="BB435" s="31"/>
      <c r="BC435" s="31"/>
      <c r="BD435" s="16">
        <f t="shared" si="69"/>
        <v>0</v>
      </c>
      <c r="BE435" s="31"/>
      <c r="BF435" s="31"/>
      <c r="BG435" s="31"/>
      <c r="BH435" s="31"/>
      <c r="BI435" s="16"/>
      <c r="BJ435" s="16"/>
      <c r="BK435" s="31"/>
      <c r="BL435" s="31"/>
      <c r="BM435" s="31"/>
      <c r="BN435" s="31"/>
      <c r="BO435" s="16"/>
      <c r="BP435" s="31"/>
      <c r="BQ435" s="31"/>
      <c r="BR435" s="31"/>
      <c r="BS435" s="31"/>
      <c r="BT435" s="16"/>
      <c r="BU435" s="16"/>
      <c r="BV435" s="16"/>
      <c r="BW435" s="16"/>
      <c r="BX435" s="16"/>
      <c r="BY435" s="16"/>
      <c r="BZ435" s="16"/>
      <c r="CA435" s="1"/>
      <c r="CB435" s="1"/>
      <c r="CC435" s="1"/>
    </row>
    <row r="436" spans="1:81" s="52" customFormat="1" ht="93.6" customHeight="1" x14ac:dyDescent="0.25">
      <c r="A436" s="1">
        <v>5</v>
      </c>
      <c r="B436" s="13" t="s">
        <v>1750</v>
      </c>
      <c r="C436" s="572"/>
      <c r="D436" s="573"/>
      <c r="E436" s="10" t="s">
        <v>1354</v>
      </c>
      <c r="F436" s="13" t="s">
        <v>1355</v>
      </c>
      <c r="G436" s="572"/>
      <c r="H436" s="573"/>
      <c r="I436" s="10" t="s">
        <v>1444</v>
      </c>
      <c r="J436" s="13" t="s">
        <v>1445</v>
      </c>
      <c r="K436" s="572"/>
      <c r="L436" s="573"/>
      <c r="M436" s="23"/>
      <c r="N436" s="23" t="s">
        <v>1446</v>
      </c>
      <c r="O436" s="13" t="s">
        <v>1446</v>
      </c>
      <c r="P436" s="18" t="s">
        <v>1373</v>
      </c>
      <c r="Q436" s="18">
        <v>1</v>
      </c>
      <c r="R436" s="18"/>
      <c r="S436" s="13" t="s">
        <v>1449</v>
      </c>
      <c r="T436" s="13" t="s">
        <v>1449</v>
      </c>
      <c r="U436" s="19" t="s">
        <v>1373</v>
      </c>
      <c r="V436" s="19">
        <v>4</v>
      </c>
      <c r="W436" s="1" t="s">
        <v>49</v>
      </c>
      <c r="X436" s="1"/>
      <c r="Y436" s="1"/>
      <c r="Z436" s="1"/>
      <c r="AA436" s="24"/>
      <c r="AB436" s="10" t="s">
        <v>768</v>
      </c>
      <c r="AC436" s="371"/>
      <c r="AD436" s="156">
        <v>1</v>
      </c>
      <c r="AE436" s="371"/>
      <c r="AF436" s="371"/>
      <c r="AG436" s="377">
        <f t="shared" si="70"/>
        <v>1</v>
      </c>
      <c r="AH436" s="377" t="b">
        <f t="shared" si="66"/>
        <v>0</v>
      </c>
      <c r="AI436" s="1"/>
      <c r="AJ436" s="1"/>
      <c r="AK436" s="1"/>
      <c r="AL436" s="1"/>
      <c r="AM436" s="16">
        <f t="shared" si="67"/>
        <v>0</v>
      </c>
      <c r="AN436" s="156"/>
      <c r="AO436" s="1"/>
      <c r="AP436" s="1"/>
      <c r="AQ436" s="1"/>
      <c r="AR436" s="1"/>
      <c r="AS436" s="21" t="s">
        <v>310</v>
      </c>
      <c r="AT436" s="1">
        <f t="shared" si="68"/>
        <v>0</v>
      </c>
      <c r="AU436" s="31"/>
      <c r="AV436" s="31"/>
      <c r="AW436" s="31"/>
      <c r="AX436" s="16">
        <f t="shared" si="64"/>
        <v>0</v>
      </c>
      <c r="AY436" s="156">
        <v>1</v>
      </c>
      <c r="AZ436" s="76">
        <v>0</v>
      </c>
      <c r="BA436" s="31"/>
      <c r="BB436" s="31"/>
      <c r="BC436" s="31"/>
      <c r="BD436" s="16">
        <f t="shared" si="69"/>
        <v>0</v>
      </c>
      <c r="BE436" s="31"/>
      <c r="BF436" s="31"/>
      <c r="BG436" s="31"/>
      <c r="BH436" s="31"/>
      <c r="BI436" s="16"/>
      <c r="BJ436" s="16"/>
      <c r="BK436" s="31"/>
      <c r="BL436" s="31"/>
      <c r="BM436" s="31"/>
      <c r="BN436" s="31"/>
      <c r="BO436" s="16"/>
      <c r="BP436" s="31"/>
      <c r="BQ436" s="31"/>
      <c r="BR436" s="31"/>
      <c r="BS436" s="31"/>
      <c r="BT436" s="16"/>
      <c r="BU436" s="16"/>
      <c r="BV436" s="16"/>
      <c r="BW436" s="16"/>
      <c r="BX436" s="16"/>
      <c r="BY436" s="16"/>
      <c r="BZ436" s="16"/>
      <c r="CA436" s="1"/>
      <c r="CB436" s="1"/>
      <c r="CC436" s="1"/>
    </row>
    <row r="437" spans="1:81" s="52" customFormat="1" ht="63" x14ac:dyDescent="0.25">
      <c r="A437" s="1">
        <v>5</v>
      </c>
      <c r="B437" s="13" t="s">
        <v>1750</v>
      </c>
      <c r="C437" s="572"/>
      <c r="D437" s="573"/>
      <c r="E437" s="10" t="s">
        <v>1354</v>
      </c>
      <c r="F437" s="13" t="s">
        <v>1355</v>
      </c>
      <c r="G437" s="572"/>
      <c r="H437" s="573"/>
      <c r="I437" s="10" t="s">
        <v>1444</v>
      </c>
      <c r="J437" s="13" t="s">
        <v>1445</v>
      </c>
      <c r="K437" s="572"/>
      <c r="L437" s="573"/>
      <c r="M437" s="23"/>
      <c r="N437" s="23" t="s">
        <v>1446</v>
      </c>
      <c r="O437" s="13" t="s">
        <v>1446</v>
      </c>
      <c r="P437" s="18" t="s">
        <v>1373</v>
      </c>
      <c r="Q437" s="18">
        <v>1</v>
      </c>
      <c r="R437" s="18"/>
      <c r="S437" s="13" t="s">
        <v>1450</v>
      </c>
      <c r="T437" s="13" t="s">
        <v>1450</v>
      </c>
      <c r="U437" s="19" t="s">
        <v>1373</v>
      </c>
      <c r="V437" s="19">
        <v>4</v>
      </c>
      <c r="W437" s="1" t="s">
        <v>49</v>
      </c>
      <c r="X437" s="1"/>
      <c r="Y437" s="1"/>
      <c r="Z437" s="1"/>
      <c r="AA437" s="24"/>
      <c r="AB437" s="1" t="s">
        <v>768</v>
      </c>
      <c r="AC437" s="371"/>
      <c r="AD437" s="156">
        <v>1</v>
      </c>
      <c r="AE437" s="371"/>
      <c r="AF437" s="371"/>
      <c r="AG437" s="377">
        <f t="shared" si="70"/>
        <v>1</v>
      </c>
      <c r="AH437" s="377" t="b">
        <f t="shared" si="66"/>
        <v>0</v>
      </c>
      <c r="AI437" s="1"/>
      <c r="AJ437" s="1"/>
      <c r="AK437" s="1"/>
      <c r="AL437" s="1"/>
      <c r="AM437" s="16">
        <f t="shared" si="67"/>
        <v>0</v>
      </c>
      <c r="AN437" s="156"/>
      <c r="AO437" s="1"/>
      <c r="AP437" s="1"/>
      <c r="AQ437" s="1"/>
      <c r="AR437" s="1"/>
      <c r="AS437" s="21" t="s">
        <v>310</v>
      </c>
      <c r="AT437" s="1">
        <f t="shared" si="68"/>
        <v>0</v>
      </c>
      <c r="AU437" s="31"/>
      <c r="AV437" s="31"/>
      <c r="AW437" s="31"/>
      <c r="AX437" s="16">
        <f t="shared" si="64"/>
        <v>0</v>
      </c>
      <c r="AY437" s="156">
        <v>1</v>
      </c>
      <c r="AZ437" s="76">
        <v>0</v>
      </c>
      <c r="BA437" s="31"/>
      <c r="BB437" s="31"/>
      <c r="BC437" s="31"/>
      <c r="BD437" s="16">
        <f t="shared" si="69"/>
        <v>0</v>
      </c>
      <c r="BE437" s="31"/>
      <c r="BF437" s="31"/>
      <c r="BG437" s="31"/>
      <c r="BH437" s="31"/>
      <c r="BI437" s="16"/>
      <c r="BJ437" s="16"/>
      <c r="BK437" s="31"/>
      <c r="BL437" s="31"/>
      <c r="BM437" s="31"/>
      <c r="BN437" s="31"/>
      <c r="BO437" s="16"/>
      <c r="BP437" s="31"/>
      <c r="BQ437" s="31"/>
      <c r="BR437" s="31"/>
      <c r="BS437" s="31"/>
      <c r="BT437" s="16"/>
      <c r="BU437" s="16"/>
      <c r="BV437" s="16"/>
      <c r="BW437" s="16"/>
      <c r="BX437" s="16"/>
      <c r="BY437" s="16"/>
      <c r="BZ437" s="16"/>
      <c r="CA437" s="1"/>
      <c r="CB437" s="1"/>
      <c r="CC437" s="1"/>
    </row>
    <row r="438" spans="1:81" s="52" customFormat="1" ht="63" x14ac:dyDescent="0.25">
      <c r="A438" s="1">
        <v>5</v>
      </c>
      <c r="B438" s="13" t="s">
        <v>1750</v>
      </c>
      <c r="C438" s="572"/>
      <c r="D438" s="573"/>
      <c r="E438" s="10" t="s">
        <v>1354</v>
      </c>
      <c r="F438" s="13" t="s">
        <v>1355</v>
      </c>
      <c r="G438" s="572"/>
      <c r="H438" s="573"/>
      <c r="I438" s="10" t="s">
        <v>1444</v>
      </c>
      <c r="J438" s="13" t="s">
        <v>1445</v>
      </c>
      <c r="K438" s="572"/>
      <c r="L438" s="573"/>
      <c r="M438" s="23"/>
      <c r="N438" s="23" t="s">
        <v>1446</v>
      </c>
      <c r="O438" s="13" t="s">
        <v>1446</v>
      </c>
      <c r="P438" s="18" t="s">
        <v>1373</v>
      </c>
      <c r="Q438" s="18">
        <v>1</v>
      </c>
      <c r="R438" s="18"/>
      <c r="S438" s="13" t="s">
        <v>1451</v>
      </c>
      <c r="T438" s="13" t="s">
        <v>1451</v>
      </c>
      <c r="U438" s="19" t="s">
        <v>1373</v>
      </c>
      <c r="V438" s="19">
        <v>100</v>
      </c>
      <c r="W438" s="1" t="s">
        <v>49</v>
      </c>
      <c r="X438" s="1"/>
      <c r="Y438" s="1"/>
      <c r="Z438" s="1"/>
      <c r="AA438" s="24"/>
      <c r="AB438" s="1" t="s">
        <v>768</v>
      </c>
      <c r="AC438" s="371"/>
      <c r="AD438" s="156">
        <v>50</v>
      </c>
      <c r="AE438" s="371"/>
      <c r="AF438" s="371"/>
      <c r="AG438" s="377">
        <f t="shared" si="70"/>
        <v>50</v>
      </c>
      <c r="AH438" s="377" t="b">
        <f t="shared" si="66"/>
        <v>0</v>
      </c>
      <c r="AI438" s="1"/>
      <c r="AJ438" s="1"/>
      <c r="AK438" s="1"/>
      <c r="AL438" s="1"/>
      <c r="AM438" s="16">
        <f t="shared" si="67"/>
        <v>0</v>
      </c>
      <c r="AN438" s="156"/>
      <c r="AO438" s="1"/>
      <c r="AP438" s="1"/>
      <c r="AQ438" s="1"/>
      <c r="AR438" s="1"/>
      <c r="AS438" s="21" t="s">
        <v>310</v>
      </c>
      <c r="AT438" s="1">
        <f t="shared" si="68"/>
        <v>0</v>
      </c>
      <c r="AU438" s="31"/>
      <c r="AV438" s="31"/>
      <c r="AW438" s="31"/>
      <c r="AX438" s="16">
        <f t="shared" si="64"/>
        <v>0</v>
      </c>
      <c r="AY438" s="156">
        <v>50</v>
      </c>
      <c r="AZ438" s="76">
        <v>0</v>
      </c>
      <c r="BA438" s="31"/>
      <c r="BB438" s="31"/>
      <c r="BC438" s="31"/>
      <c r="BD438" s="16">
        <f t="shared" si="69"/>
        <v>0</v>
      </c>
      <c r="BE438" s="31"/>
      <c r="BF438" s="31"/>
      <c r="BG438" s="31"/>
      <c r="BH438" s="31"/>
      <c r="BI438" s="16"/>
      <c r="BJ438" s="16"/>
      <c r="BK438" s="31"/>
      <c r="BL438" s="31"/>
      <c r="BM438" s="31"/>
      <c r="BN438" s="31"/>
      <c r="BO438" s="16"/>
      <c r="BP438" s="31"/>
      <c r="BQ438" s="31"/>
      <c r="BR438" s="31"/>
      <c r="BS438" s="31"/>
      <c r="BT438" s="16"/>
      <c r="BU438" s="16"/>
      <c r="BV438" s="16"/>
      <c r="BW438" s="16"/>
      <c r="BX438" s="16"/>
      <c r="BY438" s="16"/>
      <c r="BZ438" s="16"/>
      <c r="CA438" s="1"/>
      <c r="CB438" s="1"/>
      <c r="CC438" s="1"/>
    </row>
    <row r="439" spans="1:81" s="52" customFormat="1" ht="63" x14ac:dyDescent="0.25">
      <c r="A439" s="1">
        <v>5</v>
      </c>
      <c r="B439" s="13" t="s">
        <v>1750</v>
      </c>
      <c r="C439" s="572"/>
      <c r="D439" s="573"/>
      <c r="E439" s="10" t="s">
        <v>1354</v>
      </c>
      <c r="F439" s="13" t="s">
        <v>1355</v>
      </c>
      <c r="G439" s="572"/>
      <c r="H439" s="573"/>
      <c r="I439" s="10" t="s">
        <v>1444</v>
      </c>
      <c r="J439" s="13" t="s">
        <v>1445</v>
      </c>
      <c r="K439" s="572"/>
      <c r="L439" s="573"/>
      <c r="M439" s="23"/>
      <c r="N439" s="23" t="s">
        <v>1446</v>
      </c>
      <c r="O439" s="13" t="s">
        <v>1446</v>
      </c>
      <c r="P439" s="18" t="s">
        <v>1373</v>
      </c>
      <c r="Q439" s="18">
        <v>1</v>
      </c>
      <c r="R439" s="20"/>
      <c r="S439" s="13" t="s">
        <v>1452</v>
      </c>
      <c r="T439" s="13" t="s">
        <v>1452</v>
      </c>
      <c r="U439" s="19" t="s">
        <v>1373</v>
      </c>
      <c r="V439" s="19">
        <v>10</v>
      </c>
      <c r="W439" s="1" t="s">
        <v>49</v>
      </c>
      <c r="X439" s="1"/>
      <c r="Y439" s="1"/>
      <c r="Z439" s="1"/>
      <c r="AA439" s="24"/>
      <c r="AB439" s="1" t="s">
        <v>682</v>
      </c>
      <c r="AC439" s="156"/>
      <c r="AD439" s="156">
        <v>3</v>
      </c>
      <c r="AE439" s="156"/>
      <c r="AF439" s="156"/>
      <c r="AG439" s="377">
        <f t="shared" si="70"/>
        <v>3</v>
      </c>
      <c r="AH439" s="377" t="b">
        <f t="shared" si="66"/>
        <v>0</v>
      </c>
      <c r="AI439" s="1"/>
      <c r="AJ439" s="1"/>
      <c r="AK439" s="1"/>
      <c r="AL439" s="1"/>
      <c r="AM439" s="16">
        <f t="shared" si="67"/>
        <v>0</v>
      </c>
      <c r="AN439" s="156"/>
      <c r="AO439" s="1"/>
      <c r="AP439" s="1"/>
      <c r="AQ439" s="1"/>
      <c r="AR439" s="1"/>
      <c r="AS439" s="21" t="s">
        <v>310</v>
      </c>
      <c r="AT439" s="1">
        <f t="shared" si="68"/>
        <v>2</v>
      </c>
      <c r="AU439" s="31"/>
      <c r="AV439" s="31"/>
      <c r="AW439" s="31"/>
      <c r="AX439" s="16">
        <f t="shared" si="64"/>
        <v>0.2</v>
      </c>
      <c r="AY439" s="156">
        <v>3</v>
      </c>
      <c r="AZ439" s="76">
        <v>2</v>
      </c>
      <c r="BA439" s="31"/>
      <c r="BB439" s="31"/>
      <c r="BC439" s="31"/>
      <c r="BD439" s="16">
        <f t="shared" si="69"/>
        <v>0.66666666666666663</v>
      </c>
      <c r="BE439" s="31"/>
      <c r="BF439" s="31"/>
      <c r="BG439" s="31"/>
      <c r="BH439" s="31"/>
      <c r="BI439" s="16"/>
      <c r="BJ439" s="16"/>
      <c r="BK439" s="31"/>
      <c r="BL439" s="31"/>
      <c r="BM439" s="31"/>
      <c r="BN439" s="31"/>
      <c r="BO439" s="16"/>
      <c r="BP439" s="31"/>
      <c r="BQ439" s="31"/>
      <c r="BR439" s="31"/>
      <c r="BS439" s="31"/>
      <c r="BT439" s="16"/>
      <c r="BU439" s="16"/>
      <c r="BV439" s="16"/>
      <c r="BW439" s="16"/>
      <c r="BX439" s="16"/>
      <c r="BY439" s="16"/>
      <c r="BZ439" s="16"/>
      <c r="CA439" s="1"/>
      <c r="CB439" s="1"/>
      <c r="CC439" s="1"/>
    </row>
    <row r="440" spans="1:81" s="52" customFormat="1" ht="117" customHeight="1" x14ac:dyDescent="0.25">
      <c r="A440" s="1">
        <v>6</v>
      </c>
      <c r="B440" s="13" t="s">
        <v>1751</v>
      </c>
      <c r="C440" s="567">
        <f>+AVERAGEIF(B14:B567,B440,AM14:AM567)</f>
        <v>0.23230559812757284</v>
      </c>
      <c r="D440" s="569">
        <f>+AVERAGEIF(B14:B567,B440,AS14:AS567)</f>
        <v>0.81902076390669054</v>
      </c>
      <c r="E440" s="10" t="s">
        <v>1454</v>
      </c>
      <c r="F440" s="13" t="s">
        <v>1455</v>
      </c>
      <c r="G440" s="567">
        <f>+AVERAGEIF(F14:F567,F440,AX14:AX567)</f>
        <v>0.24089239396521048</v>
      </c>
      <c r="H440" s="569">
        <f>+AVERAGEIF(F14:F567,F440,BD14:BD567)</f>
        <v>0.27044072948328268</v>
      </c>
      <c r="I440" s="10" t="s">
        <v>1456</v>
      </c>
      <c r="J440" s="13" t="s">
        <v>1879</v>
      </c>
      <c r="K440" s="567">
        <f>AVERAGE(AX440:AX455)</f>
        <v>0.25437813283208016</v>
      </c>
      <c r="L440" s="569">
        <f>AVERAGE(BD440:BD455)</f>
        <v>0.29777777777777775</v>
      </c>
      <c r="M440" s="10"/>
      <c r="N440" s="23" t="s">
        <v>1457</v>
      </c>
      <c r="O440" s="13" t="s">
        <v>1458</v>
      </c>
      <c r="P440" s="10" t="s">
        <v>1459</v>
      </c>
      <c r="Q440" s="18">
        <v>0.85</v>
      </c>
      <c r="R440" s="20"/>
      <c r="S440" s="13" t="s">
        <v>1460</v>
      </c>
      <c r="T440" s="13" t="s">
        <v>1461</v>
      </c>
      <c r="U440" s="10">
        <v>127</v>
      </c>
      <c r="V440" s="10">
        <v>400</v>
      </c>
      <c r="W440" s="10" t="s">
        <v>49</v>
      </c>
      <c r="X440" s="10"/>
      <c r="Y440" s="10"/>
      <c r="Z440" s="10"/>
      <c r="AA440" s="13" t="s">
        <v>1462</v>
      </c>
      <c r="AB440" s="10" t="s">
        <v>1774</v>
      </c>
      <c r="AC440" s="157">
        <v>50</v>
      </c>
      <c r="AD440" s="156">
        <v>100</v>
      </c>
      <c r="AE440" s="156">
        <v>100</v>
      </c>
      <c r="AF440" s="156">
        <v>150</v>
      </c>
      <c r="AG440" s="377">
        <f t="shared" si="70"/>
        <v>400</v>
      </c>
      <c r="AH440" s="377" t="b">
        <f t="shared" si="66"/>
        <v>1</v>
      </c>
      <c r="AI440" s="10"/>
      <c r="AJ440" s="10">
        <v>50</v>
      </c>
      <c r="AK440" s="10">
        <v>50</v>
      </c>
      <c r="AL440" s="10">
        <v>50</v>
      </c>
      <c r="AM440" s="16">
        <f t="shared" si="67"/>
        <v>0.125</v>
      </c>
      <c r="AN440" s="157">
        <v>50</v>
      </c>
      <c r="AO440" s="10"/>
      <c r="AP440" s="10">
        <v>50</v>
      </c>
      <c r="AQ440" s="10"/>
      <c r="AR440" s="10">
        <f>AL440</f>
        <v>50</v>
      </c>
      <c r="AS440" s="21">
        <f>IFERROR(+AR440/AN440,0)</f>
        <v>1</v>
      </c>
      <c r="AT440" s="1">
        <f t="shared" si="68"/>
        <v>130</v>
      </c>
      <c r="AU440" s="31"/>
      <c r="AV440" s="31"/>
      <c r="AW440" s="31"/>
      <c r="AX440" s="16">
        <f t="shared" si="64"/>
        <v>0.32500000000000001</v>
      </c>
      <c r="AY440" s="156">
        <v>100</v>
      </c>
      <c r="AZ440" s="76">
        <v>80</v>
      </c>
      <c r="BA440" s="31"/>
      <c r="BB440" s="31"/>
      <c r="BC440" s="31"/>
      <c r="BD440" s="16">
        <f t="shared" si="69"/>
        <v>0.8</v>
      </c>
      <c r="BE440" s="31"/>
      <c r="BF440" s="31"/>
      <c r="BG440" s="31"/>
      <c r="BH440" s="31"/>
      <c r="BI440" s="16"/>
      <c r="BJ440" s="16"/>
      <c r="BK440" s="31"/>
      <c r="BL440" s="31"/>
      <c r="BM440" s="31"/>
      <c r="BN440" s="31"/>
      <c r="BO440" s="16"/>
      <c r="BP440" s="31"/>
      <c r="BQ440" s="31"/>
      <c r="BR440" s="31"/>
      <c r="BS440" s="31"/>
      <c r="BT440" s="16"/>
      <c r="BU440" s="16"/>
      <c r="BV440" s="16"/>
      <c r="BW440" s="16"/>
      <c r="BX440" s="16"/>
      <c r="BY440" s="16"/>
      <c r="BZ440" s="16"/>
      <c r="CA440" s="10"/>
      <c r="CB440" s="10"/>
      <c r="CC440" s="45"/>
    </row>
    <row r="441" spans="1:81" s="52" customFormat="1" ht="113.25" customHeight="1" x14ac:dyDescent="0.25">
      <c r="A441" s="1">
        <v>6</v>
      </c>
      <c r="B441" s="13" t="s">
        <v>1751</v>
      </c>
      <c r="C441" s="572"/>
      <c r="D441" s="573"/>
      <c r="E441" s="10" t="s">
        <v>1454</v>
      </c>
      <c r="F441" s="13" t="s">
        <v>1455</v>
      </c>
      <c r="G441" s="572"/>
      <c r="H441" s="573"/>
      <c r="I441" s="10" t="s">
        <v>1456</v>
      </c>
      <c r="J441" s="13" t="s">
        <v>1879</v>
      </c>
      <c r="K441" s="572"/>
      <c r="L441" s="573"/>
      <c r="M441" s="10"/>
      <c r="N441" s="23" t="s">
        <v>1457</v>
      </c>
      <c r="O441" s="13" t="s">
        <v>1458</v>
      </c>
      <c r="P441" s="10" t="s">
        <v>1459</v>
      </c>
      <c r="Q441" s="18">
        <v>0.85</v>
      </c>
      <c r="R441" s="20"/>
      <c r="S441" s="13" t="s">
        <v>1460</v>
      </c>
      <c r="T441" s="13" t="s">
        <v>1463</v>
      </c>
      <c r="U441" s="10">
        <v>0</v>
      </c>
      <c r="V441" s="10">
        <v>70</v>
      </c>
      <c r="W441" s="10" t="s">
        <v>49</v>
      </c>
      <c r="X441" s="10"/>
      <c r="Y441" s="10"/>
      <c r="Z441" s="10"/>
      <c r="AA441" s="13" t="s">
        <v>1464</v>
      </c>
      <c r="AB441" s="10" t="s">
        <v>1774</v>
      </c>
      <c r="AC441" s="157">
        <v>10</v>
      </c>
      <c r="AD441" s="156">
        <v>20</v>
      </c>
      <c r="AE441" s="156">
        <v>20</v>
      </c>
      <c r="AF441" s="156">
        <v>20</v>
      </c>
      <c r="AG441" s="377">
        <f t="shared" si="70"/>
        <v>70</v>
      </c>
      <c r="AH441" s="377" t="b">
        <f t="shared" si="66"/>
        <v>1</v>
      </c>
      <c r="AI441" s="10"/>
      <c r="AJ441" s="10">
        <v>4</v>
      </c>
      <c r="AK441" s="10">
        <v>10</v>
      </c>
      <c r="AL441" s="10">
        <v>10</v>
      </c>
      <c r="AM441" s="16">
        <f t="shared" si="67"/>
        <v>0.14285714285714285</v>
      </c>
      <c r="AN441" s="157">
        <v>10</v>
      </c>
      <c r="AO441" s="10"/>
      <c r="AP441" s="10">
        <v>4</v>
      </c>
      <c r="AQ441" s="10"/>
      <c r="AR441" s="10">
        <f>AL441</f>
        <v>10</v>
      </c>
      <c r="AS441" s="21">
        <f>IFERROR(+AR441/AN441,0)</f>
        <v>1</v>
      </c>
      <c r="AT441" s="1">
        <f t="shared" si="68"/>
        <v>10</v>
      </c>
      <c r="AU441" s="31"/>
      <c r="AV441" s="31"/>
      <c r="AW441" s="31"/>
      <c r="AX441" s="16">
        <f t="shared" si="64"/>
        <v>0.14285714285714285</v>
      </c>
      <c r="AY441" s="156">
        <v>20</v>
      </c>
      <c r="AZ441" s="76">
        <v>0</v>
      </c>
      <c r="BA441" s="31"/>
      <c r="BB441" s="31"/>
      <c r="BC441" s="31"/>
      <c r="BD441" s="16">
        <f t="shared" si="69"/>
        <v>0</v>
      </c>
      <c r="BE441" s="31"/>
      <c r="BF441" s="31"/>
      <c r="BG441" s="31"/>
      <c r="BH441" s="31"/>
      <c r="BI441" s="16"/>
      <c r="BJ441" s="16"/>
      <c r="BK441" s="31"/>
      <c r="BL441" s="31"/>
      <c r="BM441" s="31"/>
      <c r="BN441" s="31"/>
      <c r="BO441" s="16"/>
      <c r="BP441" s="31"/>
      <c r="BQ441" s="31"/>
      <c r="BR441" s="31"/>
      <c r="BS441" s="31"/>
      <c r="BT441" s="16"/>
      <c r="BU441" s="16"/>
      <c r="BV441" s="16"/>
      <c r="BW441" s="16"/>
      <c r="BX441" s="16"/>
      <c r="BY441" s="16"/>
      <c r="BZ441" s="16"/>
      <c r="CA441" s="10" t="s">
        <v>1465</v>
      </c>
      <c r="CB441" s="10" t="s">
        <v>1466</v>
      </c>
      <c r="CC441" s="45">
        <v>200000000</v>
      </c>
    </row>
    <row r="442" spans="1:81" s="52" customFormat="1" ht="96.75" customHeight="1" x14ac:dyDescent="0.25">
      <c r="A442" s="1">
        <v>6</v>
      </c>
      <c r="B442" s="13" t="s">
        <v>1751</v>
      </c>
      <c r="C442" s="572"/>
      <c r="D442" s="573"/>
      <c r="E442" s="10" t="s">
        <v>1454</v>
      </c>
      <c r="F442" s="13" t="s">
        <v>1455</v>
      </c>
      <c r="G442" s="572"/>
      <c r="H442" s="573"/>
      <c r="I442" s="10" t="s">
        <v>1456</v>
      </c>
      <c r="J442" s="13" t="s">
        <v>1879</v>
      </c>
      <c r="K442" s="572"/>
      <c r="L442" s="573"/>
      <c r="M442" s="10"/>
      <c r="N442" s="23" t="s">
        <v>1457</v>
      </c>
      <c r="O442" s="13" t="s">
        <v>1458</v>
      </c>
      <c r="P442" s="10" t="s">
        <v>1459</v>
      </c>
      <c r="Q442" s="18">
        <v>0.85</v>
      </c>
      <c r="R442" s="20"/>
      <c r="S442" s="13" t="s">
        <v>1460</v>
      </c>
      <c r="T442" s="13" t="s">
        <v>1467</v>
      </c>
      <c r="U442" s="10">
        <v>0</v>
      </c>
      <c r="V442" s="10">
        <v>300</v>
      </c>
      <c r="W442" s="10" t="s">
        <v>49</v>
      </c>
      <c r="X442" s="10"/>
      <c r="Y442" s="10"/>
      <c r="Z442" s="10"/>
      <c r="AA442" s="13" t="s">
        <v>1464</v>
      </c>
      <c r="AB442" s="10" t="s">
        <v>1774</v>
      </c>
      <c r="AC442" s="157">
        <v>30</v>
      </c>
      <c r="AD442" s="156">
        <v>80</v>
      </c>
      <c r="AE442" s="156">
        <v>110</v>
      </c>
      <c r="AF442" s="156">
        <v>80</v>
      </c>
      <c r="AG442" s="377">
        <f t="shared" si="70"/>
        <v>300</v>
      </c>
      <c r="AH442" s="377" t="b">
        <f t="shared" si="66"/>
        <v>1</v>
      </c>
      <c r="AI442" s="10"/>
      <c r="AJ442" s="10">
        <v>15</v>
      </c>
      <c r="AK442" s="10">
        <v>30</v>
      </c>
      <c r="AL442" s="10">
        <v>30</v>
      </c>
      <c r="AM442" s="16">
        <f t="shared" si="67"/>
        <v>0.1</v>
      </c>
      <c r="AN442" s="157">
        <v>30</v>
      </c>
      <c r="AO442" s="10"/>
      <c r="AP442" s="10">
        <v>15</v>
      </c>
      <c r="AQ442" s="10"/>
      <c r="AR442" s="10">
        <f>AL442</f>
        <v>30</v>
      </c>
      <c r="AS442" s="21">
        <f>IFERROR(+AR442/AN442,0)</f>
        <v>1</v>
      </c>
      <c r="AT442" s="1">
        <f t="shared" si="68"/>
        <v>110</v>
      </c>
      <c r="AU442" s="31"/>
      <c r="AV442" s="31"/>
      <c r="AW442" s="31"/>
      <c r="AX442" s="16">
        <f t="shared" si="64"/>
        <v>0.36666666666666664</v>
      </c>
      <c r="AY442" s="156">
        <v>80</v>
      </c>
      <c r="AZ442" s="76">
        <v>80</v>
      </c>
      <c r="BA442" s="31"/>
      <c r="BB442" s="31"/>
      <c r="BC442" s="31"/>
      <c r="BD442" s="16">
        <f t="shared" si="69"/>
        <v>1</v>
      </c>
      <c r="BE442" s="31"/>
      <c r="BF442" s="31"/>
      <c r="BG442" s="31"/>
      <c r="BH442" s="31"/>
      <c r="BI442" s="16"/>
      <c r="BJ442" s="16"/>
      <c r="BK442" s="31"/>
      <c r="BL442" s="31"/>
      <c r="BM442" s="31"/>
      <c r="BN442" s="31"/>
      <c r="BO442" s="16"/>
      <c r="BP442" s="31"/>
      <c r="BQ442" s="31"/>
      <c r="BR442" s="31"/>
      <c r="BS442" s="31"/>
      <c r="BT442" s="16"/>
      <c r="BU442" s="16"/>
      <c r="BV442" s="16"/>
      <c r="BW442" s="16"/>
      <c r="BX442" s="16"/>
      <c r="BY442" s="16"/>
      <c r="BZ442" s="16"/>
      <c r="CA442" s="10"/>
      <c r="CB442" s="10"/>
      <c r="CC442" s="45"/>
    </row>
    <row r="443" spans="1:81" s="52" customFormat="1" ht="93.75" customHeight="1" x14ac:dyDescent="0.25">
      <c r="A443" s="1">
        <v>6</v>
      </c>
      <c r="B443" s="13" t="s">
        <v>1751</v>
      </c>
      <c r="C443" s="572"/>
      <c r="D443" s="573"/>
      <c r="E443" s="10" t="s">
        <v>1454</v>
      </c>
      <c r="F443" s="13" t="s">
        <v>1455</v>
      </c>
      <c r="G443" s="572"/>
      <c r="H443" s="573"/>
      <c r="I443" s="10" t="s">
        <v>1456</v>
      </c>
      <c r="J443" s="13" t="s">
        <v>1879</v>
      </c>
      <c r="K443" s="572"/>
      <c r="L443" s="573"/>
      <c r="M443" s="10"/>
      <c r="N443" s="23" t="s">
        <v>1457</v>
      </c>
      <c r="O443" s="13" t="s">
        <v>1458</v>
      </c>
      <c r="P443" s="10" t="s">
        <v>1459</v>
      </c>
      <c r="Q443" s="18">
        <v>0.85</v>
      </c>
      <c r="R443" s="20"/>
      <c r="S443" s="13" t="s">
        <v>1460</v>
      </c>
      <c r="T443" s="13" t="s">
        <v>1468</v>
      </c>
      <c r="U443" s="10" t="s">
        <v>1469</v>
      </c>
      <c r="V443" s="18">
        <v>0.95</v>
      </c>
      <c r="W443" s="10" t="s">
        <v>49</v>
      </c>
      <c r="X443" s="10"/>
      <c r="Y443" s="10"/>
      <c r="Z443" s="10"/>
      <c r="AA443" s="13" t="s">
        <v>1464</v>
      </c>
      <c r="AB443" s="10" t="s">
        <v>1774</v>
      </c>
      <c r="AC443" s="157"/>
      <c r="AD443" s="156">
        <v>0.2</v>
      </c>
      <c r="AE443" s="156">
        <v>0.2</v>
      </c>
      <c r="AF443" s="156">
        <v>2.2000000000000002</v>
      </c>
      <c r="AG443" s="377">
        <f t="shared" si="70"/>
        <v>2.6</v>
      </c>
      <c r="AH443" s="377" t="b">
        <f t="shared" si="66"/>
        <v>0</v>
      </c>
      <c r="AI443" s="18"/>
      <c r="AJ443" s="18"/>
      <c r="AK443" s="169"/>
      <c r="AL443" s="169"/>
      <c r="AM443" s="16">
        <f t="shared" si="67"/>
        <v>0</v>
      </c>
      <c r="AN443" s="157"/>
      <c r="AO443" s="10"/>
      <c r="AP443" s="10"/>
      <c r="AQ443" s="10"/>
      <c r="AR443" s="10"/>
      <c r="AS443" s="21" t="s">
        <v>310</v>
      </c>
      <c r="AT443" s="1">
        <f t="shared" si="68"/>
        <v>0.2</v>
      </c>
      <c r="AU443" s="31"/>
      <c r="AV443" s="31"/>
      <c r="AW443" s="31"/>
      <c r="AX443" s="16">
        <f t="shared" ref="AX443:AX506" si="72">IF(AT443/V443&gt;100%,100%,(AT443/V443))</f>
        <v>0.2105263157894737</v>
      </c>
      <c r="AY443" s="156">
        <v>0.2</v>
      </c>
      <c r="AZ443" s="76">
        <v>0.2</v>
      </c>
      <c r="BA443" s="31"/>
      <c r="BB443" s="31"/>
      <c r="BC443" s="31"/>
      <c r="BD443" s="16">
        <f t="shared" si="69"/>
        <v>1</v>
      </c>
      <c r="BE443" s="31"/>
      <c r="BF443" s="31"/>
      <c r="BG443" s="31"/>
      <c r="BH443" s="31"/>
      <c r="BI443" s="16"/>
      <c r="BJ443" s="16"/>
      <c r="BK443" s="31"/>
      <c r="BL443" s="31"/>
      <c r="BM443" s="31"/>
      <c r="BN443" s="31"/>
      <c r="BO443" s="16"/>
      <c r="BP443" s="31"/>
      <c r="BQ443" s="31"/>
      <c r="BR443" s="31"/>
      <c r="BS443" s="31"/>
      <c r="BT443" s="16"/>
      <c r="BU443" s="16"/>
      <c r="BV443" s="16"/>
      <c r="BW443" s="16"/>
      <c r="BX443" s="16"/>
      <c r="BY443" s="16"/>
      <c r="BZ443" s="16"/>
      <c r="CA443" s="10"/>
      <c r="CB443" s="10"/>
      <c r="CC443" s="45"/>
    </row>
    <row r="444" spans="1:81" s="52" customFormat="1" ht="117.75" customHeight="1" x14ac:dyDescent="0.25">
      <c r="A444" s="1">
        <v>6</v>
      </c>
      <c r="B444" s="13" t="s">
        <v>1751</v>
      </c>
      <c r="C444" s="572"/>
      <c r="D444" s="573"/>
      <c r="E444" s="10" t="s">
        <v>1454</v>
      </c>
      <c r="F444" s="13" t="s">
        <v>1455</v>
      </c>
      <c r="G444" s="572"/>
      <c r="H444" s="573"/>
      <c r="I444" s="10" t="s">
        <v>1456</v>
      </c>
      <c r="J444" s="13" t="s">
        <v>1879</v>
      </c>
      <c r="K444" s="572"/>
      <c r="L444" s="573"/>
      <c r="M444" s="10"/>
      <c r="N444" s="23" t="s">
        <v>1457</v>
      </c>
      <c r="O444" s="13" t="s">
        <v>1458</v>
      </c>
      <c r="P444" s="10" t="s">
        <v>1459</v>
      </c>
      <c r="Q444" s="18">
        <v>0.85</v>
      </c>
      <c r="R444" s="20"/>
      <c r="S444" s="13" t="s">
        <v>1460</v>
      </c>
      <c r="T444" s="13" t="s">
        <v>1470</v>
      </c>
      <c r="U444" s="10">
        <v>9</v>
      </c>
      <c r="V444" s="10">
        <v>30</v>
      </c>
      <c r="W444" s="10" t="s">
        <v>49</v>
      </c>
      <c r="X444" s="10"/>
      <c r="Y444" s="10"/>
      <c r="Z444" s="10"/>
      <c r="AA444" s="13" t="s">
        <v>1464</v>
      </c>
      <c r="AB444" s="10" t="s">
        <v>1774</v>
      </c>
      <c r="AC444" s="157"/>
      <c r="AD444" s="156">
        <v>10</v>
      </c>
      <c r="AE444" s="156">
        <v>10</v>
      </c>
      <c r="AF444" s="156">
        <v>10</v>
      </c>
      <c r="AG444" s="377">
        <f t="shared" si="70"/>
        <v>30</v>
      </c>
      <c r="AH444" s="377" t="b">
        <f t="shared" si="66"/>
        <v>1</v>
      </c>
      <c r="AI444" s="10"/>
      <c r="AJ444" s="10"/>
      <c r="AK444" s="10"/>
      <c r="AL444" s="10"/>
      <c r="AM444" s="16">
        <f t="shared" si="67"/>
        <v>0</v>
      </c>
      <c r="AN444" s="157"/>
      <c r="AO444" s="10"/>
      <c r="AP444" s="10"/>
      <c r="AQ444" s="10"/>
      <c r="AR444" s="10"/>
      <c r="AS444" s="21" t="s">
        <v>310</v>
      </c>
      <c r="AT444" s="1">
        <f t="shared" si="68"/>
        <v>0</v>
      </c>
      <c r="AU444" s="31"/>
      <c r="AV444" s="31"/>
      <c r="AW444" s="31"/>
      <c r="AX444" s="16">
        <f t="shared" si="72"/>
        <v>0</v>
      </c>
      <c r="AY444" s="156">
        <v>10</v>
      </c>
      <c r="AZ444" s="76">
        <v>0</v>
      </c>
      <c r="BA444" s="31"/>
      <c r="BB444" s="31"/>
      <c r="BC444" s="31"/>
      <c r="BD444" s="16">
        <f t="shared" si="69"/>
        <v>0</v>
      </c>
      <c r="BE444" s="31"/>
      <c r="BF444" s="31"/>
      <c r="BG444" s="31"/>
      <c r="BH444" s="31"/>
      <c r="BI444" s="16"/>
      <c r="BJ444" s="16"/>
      <c r="BK444" s="31"/>
      <c r="BL444" s="31"/>
      <c r="BM444" s="31"/>
      <c r="BN444" s="31"/>
      <c r="BO444" s="16"/>
      <c r="BP444" s="31"/>
      <c r="BQ444" s="31"/>
      <c r="BR444" s="31"/>
      <c r="BS444" s="31"/>
      <c r="BT444" s="16"/>
      <c r="BU444" s="16"/>
      <c r="BV444" s="16"/>
      <c r="BW444" s="16"/>
      <c r="BX444" s="16"/>
      <c r="BY444" s="16"/>
      <c r="BZ444" s="16"/>
      <c r="CA444" s="10"/>
      <c r="CB444" s="10"/>
      <c r="CC444" s="45"/>
    </row>
    <row r="445" spans="1:81" s="52" customFormat="1" ht="98.25" customHeight="1" x14ac:dyDescent="0.25">
      <c r="A445" s="1">
        <v>6</v>
      </c>
      <c r="B445" s="13" t="s">
        <v>1751</v>
      </c>
      <c r="C445" s="572"/>
      <c r="D445" s="573"/>
      <c r="E445" s="10" t="s">
        <v>1454</v>
      </c>
      <c r="F445" s="13" t="s">
        <v>1455</v>
      </c>
      <c r="G445" s="572"/>
      <c r="H445" s="573"/>
      <c r="I445" s="10" t="s">
        <v>1456</v>
      </c>
      <c r="J445" s="13" t="s">
        <v>1879</v>
      </c>
      <c r="K445" s="572"/>
      <c r="L445" s="573"/>
      <c r="M445" s="10"/>
      <c r="N445" s="23" t="s">
        <v>1457</v>
      </c>
      <c r="O445" s="13" t="s">
        <v>1458</v>
      </c>
      <c r="P445" s="10" t="s">
        <v>1459</v>
      </c>
      <c r="Q445" s="18">
        <v>0.85</v>
      </c>
      <c r="R445" s="20"/>
      <c r="S445" s="13" t="s">
        <v>1460</v>
      </c>
      <c r="T445" s="13" t="s">
        <v>1471</v>
      </c>
      <c r="U445" s="10" t="s">
        <v>868</v>
      </c>
      <c r="V445" s="10">
        <v>7</v>
      </c>
      <c r="W445" s="10" t="s">
        <v>49</v>
      </c>
      <c r="X445" s="10"/>
      <c r="Y445" s="10"/>
      <c r="Z445" s="10"/>
      <c r="AA445" s="13" t="s">
        <v>1464</v>
      </c>
      <c r="AB445" s="10" t="s">
        <v>1774</v>
      </c>
      <c r="AC445" s="157"/>
      <c r="AD445" s="156">
        <v>3</v>
      </c>
      <c r="AE445" s="156">
        <v>4</v>
      </c>
      <c r="AF445" s="156"/>
      <c r="AG445" s="377">
        <f t="shared" si="70"/>
        <v>7</v>
      </c>
      <c r="AH445" s="377" t="b">
        <f t="shared" si="66"/>
        <v>1</v>
      </c>
      <c r="AI445" s="10"/>
      <c r="AJ445" s="10"/>
      <c r="AK445" s="10"/>
      <c r="AL445" s="10"/>
      <c r="AM445" s="16">
        <f t="shared" si="67"/>
        <v>0</v>
      </c>
      <c r="AN445" s="157"/>
      <c r="AO445" s="10"/>
      <c r="AP445" s="10"/>
      <c r="AQ445" s="10"/>
      <c r="AR445" s="10"/>
      <c r="AS445" s="21" t="s">
        <v>310</v>
      </c>
      <c r="AT445" s="1">
        <f t="shared" si="68"/>
        <v>0</v>
      </c>
      <c r="AU445" s="31"/>
      <c r="AV445" s="31"/>
      <c r="AW445" s="31"/>
      <c r="AX445" s="16">
        <f t="shared" si="72"/>
        <v>0</v>
      </c>
      <c r="AY445" s="156">
        <v>3</v>
      </c>
      <c r="AZ445" s="76">
        <v>0</v>
      </c>
      <c r="BA445" s="31"/>
      <c r="BB445" s="31"/>
      <c r="BC445" s="31"/>
      <c r="BD445" s="16">
        <f t="shared" si="69"/>
        <v>0</v>
      </c>
      <c r="BE445" s="31"/>
      <c r="BF445" s="31"/>
      <c r="BG445" s="31"/>
      <c r="BH445" s="31"/>
      <c r="BI445" s="16"/>
      <c r="BJ445" s="16"/>
      <c r="BK445" s="31"/>
      <c r="BL445" s="31"/>
      <c r="BM445" s="31"/>
      <c r="BN445" s="31"/>
      <c r="BO445" s="16"/>
      <c r="BP445" s="31"/>
      <c r="BQ445" s="31"/>
      <c r="BR445" s="31"/>
      <c r="BS445" s="31"/>
      <c r="BT445" s="16"/>
      <c r="BU445" s="16"/>
      <c r="BV445" s="16"/>
      <c r="BW445" s="16"/>
      <c r="BX445" s="16"/>
      <c r="BY445" s="16"/>
      <c r="BZ445" s="16"/>
      <c r="CA445" s="10"/>
      <c r="CB445" s="10"/>
      <c r="CC445" s="45"/>
    </row>
    <row r="446" spans="1:81" s="52" customFormat="1" ht="94.5" customHeight="1" x14ac:dyDescent="0.25">
      <c r="A446" s="1">
        <v>6</v>
      </c>
      <c r="B446" s="13" t="s">
        <v>1751</v>
      </c>
      <c r="C446" s="572"/>
      <c r="D446" s="573"/>
      <c r="E446" s="10" t="s">
        <v>1454</v>
      </c>
      <c r="F446" s="13" t="s">
        <v>1455</v>
      </c>
      <c r="G446" s="572"/>
      <c r="H446" s="573"/>
      <c r="I446" s="10" t="s">
        <v>1456</v>
      </c>
      <c r="J446" s="13" t="s">
        <v>1879</v>
      </c>
      <c r="K446" s="572"/>
      <c r="L446" s="573"/>
      <c r="M446" s="10"/>
      <c r="N446" s="23" t="s">
        <v>1457</v>
      </c>
      <c r="O446" s="13" t="s">
        <v>1458</v>
      </c>
      <c r="P446" s="10" t="s">
        <v>1459</v>
      </c>
      <c r="Q446" s="18">
        <v>0.85</v>
      </c>
      <c r="R446" s="20"/>
      <c r="S446" s="13" t="s">
        <v>1460</v>
      </c>
      <c r="T446" s="13" t="s">
        <v>1472</v>
      </c>
      <c r="U446" s="10">
        <v>0</v>
      </c>
      <c r="V446" s="10">
        <v>1000</v>
      </c>
      <c r="W446" s="10" t="s">
        <v>49</v>
      </c>
      <c r="X446" s="10"/>
      <c r="Y446" s="10"/>
      <c r="Z446" s="10"/>
      <c r="AA446" s="13" t="s">
        <v>1464</v>
      </c>
      <c r="AB446" s="10" t="s">
        <v>1774</v>
      </c>
      <c r="AC446" s="157"/>
      <c r="AD446" s="156">
        <v>300</v>
      </c>
      <c r="AE446" s="156">
        <v>350</v>
      </c>
      <c r="AF446" s="156">
        <v>350</v>
      </c>
      <c r="AG446" s="377">
        <f t="shared" si="70"/>
        <v>1000</v>
      </c>
      <c r="AH446" s="377" t="b">
        <f t="shared" si="66"/>
        <v>1</v>
      </c>
      <c r="AI446" s="10"/>
      <c r="AJ446" s="10"/>
      <c r="AK446" s="10"/>
      <c r="AL446" s="10"/>
      <c r="AM446" s="16">
        <f t="shared" si="67"/>
        <v>0</v>
      </c>
      <c r="AN446" s="157"/>
      <c r="AO446" s="10"/>
      <c r="AP446" s="10"/>
      <c r="AQ446" s="10"/>
      <c r="AR446" s="10"/>
      <c r="AS446" s="21" t="s">
        <v>310</v>
      </c>
      <c r="AT446" s="1">
        <f t="shared" si="68"/>
        <v>0</v>
      </c>
      <c r="AU446" s="31"/>
      <c r="AV446" s="31"/>
      <c r="AW446" s="31"/>
      <c r="AX446" s="16">
        <f t="shared" si="72"/>
        <v>0</v>
      </c>
      <c r="AY446" s="156">
        <v>300</v>
      </c>
      <c r="AZ446" s="76">
        <v>0</v>
      </c>
      <c r="BA446" s="31"/>
      <c r="BB446" s="31"/>
      <c r="BC446" s="31"/>
      <c r="BD446" s="16">
        <f t="shared" si="69"/>
        <v>0</v>
      </c>
      <c r="BE446" s="31"/>
      <c r="BF446" s="31"/>
      <c r="BG446" s="31"/>
      <c r="BH446" s="31"/>
      <c r="BI446" s="16"/>
      <c r="BJ446" s="16"/>
      <c r="BK446" s="31"/>
      <c r="BL446" s="31"/>
      <c r="BM446" s="31"/>
      <c r="BN446" s="31"/>
      <c r="BO446" s="16"/>
      <c r="BP446" s="31"/>
      <c r="BQ446" s="31"/>
      <c r="BR446" s="31"/>
      <c r="BS446" s="31"/>
      <c r="BT446" s="16"/>
      <c r="BU446" s="16"/>
      <c r="BV446" s="16"/>
      <c r="BW446" s="16"/>
      <c r="BX446" s="16"/>
      <c r="BY446" s="16"/>
      <c r="BZ446" s="16"/>
      <c r="CA446" s="10"/>
      <c r="CB446" s="10"/>
      <c r="CC446" s="45"/>
    </row>
    <row r="447" spans="1:81" s="52" customFormat="1" ht="94.5" customHeight="1" x14ac:dyDescent="0.25">
      <c r="A447" s="1">
        <v>6</v>
      </c>
      <c r="B447" s="13" t="s">
        <v>1751</v>
      </c>
      <c r="C447" s="572"/>
      <c r="D447" s="573"/>
      <c r="E447" s="10" t="s">
        <v>1454</v>
      </c>
      <c r="F447" s="13" t="s">
        <v>1455</v>
      </c>
      <c r="G447" s="572"/>
      <c r="H447" s="573"/>
      <c r="I447" s="10" t="s">
        <v>1456</v>
      </c>
      <c r="J447" s="13" t="s">
        <v>1879</v>
      </c>
      <c r="K447" s="572"/>
      <c r="L447" s="573"/>
      <c r="M447" s="10"/>
      <c r="N447" s="23" t="s">
        <v>1457</v>
      </c>
      <c r="O447" s="13" t="s">
        <v>1458</v>
      </c>
      <c r="P447" s="10" t="s">
        <v>1459</v>
      </c>
      <c r="Q447" s="18">
        <v>0.85</v>
      </c>
      <c r="R447" s="20"/>
      <c r="S447" s="13" t="s">
        <v>1460</v>
      </c>
      <c r="T447" s="13" t="s">
        <v>1473</v>
      </c>
      <c r="U447" s="18">
        <v>0.97</v>
      </c>
      <c r="V447" s="18">
        <v>0.99</v>
      </c>
      <c r="W447" s="10" t="s">
        <v>49</v>
      </c>
      <c r="X447" s="10"/>
      <c r="Y447" s="10"/>
      <c r="Z447" s="10"/>
      <c r="AA447" s="13" t="s">
        <v>1464</v>
      </c>
      <c r="AB447" s="10" t="s">
        <v>1774</v>
      </c>
      <c r="AC447" s="157"/>
      <c r="AD447" s="156">
        <v>0.5</v>
      </c>
      <c r="AE447" s="156">
        <v>0.5</v>
      </c>
      <c r="AF447" s="156">
        <v>0.5</v>
      </c>
      <c r="AG447" s="377">
        <v>1</v>
      </c>
      <c r="AH447" s="377" t="b">
        <f t="shared" si="66"/>
        <v>0</v>
      </c>
      <c r="AI447" s="18"/>
      <c r="AJ447" s="18"/>
      <c r="AK447" s="18"/>
      <c r="AL447" s="18"/>
      <c r="AM447" s="16">
        <f t="shared" si="67"/>
        <v>0</v>
      </c>
      <c r="AN447" s="157"/>
      <c r="AO447" s="10"/>
      <c r="AP447" s="10"/>
      <c r="AQ447" s="10"/>
      <c r="AR447" s="10"/>
      <c r="AS447" s="21" t="s">
        <v>310</v>
      </c>
      <c r="AT447" s="1">
        <f t="shared" si="68"/>
        <v>1</v>
      </c>
      <c r="AU447" s="31"/>
      <c r="AV447" s="31"/>
      <c r="AW447" s="31"/>
      <c r="AX447" s="16">
        <f t="shared" si="72"/>
        <v>1</v>
      </c>
      <c r="AY447" s="156">
        <v>0.5</v>
      </c>
      <c r="AZ447" s="76">
        <v>1</v>
      </c>
      <c r="BA447" s="31"/>
      <c r="BB447" s="31"/>
      <c r="BC447" s="31"/>
      <c r="BD447" s="16">
        <f t="shared" si="69"/>
        <v>1</v>
      </c>
      <c r="BE447" s="31"/>
      <c r="BF447" s="31"/>
      <c r="BG447" s="31"/>
      <c r="BH447" s="31"/>
      <c r="BI447" s="16"/>
      <c r="BJ447" s="16"/>
      <c r="BK447" s="31"/>
      <c r="BL447" s="31"/>
      <c r="BM447" s="31"/>
      <c r="BN447" s="31"/>
      <c r="BO447" s="16"/>
      <c r="BP447" s="31"/>
      <c r="BQ447" s="31"/>
      <c r="BR447" s="31"/>
      <c r="BS447" s="31"/>
      <c r="BT447" s="16"/>
      <c r="BU447" s="16"/>
      <c r="BV447" s="16"/>
      <c r="BW447" s="16"/>
      <c r="BX447" s="16"/>
      <c r="BY447" s="16"/>
      <c r="BZ447" s="16"/>
      <c r="CA447" s="10"/>
      <c r="CB447" s="10"/>
      <c r="CC447" s="45"/>
    </row>
    <row r="448" spans="1:81" s="52" customFormat="1" ht="104.25" customHeight="1" x14ac:dyDescent="0.25">
      <c r="A448" s="1">
        <v>6</v>
      </c>
      <c r="B448" s="13" t="s">
        <v>1751</v>
      </c>
      <c r="C448" s="572"/>
      <c r="D448" s="573"/>
      <c r="E448" s="10" t="s">
        <v>1454</v>
      </c>
      <c r="F448" s="13" t="s">
        <v>1455</v>
      </c>
      <c r="G448" s="572"/>
      <c r="H448" s="573"/>
      <c r="I448" s="10" t="s">
        <v>1456</v>
      </c>
      <c r="J448" s="13" t="s">
        <v>1879</v>
      </c>
      <c r="K448" s="572"/>
      <c r="L448" s="573"/>
      <c r="M448" s="10"/>
      <c r="N448" s="23" t="s">
        <v>1457</v>
      </c>
      <c r="O448" s="13" t="s">
        <v>1458</v>
      </c>
      <c r="P448" s="10" t="s">
        <v>1459</v>
      </c>
      <c r="Q448" s="18">
        <v>0.85</v>
      </c>
      <c r="R448" s="20"/>
      <c r="S448" s="13" t="s">
        <v>1460</v>
      </c>
      <c r="T448" s="13" t="s">
        <v>1474</v>
      </c>
      <c r="U448" s="10" t="s">
        <v>868</v>
      </c>
      <c r="V448" s="18">
        <v>0.1</v>
      </c>
      <c r="W448" s="10" t="s">
        <v>49</v>
      </c>
      <c r="X448" s="10"/>
      <c r="Y448" s="10"/>
      <c r="Z448" s="10"/>
      <c r="AA448" s="13" t="s">
        <v>1464</v>
      </c>
      <c r="AB448" s="10" t="s">
        <v>1774</v>
      </c>
      <c r="AC448" s="156">
        <v>0.2</v>
      </c>
      <c r="AD448" s="108">
        <v>0.3</v>
      </c>
      <c r="AE448" s="371">
        <v>0.3</v>
      </c>
      <c r="AF448" s="371">
        <v>0.3</v>
      </c>
      <c r="AG448" s="377">
        <f t="shared" si="70"/>
        <v>1.1000000000000001</v>
      </c>
      <c r="AH448" s="377" t="b">
        <f t="shared" si="66"/>
        <v>0</v>
      </c>
      <c r="AI448" s="18"/>
      <c r="AJ448" s="18"/>
      <c r="AK448" s="18"/>
      <c r="AL448" s="341">
        <v>0.02</v>
      </c>
      <c r="AM448" s="16">
        <f t="shared" si="67"/>
        <v>0.19999999999999998</v>
      </c>
      <c r="AN448" s="167">
        <v>0.02</v>
      </c>
      <c r="AO448" s="18"/>
      <c r="AP448" s="18"/>
      <c r="AQ448" s="18"/>
      <c r="AR448" s="10">
        <f>AL448</f>
        <v>0.02</v>
      </c>
      <c r="AS448" s="21">
        <f>IFERROR(+AR448/AN448,0)</f>
        <v>1</v>
      </c>
      <c r="AT448" s="1">
        <f t="shared" si="68"/>
        <v>0.12000000000000001</v>
      </c>
      <c r="AU448" s="31"/>
      <c r="AV448" s="31"/>
      <c r="AW448" s="31"/>
      <c r="AX448" s="16">
        <f t="shared" si="72"/>
        <v>1</v>
      </c>
      <c r="AY448" s="108">
        <v>0.3</v>
      </c>
      <c r="AZ448" s="76">
        <v>0.1</v>
      </c>
      <c r="BA448" s="31"/>
      <c r="BB448" s="31"/>
      <c r="BC448" s="31"/>
      <c r="BD448" s="16">
        <f t="shared" si="69"/>
        <v>0.33333333333333337</v>
      </c>
      <c r="BE448" s="31"/>
      <c r="BF448" s="31"/>
      <c r="BG448" s="31"/>
      <c r="BH448" s="31"/>
      <c r="BI448" s="16"/>
      <c r="BJ448" s="16"/>
      <c r="BK448" s="31"/>
      <c r="BL448" s="31"/>
      <c r="BM448" s="31"/>
      <c r="BN448" s="31"/>
      <c r="BO448" s="16"/>
      <c r="BP448" s="31"/>
      <c r="BQ448" s="31"/>
      <c r="BR448" s="31"/>
      <c r="BS448" s="31"/>
      <c r="BT448" s="16"/>
      <c r="BU448" s="16"/>
      <c r="BV448" s="16"/>
      <c r="BW448" s="16"/>
      <c r="BX448" s="16"/>
      <c r="BY448" s="16"/>
      <c r="BZ448" s="16"/>
      <c r="CA448" s="10"/>
      <c r="CB448" s="10"/>
      <c r="CC448" s="45"/>
    </row>
    <row r="449" spans="1:81" s="52" customFormat="1" ht="99.75" customHeight="1" x14ac:dyDescent="0.25">
      <c r="A449" s="1">
        <v>6</v>
      </c>
      <c r="B449" s="13" t="s">
        <v>1751</v>
      </c>
      <c r="C449" s="572"/>
      <c r="D449" s="573"/>
      <c r="E449" s="10" t="s">
        <v>1454</v>
      </c>
      <c r="F449" s="13" t="s">
        <v>1455</v>
      </c>
      <c r="G449" s="572"/>
      <c r="H449" s="573"/>
      <c r="I449" s="10" t="s">
        <v>1456</v>
      </c>
      <c r="J449" s="13" t="s">
        <v>1879</v>
      </c>
      <c r="K449" s="572"/>
      <c r="L449" s="573"/>
      <c r="M449" s="10"/>
      <c r="N449" s="23" t="s">
        <v>1457</v>
      </c>
      <c r="O449" s="13" t="s">
        <v>1458</v>
      </c>
      <c r="P449" s="10" t="s">
        <v>1459</v>
      </c>
      <c r="Q449" s="18">
        <v>0.85</v>
      </c>
      <c r="R449" s="20"/>
      <c r="S449" s="13" t="s">
        <v>1460</v>
      </c>
      <c r="T449" s="13" t="s">
        <v>1475</v>
      </c>
      <c r="U449" s="10" t="s">
        <v>868</v>
      </c>
      <c r="V449" s="10">
        <v>10</v>
      </c>
      <c r="W449" s="10" t="s">
        <v>49</v>
      </c>
      <c r="X449" s="10"/>
      <c r="Y449" s="10"/>
      <c r="Z449" s="10"/>
      <c r="AA449" s="13" t="s">
        <v>1464</v>
      </c>
      <c r="AB449" s="10" t="s">
        <v>1774</v>
      </c>
      <c r="AC449" s="157">
        <v>2</v>
      </c>
      <c r="AD449" s="156">
        <v>3</v>
      </c>
      <c r="AE449" s="156">
        <v>3</v>
      </c>
      <c r="AF449" s="156">
        <v>2</v>
      </c>
      <c r="AG449" s="377">
        <f t="shared" si="70"/>
        <v>10</v>
      </c>
      <c r="AH449" s="377" t="b">
        <f t="shared" si="66"/>
        <v>1</v>
      </c>
      <c r="AI449" s="10"/>
      <c r="AJ449" s="10"/>
      <c r="AK449" s="10">
        <v>2</v>
      </c>
      <c r="AL449" s="10">
        <v>2</v>
      </c>
      <c r="AM449" s="16">
        <f t="shared" si="67"/>
        <v>0.2</v>
      </c>
      <c r="AN449" s="157">
        <v>2</v>
      </c>
      <c r="AO449" s="10"/>
      <c r="AP449" s="10"/>
      <c r="AQ449" s="10"/>
      <c r="AR449" s="10">
        <f>AL449</f>
        <v>2</v>
      </c>
      <c r="AS449" s="21">
        <f>IFERROR(+AR449/AN449,0)</f>
        <v>1</v>
      </c>
      <c r="AT449" s="1">
        <f t="shared" si="68"/>
        <v>3</v>
      </c>
      <c r="AU449" s="31"/>
      <c r="AV449" s="31"/>
      <c r="AW449" s="31"/>
      <c r="AX449" s="16">
        <f t="shared" si="72"/>
        <v>0.3</v>
      </c>
      <c r="AY449" s="156">
        <v>3</v>
      </c>
      <c r="AZ449" s="76">
        <v>1</v>
      </c>
      <c r="BA449" s="31"/>
      <c r="BB449" s="31"/>
      <c r="BC449" s="31"/>
      <c r="BD449" s="16">
        <f t="shared" si="69"/>
        <v>0.33333333333333331</v>
      </c>
      <c r="BE449" s="31"/>
      <c r="BF449" s="31"/>
      <c r="BG449" s="31"/>
      <c r="BH449" s="31"/>
      <c r="BI449" s="16"/>
      <c r="BJ449" s="16"/>
      <c r="BK449" s="31"/>
      <c r="BL449" s="31"/>
      <c r="BM449" s="31"/>
      <c r="BN449" s="31"/>
      <c r="BO449" s="16"/>
      <c r="BP449" s="31"/>
      <c r="BQ449" s="31"/>
      <c r="BR449" s="31"/>
      <c r="BS449" s="31"/>
      <c r="BT449" s="16"/>
      <c r="BU449" s="16"/>
      <c r="BV449" s="16"/>
      <c r="BW449" s="16"/>
      <c r="BX449" s="16"/>
      <c r="BY449" s="16"/>
      <c r="BZ449" s="16"/>
      <c r="CA449" s="10"/>
      <c r="CB449" s="10"/>
      <c r="CC449" s="45"/>
    </row>
    <row r="450" spans="1:81" s="52" customFormat="1" ht="119.25" customHeight="1" x14ac:dyDescent="0.25">
      <c r="A450" s="1">
        <v>6</v>
      </c>
      <c r="B450" s="13" t="s">
        <v>1751</v>
      </c>
      <c r="C450" s="572"/>
      <c r="D450" s="573"/>
      <c r="E450" s="10" t="s">
        <v>1454</v>
      </c>
      <c r="F450" s="13" t="s">
        <v>1455</v>
      </c>
      <c r="G450" s="572"/>
      <c r="H450" s="573"/>
      <c r="I450" s="10" t="s">
        <v>1456</v>
      </c>
      <c r="J450" s="13" t="s">
        <v>1879</v>
      </c>
      <c r="K450" s="572"/>
      <c r="L450" s="573"/>
      <c r="M450" s="10"/>
      <c r="N450" s="23" t="s">
        <v>1457</v>
      </c>
      <c r="O450" s="13" t="s">
        <v>1458</v>
      </c>
      <c r="P450" s="10" t="s">
        <v>1459</v>
      </c>
      <c r="Q450" s="18">
        <v>0.85</v>
      </c>
      <c r="R450" s="20"/>
      <c r="S450" s="13" t="s">
        <v>1460</v>
      </c>
      <c r="T450" s="13" t="s">
        <v>1476</v>
      </c>
      <c r="U450" s="10" t="s">
        <v>1477</v>
      </c>
      <c r="V450" s="18">
        <v>0.65</v>
      </c>
      <c r="W450" s="10" t="s">
        <v>49</v>
      </c>
      <c r="X450" s="10"/>
      <c r="Y450" s="10"/>
      <c r="Z450" s="10"/>
      <c r="AA450" s="13" t="s">
        <v>1464</v>
      </c>
      <c r="AB450" s="10" t="s">
        <v>1774</v>
      </c>
      <c r="AC450" s="157"/>
      <c r="AD450" s="156">
        <v>0.1</v>
      </c>
      <c r="AE450" s="156">
        <v>1.6</v>
      </c>
      <c r="AF450" s="156">
        <v>0.2</v>
      </c>
      <c r="AG450" s="377">
        <f t="shared" si="70"/>
        <v>1.9000000000000001</v>
      </c>
      <c r="AH450" s="377" t="b">
        <f t="shared" si="66"/>
        <v>0</v>
      </c>
      <c r="AI450" s="18"/>
      <c r="AJ450" s="18"/>
      <c r="AK450" s="18"/>
      <c r="AL450" s="18"/>
      <c r="AM450" s="16">
        <f t="shared" si="67"/>
        <v>0</v>
      </c>
      <c r="AN450" s="157"/>
      <c r="AO450" s="10"/>
      <c r="AP450" s="10"/>
      <c r="AQ450" s="10"/>
      <c r="AR450" s="10"/>
      <c r="AS450" s="21" t="s">
        <v>310</v>
      </c>
      <c r="AT450" s="1">
        <f t="shared" si="68"/>
        <v>0</v>
      </c>
      <c r="AU450" s="31"/>
      <c r="AV450" s="31"/>
      <c r="AW450" s="31"/>
      <c r="AX450" s="16">
        <f t="shared" si="72"/>
        <v>0</v>
      </c>
      <c r="AY450" s="156">
        <v>0.1</v>
      </c>
      <c r="AZ450" s="76">
        <v>0</v>
      </c>
      <c r="BA450" s="31"/>
      <c r="BB450" s="31"/>
      <c r="BC450" s="31"/>
      <c r="BD450" s="16">
        <f t="shared" si="69"/>
        <v>0</v>
      </c>
      <c r="BE450" s="31"/>
      <c r="BF450" s="31"/>
      <c r="BG450" s="31"/>
      <c r="BH450" s="31"/>
      <c r="BI450" s="16"/>
      <c r="BJ450" s="16"/>
      <c r="BK450" s="31"/>
      <c r="BL450" s="31"/>
      <c r="BM450" s="31"/>
      <c r="BN450" s="31"/>
      <c r="BO450" s="16"/>
      <c r="BP450" s="31"/>
      <c r="BQ450" s="31"/>
      <c r="BR450" s="31"/>
      <c r="BS450" s="31"/>
      <c r="BT450" s="16"/>
      <c r="BU450" s="16"/>
      <c r="BV450" s="16"/>
      <c r="BW450" s="16"/>
      <c r="BX450" s="16"/>
      <c r="BY450" s="16"/>
      <c r="BZ450" s="16"/>
      <c r="CA450" s="10"/>
      <c r="CB450" s="10"/>
      <c r="CC450" s="45"/>
    </row>
    <row r="451" spans="1:81" s="52" customFormat="1" ht="114.75" customHeight="1" x14ac:dyDescent="0.25">
      <c r="A451" s="1">
        <v>6</v>
      </c>
      <c r="B451" s="13" t="s">
        <v>1751</v>
      </c>
      <c r="C451" s="572"/>
      <c r="D451" s="573"/>
      <c r="E451" s="10" t="s">
        <v>1454</v>
      </c>
      <c r="F451" s="13" t="s">
        <v>1455</v>
      </c>
      <c r="G451" s="572"/>
      <c r="H451" s="573"/>
      <c r="I451" s="10" t="s">
        <v>1456</v>
      </c>
      <c r="J451" s="13" t="s">
        <v>1879</v>
      </c>
      <c r="K451" s="572"/>
      <c r="L451" s="573"/>
      <c r="M451" s="10"/>
      <c r="N451" s="23" t="s">
        <v>1457</v>
      </c>
      <c r="O451" s="13" t="s">
        <v>1458</v>
      </c>
      <c r="P451" s="10" t="s">
        <v>1459</v>
      </c>
      <c r="Q451" s="18">
        <v>0.85</v>
      </c>
      <c r="R451" s="20"/>
      <c r="S451" s="13" t="s">
        <v>1460</v>
      </c>
      <c r="T451" s="13" t="s">
        <v>1478</v>
      </c>
      <c r="U451" s="18">
        <v>0.95</v>
      </c>
      <c r="V451" s="18">
        <v>0.98</v>
      </c>
      <c r="W451" s="10" t="s">
        <v>49</v>
      </c>
      <c r="X451" s="10"/>
      <c r="Y451" s="10"/>
      <c r="Z451" s="10"/>
      <c r="AA451" s="13" t="s">
        <v>1464</v>
      </c>
      <c r="AB451" s="10" t="s">
        <v>1774</v>
      </c>
      <c r="AC451" s="157"/>
      <c r="AD451" s="156">
        <v>0.1</v>
      </c>
      <c r="AE451" s="156">
        <v>0.1</v>
      </c>
      <c r="AF451" s="156">
        <v>0.1</v>
      </c>
      <c r="AG451" s="377">
        <f t="shared" si="70"/>
        <v>0.30000000000000004</v>
      </c>
      <c r="AH451" s="377" t="b">
        <f t="shared" si="66"/>
        <v>0</v>
      </c>
      <c r="AI451" s="18"/>
      <c r="AJ451" s="18"/>
      <c r="AK451" s="18"/>
      <c r="AL451" s="18"/>
      <c r="AM451" s="16">
        <f t="shared" si="67"/>
        <v>0</v>
      </c>
      <c r="AN451" s="157"/>
      <c r="AO451" s="10"/>
      <c r="AP451" s="10"/>
      <c r="AQ451" s="10"/>
      <c r="AR451" s="10"/>
      <c r="AS451" s="21" t="s">
        <v>310</v>
      </c>
      <c r="AT451" s="1">
        <f t="shared" si="68"/>
        <v>0</v>
      </c>
      <c r="AU451" s="31"/>
      <c r="AV451" s="31"/>
      <c r="AW451" s="31"/>
      <c r="AX451" s="16">
        <f t="shared" si="72"/>
        <v>0</v>
      </c>
      <c r="AY451" s="156">
        <v>0.1</v>
      </c>
      <c r="AZ451" s="76">
        <v>0</v>
      </c>
      <c r="BA451" s="31"/>
      <c r="BB451" s="31"/>
      <c r="BC451" s="31"/>
      <c r="BD451" s="16">
        <f t="shared" si="69"/>
        <v>0</v>
      </c>
      <c r="BE451" s="31"/>
      <c r="BF451" s="31"/>
      <c r="BG451" s="31"/>
      <c r="BH451" s="31"/>
      <c r="BI451" s="16"/>
      <c r="BJ451" s="16"/>
      <c r="BK451" s="31"/>
      <c r="BL451" s="31"/>
      <c r="BM451" s="31"/>
      <c r="BN451" s="31"/>
      <c r="BO451" s="16"/>
      <c r="BP451" s="31"/>
      <c r="BQ451" s="31"/>
      <c r="BR451" s="31"/>
      <c r="BS451" s="31"/>
      <c r="BT451" s="16"/>
      <c r="BU451" s="16"/>
      <c r="BV451" s="16"/>
      <c r="BW451" s="16"/>
      <c r="BX451" s="16"/>
      <c r="BY451" s="16"/>
      <c r="BZ451" s="16"/>
      <c r="CA451" s="10"/>
      <c r="CB451" s="10"/>
      <c r="CC451" s="45"/>
    </row>
    <row r="452" spans="1:81" s="52" customFormat="1" ht="114.75" customHeight="1" x14ac:dyDescent="0.25">
      <c r="A452" s="1">
        <v>6</v>
      </c>
      <c r="B452" s="13" t="s">
        <v>1751</v>
      </c>
      <c r="C452" s="572"/>
      <c r="D452" s="573"/>
      <c r="E452" s="10" t="s">
        <v>1454</v>
      </c>
      <c r="F452" s="13" t="s">
        <v>1455</v>
      </c>
      <c r="G452" s="572"/>
      <c r="H452" s="573"/>
      <c r="I452" s="10" t="s">
        <v>1456</v>
      </c>
      <c r="J452" s="13" t="s">
        <v>1879</v>
      </c>
      <c r="K452" s="572"/>
      <c r="L452" s="573"/>
      <c r="M452" s="10"/>
      <c r="N452" s="23" t="s">
        <v>1457</v>
      </c>
      <c r="O452" s="13" t="s">
        <v>1458</v>
      </c>
      <c r="P452" s="10" t="s">
        <v>1459</v>
      </c>
      <c r="Q452" s="18">
        <v>0.85</v>
      </c>
      <c r="R452" s="20"/>
      <c r="S452" s="13" t="s">
        <v>1460</v>
      </c>
      <c r="T452" s="13" t="s">
        <v>1479</v>
      </c>
      <c r="U452" s="10">
        <v>0</v>
      </c>
      <c r="V452" s="10">
        <v>2</v>
      </c>
      <c r="W452" s="10" t="s">
        <v>49</v>
      </c>
      <c r="X452" s="10"/>
      <c r="Y452" s="10"/>
      <c r="Z452" s="10"/>
      <c r="AA452" s="13" t="s">
        <v>1464</v>
      </c>
      <c r="AB452" s="10" t="s">
        <v>1774</v>
      </c>
      <c r="AC452" s="157">
        <v>1</v>
      </c>
      <c r="AD452" s="156"/>
      <c r="AE452" s="156"/>
      <c r="AF452" s="156">
        <v>1</v>
      </c>
      <c r="AG452" s="377">
        <f t="shared" si="70"/>
        <v>2</v>
      </c>
      <c r="AH452" s="377" t="b">
        <f t="shared" si="66"/>
        <v>1</v>
      </c>
      <c r="AI452" s="10"/>
      <c r="AJ452" s="10">
        <v>1</v>
      </c>
      <c r="AK452" s="10">
        <v>1</v>
      </c>
      <c r="AL452" s="10">
        <v>1</v>
      </c>
      <c r="AM452" s="16">
        <f t="shared" si="67"/>
        <v>0.5</v>
      </c>
      <c r="AN452" s="157">
        <v>1</v>
      </c>
      <c r="AO452" s="10"/>
      <c r="AP452" s="10">
        <v>1</v>
      </c>
      <c r="AQ452" s="10"/>
      <c r="AR452" s="10">
        <f t="shared" ref="AR452:AR465" si="73">AL452</f>
        <v>1</v>
      </c>
      <c r="AS452" s="21">
        <f t="shared" ref="AS452:AS465" si="74">IFERROR(+AR452/AN452,0)</f>
        <v>1</v>
      </c>
      <c r="AT452" s="1">
        <f t="shared" si="68"/>
        <v>1</v>
      </c>
      <c r="AU452" s="31"/>
      <c r="AV452" s="31"/>
      <c r="AW452" s="31"/>
      <c r="AX452" s="16">
        <f t="shared" si="72"/>
        <v>0.5</v>
      </c>
      <c r="AY452" s="156" t="s">
        <v>310</v>
      </c>
      <c r="AZ452" s="76">
        <v>0</v>
      </c>
      <c r="BA452" s="31"/>
      <c r="BB452" s="31"/>
      <c r="BC452" s="31"/>
      <c r="BD452" s="16" t="str">
        <f t="shared" si="69"/>
        <v>NP</v>
      </c>
      <c r="BE452" s="31"/>
      <c r="BF452" s="31"/>
      <c r="BG452" s="31"/>
      <c r="BH452" s="31"/>
      <c r="BI452" s="16"/>
      <c r="BJ452" s="16"/>
      <c r="BK452" s="31"/>
      <c r="BL452" s="31"/>
      <c r="BM452" s="31"/>
      <c r="BN452" s="31"/>
      <c r="BO452" s="16"/>
      <c r="BP452" s="31"/>
      <c r="BQ452" s="31"/>
      <c r="BR452" s="31"/>
      <c r="BS452" s="31"/>
      <c r="BT452" s="16"/>
      <c r="BU452" s="16"/>
      <c r="BV452" s="16"/>
      <c r="BW452" s="16"/>
      <c r="BX452" s="16"/>
      <c r="BY452" s="16"/>
      <c r="BZ452" s="16"/>
      <c r="CA452" s="10"/>
      <c r="CB452" s="10"/>
      <c r="CC452" s="45"/>
    </row>
    <row r="453" spans="1:81" s="52" customFormat="1" ht="114.75" customHeight="1" x14ac:dyDescent="0.25">
      <c r="A453" s="1">
        <v>6</v>
      </c>
      <c r="B453" s="13" t="s">
        <v>1751</v>
      </c>
      <c r="C453" s="572"/>
      <c r="D453" s="573"/>
      <c r="E453" s="10" t="s">
        <v>1454</v>
      </c>
      <c r="F453" s="13" t="s">
        <v>1455</v>
      </c>
      <c r="G453" s="572"/>
      <c r="H453" s="573"/>
      <c r="I453" s="10" t="s">
        <v>1456</v>
      </c>
      <c r="J453" s="13" t="s">
        <v>1879</v>
      </c>
      <c r="K453" s="572"/>
      <c r="L453" s="573"/>
      <c r="M453" s="10"/>
      <c r="N453" s="23" t="s">
        <v>1457</v>
      </c>
      <c r="O453" s="13" t="s">
        <v>1458</v>
      </c>
      <c r="P453" s="10" t="s">
        <v>1459</v>
      </c>
      <c r="Q453" s="18">
        <v>0.85</v>
      </c>
      <c r="R453" s="20"/>
      <c r="S453" s="13" t="s">
        <v>1460</v>
      </c>
      <c r="T453" s="13" t="s">
        <v>1480</v>
      </c>
      <c r="U453" s="10">
        <v>14</v>
      </c>
      <c r="V453" s="10">
        <v>14</v>
      </c>
      <c r="W453" s="10" t="s">
        <v>49</v>
      </c>
      <c r="X453" s="10"/>
      <c r="Y453" s="10"/>
      <c r="Z453" s="10"/>
      <c r="AA453" s="13" t="s">
        <v>1464</v>
      </c>
      <c r="AB453" s="10" t="s">
        <v>1774</v>
      </c>
      <c r="AC453" s="157">
        <v>2</v>
      </c>
      <c r="AD453" s="156">
        <v>3</v>
      </c>
      <c r="AE453" s="156">
        <v>5</v>
      </c>
      <c r="AF453" s="156">
        <v>4</v>
      </c>
      <c r="AG453" s="377">
        <f t="shared" si="70"/>
        <v>14</v>
      </c>
      <c r="AH453" s="377" t="b">
        <f t="shared" si="66"/>
        <v>1</v>
      </c>
      <c r="AI453" s="10"/>
      <c r="AJ453" s="10"/>
      <c r="AK453" s="10"/>
      <c r="AL453" s="10"/>
      <c r="AM453" s="16">
        <f t="shared" si="67"/>
        <v>0</v>
      </c>
      <c r="AN453" s="157">
        <v>2</v>
      </c>
      <c r="AO453" s="10"/>
      <c r="AP453" s="10"/>
      <c r="AQ453" s="10"/>
      <c r="AR453" s="10">
        <f t="shared" si="73"/>
        <v>0</v>
      </c>
      <c r="AS453" s="21">
        <f t="shared" si="74"/>
        <v>0</v>
      </c>
      <c r="AT453" s="1">
        <f t="shared" si="68"/>
        <v>0</v>
      </c>
      <c r="AU453" s="31"/>
      <c r="AV453" s="31"/>
      <c r="AW453" s="31"/>
      <c r="AX453" s="16">
        <f t="shared" si="72"/>
        <v>0</v>
      </c>
      <c r="AY453" s="156">
        <v>3</v>
      </c>
      <c r="AZ453" s="76">
        <v>0</v>
      </c>
      <c r="BA453" s="31"/>
      <c r="BB453" s="31"/>
      <c r="BC453" s="31"/>
      <c r="BD453" s="16">
        <f t="shared" si="69"/>
        <v>0</v>
      </c>
      <c r="BE453" s="31"/>
      <c r="BF453" s="31"/>
      <c r="BG453" s="31"/>
      <c r="BH453" s="31"/>
      <c r="BI453" s="16"/>
      <c r="BJ453" s="16"/>
      <c r="BK453" s="31"/>
      <c r="BL453" s="31"/>
      <c r="BM453" s="31"/>
      <c r="BN453" s="31"/>
      <c r="BO453" s="16"/>
      <c r="BP453" s="31"/>
      <c r="BQ453" s="31"/>
      <c r="BR453" s="31"/>
      <c r="BS453" s="31"/>
      <c r="BT453" s="16"/>
      <c r="BU453" s="16"/>
      <c r="BV453" s="16"/>
      <c r="BW453" s="16"/>
      <c r="BX453" s="16"/>
      <c r="BY453" s="16"/>
      <c r="BZ453" s="16"/>
      <c r="CA453" s="10"/>
      <c r="CB453" s="10"/>
      <c r="CC453" s="45"/>
    </row>
    <row r="454" spans="1:81" s="52" customFormat="1" ht="114.75" customHeight="1" x14ac:dyDescent="0.25">
      <c r="A454" s="1">
        <v>6</v>
      </c>
      <c r="B454" s="13" t="s">
        <v>1751</v>
      </c>
      <c r="C454" s="572"/>
      <c r="D454" s="573"/>
      <c r="E454" s="10" t="s">
        <v>1454</v>
      </c>
      <c r="F454" s="13" t="s">
        <v>1455</v>
      </c>
      <c r="G454" s="572"/>
      <c r="H454" s="573"/>
      <c r="I454" s="10" t="s">
        <v>1456</v>
      </c>
      <c r="J454" s="13" t="s">
        <v>1879</v>
      </c>
      <c r="K454" s="572"/>
      <c r="L454" s="573"/>
      <c r="M454" s="10"/>
      <c r="N454" s="23" t="s">
        <v>1457</v>
      </c>
      <c r="O454" s="13" t="s">
        <v>1458</v>
      </c>
      <c r="P454" s="10" t="s">
        <v>1459</v>
      </c>
      <c r="Q454" s="18">
        <v>0.85</v>
      </c>
      <c r="R454" s="20"/>
      <c r="S454" s="13" t="s">
        <v>1460</v>
      </c>
      <c r="T454" s="13" t="s">
        <v>1481</v>
      </c>
      <c r="U454" s="10">
        <v>0</v>
      </c>
      <c r="V454" s="10">
        <v>8</v>
      </c>
      <c r="W454" s="10" t="s">
        <v>49</v>
      </c>
      <c r="X454" s="10"/>
      <c r="Y454" s="10"/>
      <c r="Z454" s="10"/>
      <c r="AA454" s="13" t="s">
        <v>1464</v>
      </c>
      <c r="AB454" s="10" t="s">
        <v>1774</v>
      </c>
      <c r="AC454" s="157">
        <v>1</v>
      </c>
      <c r="AD454" s="156">
        <v>2</v>
      </c>
      <c r="AE454" s="156">
        <v>3</v>
      </c>
      <c r="AF454" s="156">
        <v>2</v>
      </c>
      <c r="AG454" s="377">
        <f t="shared" si="70"/>
        <v>8</v>
      </c>
      <c r="AH454" s="377" t="b">
        <f t="shared" si="66"/>
        <v>1</v>
      </c>
      <c r="AI454" s="10"/>
      <c r="AJ454" s="10">
        <v>3</v>
      </c>
      <c r="AK454" s="133">
        <v>1</v>
      </c>
      <c r="AL454" s="133">
        <v>1</v>
      </c>
      <c r="AM454" s="16">
        <f t="shared" si="67"/>
        <v>0.125</v>
      </c>
      <c r="AN454" s="157">
        <v>1</v>
      </c>
      <c r="AO454" s="10"/>
      <c r="AP454" s="10">
        <v>3</v>
      </c>
      <c r="AQ454" s="10"/>
      <c r="AR454" s="10">
        <f t="shared" si="73"/>
        <v>1</v>
      </c>
      <c r="AS454" s="300">
        <f t="shared" si="74"/>
        <v>1</v>
      </c>
      <c r="AT454" s="1">
        <f t="shared" si="68"/>
        <v>1</v>
      </c>
      <c r="AU454" s="31"/>
      <c r="AV454" s="31"/>
      <c r="AW454" s="31"/>
      <c r="AX454" s="16">
        <f t="shared" si="72"/>
        <v>0.125</v>
      </c>
      <c r="AY454" s="156">
        <v>2</v>
      </c>
      <c r="AZ454" s="76">
        <v>0</v>
      </c>
      <c r="BA454" s="31"/>
      <c r="BB454" s="31"/>
      <c r="BC454" s="31"/>
      <c r="BD454" s="16">
        <f t="shared" si="69"/>
        <v>0</v>
      </c>
      <c r="BE454" s="31"/>
      <c r="BF454" s="31"/>
      <c r="BG454" s="31"/>
      <c r="BH454" s="31"/>
      <c r="BI454" s="16"/>
      <c r="BJ454" s="16"/>
      <c r="BK454" s="31"/>
      <c r="BL454" s="31"/>
      <c r="BM454" s="31"/>
      <c r="BN454" s="31"/>
      <c r="BO454" s="16"/>
      <c r="BP454" s="31"/>
      <c r="BQ454" s="31"/>
      <c r="BR454" s="31"/>
      <c r="BS454" s="31"/>
      <c r="BT454" s="16"/>
      <c r="BU454" s="16"/>
      <c r="BV454" s="16"/>
      <c r="BW454" s="16"/>
      <c r="BX454" s="16"/>
      <c r="BY454" s="16"/>
      <c r="BZ454" s="16"/>
      <c r="CA454" s="10"/>
      <c r="CB454" s="10"/>
      <c r="CC454" s="45"/>
    </row>
    <row r="455" spans="1:81" s="52" customFormat="1" ht="123" customHeight="1" x14ac:dyDescent="0.25">
      <c r="A455" s="1">
        <v>6</v>
      </c>
      <c r="B455" s="13" t="s">
        <v>1751</v>
      </c>
      <c r="C455" s="572"/>
      <c r="D455" s="573"/>
      <c r="E455" s="10" t="s">
        <v>1454</v>
      </c>
      <c r="F455" s="13" t="s">
        <v>1455</v>
      </c>
      <c r="G455" s="572"/>
      <c r="H455" s="573"/>
      <c r="I455" s="10" t="s">
        <v>1456</v>
      </c>
      <c r="J455" s="13" t="s">
        <v>1879</v>
      </c>
      <c r="K455" s="568"/>
      <c r="L455" s="570"/>
      <c r="M455" s="10"/>
      <c r="N455" s="23" t="s">
        <v>1457</v>
      </c>
      <c r="O455" s="13" t="s">
        <v>1458</v>
      </c>
      <c r="P455" s="10" t="s">
        <v>1459</v>
      </c>
      <c r="Q455" s="18">
        <v>0.85</v>
      </c>
      <c r="R455" s="20"/>
      <c r="S455" s="13" t="s">
        <v>1460</v>
      </c>
      <c r="T455" s="13" t="s">
        <v>1482</v>
      </c>
      <c r="U455" s="10">
        <v>127</v>
      </c>
      <c r="V455" s="10">
        <v>200</v>
      </c>
      <c r="W455" s="10" t="s">
        <v>49</v>
      </c>
      <c r="X455" s="10"/>
      <c r="Y455" s="10"/>
      <c r="Z455" s="10"/>
      <c r="AA455" s="13" t="s">
        <v>1464</v>
      </c>
      <c r="AB455" s="10" t="s">
        <v>1774</v>
      </c>
      <c r="AC455" s="157">
        <v>20</v>
      </c>
      <c r="AD455" s="156">
        <v>60</v>
      </c>
      <c r="AE455" s="156">
        <v>60</v>
      </c>
      <c r="AF455" s="156">
        <v>60</v>
      </c>
      <c r="AG455" s="377">
        <f t="shared" si="70"/>
        <v>200</v>
      </c>
      <c r="AH455" s="377" t="b">
        <f t="shared" si="66"/>
        <v>1</v>
      </c>
      <c r="AI455" s="10"/>
      <c r="AJ455" s="10">
        <v>8000</v>
      </c>
      <c r="AK455" s="133">
        <v>20</v>
      </c>
      <c r="AL455" s="133">
        <v>20</v>
      </c>
      <c r="AM455" s="16">
        <f t="shared" si="67"/>
        <v>0.1</v>
      </c>
      <c r="AN455" s="157">
        <v>20</v>
      </c>
      <c r="AO455" s="10"/>
      <c r="AP455" s="10">
        <v>8000</v>
      </c>
      <c r="AQ455" s="10"/>
      <c r="AR455" s="10">
        <f t="shared" si="73"/>
        <v>20</v>
      </c>
      <c r="AS455" s="300">
        <f t="shared" si="74"/>
        <v>1</v>
      </c>
      <c r="AT455" s="1">
        <f t="shared" si="68"/>
        <v>20</v>
      </c>
      <c r="AU455" s="31"/>
      <c r="AV455" s="31"/>
      <c r="AW455" s="31"/>
      <c r="AX455" s="16">
        <f t="shared" si="72"/>
        <v>0.1</v>
      </c>
      <c r="AY455" s="156">
        <v>60</v>
      </c>
      <c r="AZ455" s="76">
        <v>0</v>
      </c>
      <c r="BA455" s="31"/>
      <c r="BB455" s="31"/>
      <c r="BC455" s="31"/>
      <c r="BD455" s="16">
        <f t="shared" si="69"/>
        <v>0</v>
      </c>
      <c r="BE455" s="31"/>
      <c r="BF455" s="31"/>
      <c r="BG455" s="31"/>
      <c r="BH455" s="31"/>
      <c r="BI455" s="16"/>
      <c r="BJ455" s="16"/>
      <c r="BK455" s="31"/>
      <c r="BL455" s="31"/>
      <c r="BM455" s="31"/>
      <c r="BN455" s="31"/>
      <c r="BO455" s="16"/>
      <c r="BP455" s="31"/>
      <c r="BQ455" s="31"/>
      <c r="BR455" s="31"/>
      <c r="BS455" s="31"/>
      <c r="BT455" s="16"/>
      <c r="BU455" s="16"/>
      <c r="BV455" s="16"/>
      <c r="BW455" s="16"/>
      <c r="BX455" s="16"/>
      <c r="BY455" s="16"/>
      <c r="BZ455" s="16"/>
      <c r="CA455" s="10" t="s">
        <v>1465</v>
      </c>
      <c r="CB455" s="10" t="s">
        <v>1466</v>
      </c>
      <c r="CC455" s="45">
        <v>150000000</v>
      </c>
    </row>
    <row r="456" spans="1:81" s="52" customFormat="1" ht="111.75" customHeight="1" x14ac:dyDescent="0.25">
      <c r="A456" s="1">
        <v>6</v>
      </c>
      <c r="B456" s="13" t="s">
        <v>1751</v>
      </c>
      <c r="C456" s="572"/>
      <c r="D456" s="573"/>
      <c r="E456" s="10" t="s">
        <v>1454</v>
      </c>
      <c r="F456" s="13" t="s">
        <v>1455</v>
      </c>
      <c r="G456" s="572"/>
      <c r="H456" s="573"/>
      <c r="I456" s="10" t="s">
        <v>1483</v>
      </c>
      <c r="J456" s="13" t="s">
        <v>1880</v>
      </c>
      <c r="K456" s="567">
        <f>AVERAGE(AX456:AX460)</f>
        <v>0.16250000000000001</v>
      </c>
      <c r="L456" s="569">
        <f>AVERAGE(BD456:BD460)</f>
        <v>0.2</v>
      </c>
      <c r="M456" s="10"/>
      <c r="N456" s="23" t="s">
        <v>1484</v>
      </c>
      <c r="O456" s="13" t="s">
        <v>1458</v>
      </c>
      <c r="P456" s="10" t="s">
        <v>1459</v>
      </c>
      <c r="Q456" s="18">
        <v>0.85</v>
      </c>
      <c r="R456" s="20"/>
      <c r="S456" s="13" t="s">
        <v>1485</v>
      </c>
      <c r="T456" s="13" t="s">
        <v>1486</v>
      </c>
      <c r="U456" s="10" t="s">
        <v>868</v>
      </c>
      <c r="V456" s="10">
        <v>4</v>
      </c>
      <c r="W456" s="10" t="s">
        <v>78</v>
      </c>
      <c r="X456" s="10"/>
      <c r="Y456" s="10"/>
      <c r="Z456" s="10"/>
      <c r="AA456" s="13" t="s">
        <v>1487</v>
      </c>
      <c r="AB456" s="10" t="s">
        <v>1774</v>
      </c>
      <c r="AC456" s="157">
        <v>1</v>
      </c>
      <c r="AD456" s="156">
        <v>1</v>
      </c>
      <c r="AE456" s="156">
        <v>1</v>
      </c>
      <c r="AF456" s="156">
        <v>1</v>
      </c>
      <c r="AG456" s="377">
        <f t="shared" si="70"/>
        <v>4</v>
      </c>
      <c r="AH456" s="377" t="b">
        <f t="shared" si="66"/>
        <v>1</v>
      </c>
      <c r="AI456" s="10"/>
      <c r="AJ456" s="10">
        <v>1</v>
      </c>
      <c r="AK456" s="10">
        <v>1</v>
      </c>
      <c r="AL456" s="10">
        <v>1</v>
      </c>
      <c r="AM456" s="16">
        <f t="shared" si="67"/>
        <v>0.25</v>
      </c>
      <c r="AN456" s="157">
        <v>1</v>
      </c>
      <c r="AO456" s="10"/>
      <c r="AP456" s="10">
        <v>1</v>
      </c>
      <c r="AQ456" s="10"/>
      <c r="AR456" s="10">
        <f t="shared" si="73"/>
        <v>1</v>
      </c>
      <c r="AS456" s="21">
        <f t="shared" si="74"/>
        <v>1</v>
      </c>
      <c r="AT456" s="1">
        <f t="shared" si="68"/>
        <v>0.25</v>
      </c>
      <c r="AU456" s="31"/>
      <c r="AV456" s="31"/>
      <c r="AW456" s="31"/>
      <c r="AX456" s="16">
        <f t="shared" si="72"/>
        <v>6.25E-2</v>
      </c>
      <c r="AY456" s="156">
        <v>1</v>
      </c>
      <c r="AZ456" s="76">
        <v>0</v>
      </c>
      <c r="BA456" s="31"/>
      <c r="BB456" s="31"/>
      <c r="BC456" s="31"/>
      <c r="BD456" s="16">
        <f t="shared" si="69"/>
        <v>0</v>
      </c>
      <c r="BE456" s="31"/>
      <c r="BF456" s="31"/>
      <c r="BG456" s="31"/>
      <c r="BH456" s="31"/>
      <c r="BI456" s="16"/>
      <c r="BJ456" s="16"/>
      <c r="BK456" s="31"/>
      <c r="BL456" s="31"/>
      <c r="BM456" s="31"/>
      <c r="BN456" s="31"/>
      <c r="BO456" s="16"/>
      <c r="BP456" s="31"/>
      <c r="BQ456" s="31"/>
      <c r="BR456" s="31"/>
      <c r="BS456" s="31"/>
      <c r="BT456" s="16"/>
      <c r="BU456" s="16"/>
      <c r="BV456" s="16"/>
      <c r="BW456" s="16"/>
      <c r="BX456" s="16"/>
      <c r="BY456" s="16"/>
      <c r="BZ456" s="16"/>
      <c r="CA456" s="10" t="s">
        <v>1465</v>
      </c>
      <c r="CB456" s="46" t="s">
        <v>1488</v>
      </c>
      <c r="CC456" s="45">
        <v>25000000</v>
      </c>
    </row>
    <row r="457" spans="1:81" s="52" customFormat="1" ht="111.75" customHeight="1" x14ac:dyDescent="0.25">
      <c r="A457" s="1">
        <v>6</v>
      </c>
      <c r="B457" s="13" t="s">
        <v>1751</v>
      </c>
      <c r="C457" s="572"/>
      <c r="D457" s="573"/>
      <c r="E457" s="10" t="s">
        <v>1454</v>
      </c>
      <c r="F457" s="13" t="s">
        <v>1455</v>
      </c>
      <c r="G457" s="572"/>
      <c r="H457" s="573"/>
      <c r="I457" s="10" t="s">
        <v>1483</v>
      </c>
      <c r="J457" s="13" t="s">
        <v>1880</v>
      </c>
      <c r="K457" s="572"/>
      <c r="L457" s="573"/>
      <c r="M457" s="10"/>
      <c r="N457" s="23" t="s">
        <v>1484</v>
      </c>
      <c r="O457" s="13" t="s">
        <v>1458</v>
      </c>
      <c r="P457" s="10" t="s">
        <v>1459</v>
      </c>
      <c r="Q457" s="18">
        <v>1.85</v>
      </c>
      <c r="R457" s="20"/>
      <c r="S457" s="13" t="s">
        <v>1485</v>
      </c>
      <c r="T457" s="13" t="s">
        <v>1489</v>
      </c>
      <c r="U457" s="10" t="s">
        <v>868</v>
      </c>
      <c r="V457" s="10">
        <v>4</v>
      </c>
      <c r="W457" s="10" t="s">
        <v>78</v>
      </c>
      <c r="X457" s="10"/>
      <c r="Y457" s="10"/>
      <c r="Z457" s="10"/>
      <c r="AA457" s="13" t="s">
        <v>1487</v>
      </c>
      <c r="AB457" s="10" t="s">
        <v>1774</v>
      </c>
      <c r="AC457" s="157">
        <v>1</v>
      </c>
      <c r="AD457" s="156">
        <v>1</v>
      </c>
      <c r="AE457" s="156">
        <v>1</v>
      </c>
      <c r="AF457" s="156">
        <v>1</v>
      </c>
      <c r="AG457" s="377">
        <f t="shared" si="70"/>
        <v>4</v>
      </c>
      <c r="AH457" s="377" t="b">
        <f t="shared" ref="AH457:AH520" si="75">V457=AG457</f>
        <v>1</v>
      </c>
      <c r="AI457" s="10"/>
      <c r="AJ457" s="10"/>
      <c r="AK457" s="10">
        <v>1</v>
      </c>
      <c r="AL457" s="10">
        <v>1</v>
      </c>
      <c r="AM457" s="16">
        <f t="shared" ref="AM457:AM520" si="76">+AL457/V457</f>
        <v>0.25</v>
      </c>
      <c r="AN457" s="157">
        <v>1</v>
      </c>
      <c r="AO457" s="10"/>
      <c r="AP457" s="10"/>
      <c r="AQ457" s="10"/>
      <c r="AR457" s="10">
        <f t="shared" si="73"/>
        <v>1</v>
      </c>
      <c r="AS457" s="21">
        <f t="shared" si="74"/>
        <v>1</v>
      </c>
      <c r="AT457" s="1">
        <f t="shared" si="68"/>
        <v>0.25</v>
      </c>
      <c r="AU457" s="31"/>
      <c r="AV457" s="31"/>
      <c r="AW457" s="31"/>
      <c r="AX457" s="16">
        <f t="shared" si="72"/>
        <v>6.25E-2</v>
      </c>
      <c r="AY457" s="156">
        <v>1</v>
      </c>
      <c r="AZ457" s="76">
        <v>0</v>
      </c>
      <c r="BA457" s="31"/>
      <c r="BB457" s="31"/>
      <c r="BC457" s="31"/>
      <c r="BD457" s="16">
        <f t="shared" si="69"/>
        <v>0</v>
      </c>
      <c r="BE457" s="31"/>
      <c r="BF457" s="31"/>
      <c r="BG457" s="31"/>
      <c r="BH457" s="31"/>
      <c r="BI457" s="16"/>
      <c r="BJ457" s="16"/>
      <c r="BK457" s="31"/>
      <c r="BL457" s="31"/>
      <c r="BM457" s="31"/>
      <c r="BN457" s="31"/>
      <c r="BO457" s="16"/>
      <c r="BP457" s="31"/>
      <c r="BQ457" s="31"/>
      <c r="BR457" s="31"/>
      <c r="BS457" s="31"/>
      <c r="BT457" s="16"/>
      <c r="BU457" s="16"/>
      <c r="BV457" s="16"/>
      <c r="BW457" s="16"/>
      <c r="BX457" s="16"/>
      <c r="BY457" s="16"/>
      <c r="BZ457" s="16"/>
      <c r="CA457" s="10" t="s">
        <v>1465</v>
      </c>
      <c r="CB457" s="46" t="s">
        <v>1488</v>
      </c>
      <c r="CC457" s="45">
        <v>25000000</v>
      </c>
    </row>
    <row r="458" spans="1:81" s="52" customFormat="1" ht="117" customHeight="1" x14ac:dyDescent="0.25">
      <c r="A458" s="1">
        <v>6</v>
      </c>
      <c r="B458" s="13" t="s">
        <v>1751</v>
      </c>
      <c r="C458" s="572"/>
      <c r="D458" s="573"/>
      <c r="E458" s="10" t="s">
        <v>1454</v>
      </c>
      <c r="F458" s="13" t="s">
        <v>1455</v>
      </c>
      <c r="G458" s="572"/>
      <c r="H458" s="573"/>
      <c r="I458" s="10" t="s">
        <v>1483</v>
      </c>
      <c r="J458" s="13" t="s">
        <v>1880</v>
      </c>
      <c r="K458" s="572"/>
      <c r="L458" s="573"/>
      <c r="M458" s="10"/>
      <c r="N458" s="23" t="s">
        <v>1484</v>
      </c>
      <c r="O458" s="13" t="s">
        <v>1458</v>
      </c>
      <c r="P458" s="10" t="s">
        <v>1459</v>
      </c>
      <c r="Q458" s="18">
        <v>0.85</v>
      </c>
      <c r="R458" s="20"/>
      <c r="S458" s="13" t="s">
        <v>1485</v>
      </c>
      <c r="T458" s="13" t="s">
        <v>1490</v>
      </c>
      <c r="U458" s="10" t="s">
        <v>868</v>
      </c>
      <c r="V458" s="47">
        <v>400000000</v>
      </c>
      <c r="W458" s="10" t="s">
        <v>49</v>
      </c>
      <c r="X458" s="10"/>
      <c r="Y458" s="10"/>
      <c r="Z458" s="10"/>
      <c r="AA458" s="13" t="s">
        <v>1487</v>
      </c>
      <c r="AB458" s="10" t="s">
        <v>1774</v>
      </c>
      <c r="AC458" s="168">
        <v>0.125</v>
      </c>
      <c r="AD458" s="156">
        <v>0.25</v>
      </c>
      <c r="AE458" s="156">
        <v>0.25</v>
      </c>
      <c r="AF458" s="156">
        <v>0.375</v>
      </c>
      <c r="AG458" s="377">
        <f t="shared" si="70"/>
        <v>1</v>
      </c>
      <c r="AH458" s="377" t="b">
        <f t="shared" si="75"/>
        <v>0</v>
      </c>
      <c r="AI458" s="47"/>
      <c r="AJ458" s="47"/>
      <c r="AK458" s="47"/>
      <c r="AL458" s="343">
        <v>50000000</v>
      </c>
      <c r="AM458" s="16">
        <f t="shared" si="76"/>
        <v>0.125</v>
      </c>
      <c r="AN458" s="168">
        <v>0.125</v>
      </c>
      <c r="AO458" s="17"/>
      <c r="AP458" s="17"/>
      <c r="AQ458" s="17"/>
      <c r="AR458" s="342">
        <v>0.125</v>
      </c>
      <c r="AS458" s="21">
        <f t="shared" si="74"/>
        <v>1</v>
      </c>
      <c r="AT458" s="1">
        <f t="shared" si="68"/>
        <v>50000000</v>
      </c>
      <c r="AU458" s="31"/>
      <c r="AV458" s="31"/>
      <c r="AW458" s="31"/>
      <c r="AX458" s="16">
        <f t="shared" si="72"/>
        <v>0.125</v>
      </c>
      <c r="AY458" s="156">
        <v>0.25</v>
      </c>
      <c r="AZ458" s="76">
        <v>0</v>
      </c>
      <c r="BA458" s="31"/>
      <c r="BB458" s="31"/>
      <c r="BC458" s="31"/>
      <c r="BD458" s="16">
        <f t="shared" si="69"/>
        <v>0</v>
      </c>
      <c r="BE458" s="31"/>
      <c r="BF458" s="31"/>
      <c r="BG458" s="31"/>
      <c r="BH458" s="31"/>
      <c r="BI458" s="16"/>
      <c r="BJ458" s="16"/>
      <c r="BK458" s="31"/>
      <c r="BL458" s="31"/>
      <c r="BM458" s="31"/>
      <c r="BN458" s="31"/>
      <c r="BO458" s="16"/>
      <c r="BP458" s="31"/>
      <c r="BQ458" s="31"/>
      <c r="BR458" s="31"/>
      <c r="BS458" s="31"/>
      <c r="BT458" s="16"/>
      <c r="BU458" s="16"/>
      <c r="BV458" s="16"/>
      <c r="BW458" s="16"/>
      <c r="BX458" s="16"/>
      <c r="BY458" s="16"/>
      <c r="BZ458" s="16"/>
      <c r="CA458" s="10" t="s">
        <v>1465</v>
      </c>
      <c r="CB458" s="46" t="s">
        <v>1488</v>
      </c>
      <c r="CC458" s="45">
        <v>50000000</v>
      </c>
    </row>
    <row r="459" spans="1:81" s="52" customFormat="1" ht="114" customHeight="1" x14ac:dyDescent="0.25">
      <c r="A459" s="1">
        <v>6</v>
      </c>
      <c r="B459" s="13" t="s">
        <v>1751</v>
      </c>
      <c r="C459" s="572"/>
      <c r="D459" s="573"/>
      <c r="E459" s="10" t="s">
        <v>1454</v>
      </c>
      <c r="F459" s="13" t="s">
        <v>1455</v>
      </c>
      <c r="G459" s="572"/>
      <c r="H459" s="573"/>
      <c r="I459" s="10" t="s">
        <v>1483</v>
      </c>
      <c r="J459" s="13" t="s">
        <v>1880</v>
      </c>
      <c r="K459" s="572"/>
      <c r="L459" s="573"/>
      <c r="M459" s="10"/>
      <c r="N459" s="23" t="s">
        <v>1484</v>
      </c>
      <c r="O459" s="13" t="s">
        <v>1458</v>
      </c>
      <c r="P459" s="10" t="s">
        <v>1459</v>
      </c>
      <c r="Q459" s="18">
        <v>3.85</v>
      </c>
      <c r="R459" s="20"/>
      <c r="S459" s="13" t="s">
        <v>1485</v>
      </c>
      <c r="T459" s="13" t="s">
        <v>1491</v>
      </c>
      <c r="U459" s="10" t="s">
        <v>868</v>
      </c>
      <c r="V459" s="10">
        <v>4</v>
      </c>
      <c r="W459" s="10" t="s">
        <v>78</v>
      </c>
      <c r="X459" s="10"/>
      <c r="Y459" s="10"/>
      <c r="Z459" s="10"/>
      <c r="AA459" s="13" t="s">
        <v>1487</v>
      </c>
      <c r="AB459" s="10" t="s">
        <v>1774</v>
      </c>
      <c r="AC459" s="157">
        <v>1</v>
      </c>
      <c r="AD459" s="156">
        <v>1</v>
      </c>
      <c r="AE459" s="156">
        <v>1</v>
      </c>
      <c r="AF459" s="156">
        <v>1</v>
      </c>
      <c r="AG459" s="377">
        <f t="shared" si="70"/>
        <v>4</v>
      </c>
      <c r="AH459" s="377" t="b">
        <f t="shared" si="75"/>
        <v>1</v>
      </c>
      <c r="AI459" s="10"/>
      <c r="AJ459" s="10"/>
      <c r="AK459" s="10">
        <v>1</v>
      </c>
      <c r="AL459" s="10">
        <v>1</v>
      </c>
      <c r="AM459" s="16">
        <f t="shared" si="76"/>
        <v>0.25</v>
      </c>
      <c r="AN459" s="157">
        <v>1</v>
      </c>
      <c r="AO459" s="10"/>
      <c r="AP459" s="10"/>
      <c r="AQ459" s="10"/>
      <c r="AR459" s="10">
        <f t="shared" si="73"/>
        <v>1</v>
      </c>
      <c r="AS459" s="21">
        <f t="shared" si="74"/>
        <v>1</v>
      </c>
      <c r="AT459" s="1">
        <f t="shared" si="68"/>
        <v>0.25</v>
      </c>
      <c r="AU459" s="31"/>
      <c r="AV459" s="31"/>
      <c r="AW459" s="31"/>
      <c r="AX459" s="16">
        <f t="shared" si="72"/>
        <v>6.25E-2</v>
      </c>
      <c r="AY459" s="156">
        <v>1</v>
      </c>
      <c r="AZ459" s="76">
        <v>0</v>
      </c>
      <c r="BA459" s="31"/>
      <c r="BB459" s="31"/>
      <c r="BC459" s="31"/>
      <c r="BD459" s="16">
        <f t="shared" si="69"/>
        <v>0</v>
      </c>
      <c r="BE459" s="31"/>
      <c r="BF459" s="31"/>
      <c r="BG459" s="31"/>
      <c r="BH459" s="31"/>
      <c r="BI459" s="16"/>
      <c r="BJ459" s="16"/>
      <c r="BK459" s="31"/>
      <c r="BL459" s="31"/>
      <c r="BM459" s="31"/>
      <c r="BN459" s="31"/>
      <c r="BO459" s="16"/>
      <c r="BP459" s="31"/>
      <c r="BQ459" s="31"/>
      <c r="BR459" s="31"/>
      <c r="BS459" s="31"/>
      <c r="BT459" s="16"/>
      <c r="BU459" s="16"/>
      <c r="BV459" s="16"/>
      <c r="BW459" s="16"/>
      <c r="BX459" s="16"/>
      <c r="BY459" s="16"/>
      <c r="BZ459" s="16"/>
      <c r="CA459" s="10"/>
      <c r="CB459" s="10"/>
      <c r="CC459" s="45"/>
    </row>
    <row r="460" spans="1:81" s="52" customFormat="1" ht="116.25" customHeight="1" x14ac:dyDescent="0.25">
      <c r="A460" s="1">
        <v>6</v>
      </c>
      <c r="B460" s="13" t="s">
        <v>1751</v>
      </c>
      <c r="C460" s="572"/>
      <c r="D460" s="573"/>
      <c r="E460" s="10" t="s">
        <v>1454</v>
      </c>
      <c r="F460" s="13" t="s">
        <v>1455</v>
      </c>
      <c r="G460" s="572"/>
      <c r="H460" s="573"/>
      <c r="I460" s="10" t="s">
        <v>1483</v>
      </c>
      <c r="J460" s="13" t="s">
        <v>1880</v>
      </c>
      <c r="K460" s="568"/>
      <c r="L460" s="570"/>
      <c r="M460" s="10"/>
      <c r="N460" s="23" t="s">
        <v>1484</v>
      </c>
      <c r="O460" s="13" t="s">
        <v>1458</v>
      </c>
      <c r="P460" s="10" t="s">
        <v>1459</v>
      </c>
      <c r="Q460" s="18">
        <v>4.8499999999999996</v>
      </c>
      <c r="R460" s="20"/>
      <c r="S460" s="13" t="s">
        <v>1485</v>
      </c>
      <c r="T460" s="13" t="s">
        <v>1492</v>
      </c>
      <c r="U460" s="10">
        <v>4</v>
      </c>
      <c r="V460" s="169">
        <v>1</v>
      </c>
      <c r="W460" s="10" t="s">
        <v>78</v>
      </c>
      <c r="X460" s="10"/>
      <c r="Y460" s="10"/>
      <c r="Z460" s="10"/>
      <c r="AA460" s="13" t="s">
        <v>1487</v>
      </c>
      <c r="AB460" s="10" t="s">
        <v>1774</v>
      </c>
      <c r="AC460" s="157">
        <v>1</v>
      </c>
      <c r="AD460" s="156">
        <v>1</v>
      </c>
      <c r="AE460" s="156">
        <v>1</v>
      </c>
      <c r="AF460" s="156">
        <v>1</v>
      </c>
      <c r="AG460" s="377">
        <f t="shared" si="70"/>
        <v>4</v>
      </c>
      <c r="AH460" s="377" t="b">
        <f t="shared" si="75"/>
        <v>0</v>
      </c>
      <c r="AI460" s="10"/>
      <c r="AJ460" s="10"/>
      <c r="AK460" s="10">
        <v>1</v>
      </c>
      <c r="AL460" s="10">
        <v>1</v>
      </c>
      <c r="AM460" s="16">
        <f t="shared" si="76"/>
        <v>1</v>
      </c>
      <c r="AN460" s="157">
        <v>1</v>
      </c>
      <c r="AO460" s="10"/>
      <c r="AP460" s="10"/>
      <c r="AQ460" s="10"/>
      <c r="AR460" s="10">
        <f t="shared" si="73"/>
        <v>1</v>
      </c>
      <c r="AS460" s="21">
        <f t="shared" si="74"/>
        <v>1</v>
      </c>
      <c r="AT460" s="1">
        <f t="shared" si="68"/>
        <v>0.5</v>
      </c>
      <c r="AU460" s="31"/>
      <c r="AV460" s="31"/>
      <c r="AW460" s="31"/>
      <c r="AX460" s="16">
        <f t="shared" si="72"/>
        <v>0.5</v>
      </c>
      <c r="AY460" s="156">
        <v>1</v>
      </c>
      <c r="AZ460" s="76">
        <v>1</v>
      </c>
      <c r="BA460" s="31"/>
      <c r="BB460" s="31"/>
      <c r="BC460" s="31"/>
      <c r="BD460" s="16">
        <f t="shared" si="69"/>
        <v>1</v>
      </c>
      <c r="BE460" s="31"/>
      <c r="BF460" s="31"/>
      <c r="BG460" s="31"/>
      <c r="BH460" s="31"/>
      <c r="BI460" s="16"/>
      <c r="BJ460" s="16"/>
      <c r="BK460" s="31"/>
      <c r="BL460" s="31"/>
      <c r="BM460" s="31"/>
      <c r="BN460" s="31"/>
      <c r="BO460" s="16"/>
      <c r="BP460" s="31"/>
      <c r="BQ460" s="31"/>
      <c r="BR460" s="31"/>
      <c r="BS460" s="31"/>
      <c r="BT460" s="16"/>
      <c r="BU460" s="16"/>
      <c r="BV460" s="16"/>
      <c r="BW460" s="16"/>
      <c r="BX460" s="16"/>
      <c r="BY460" s="16"/>
      <c r="BZ460" s="16"/>
      <c r="CA460" s="10"/>
      <c r="CB460" s="10"/>
      <c r="CC460" s="45"/>
    </row>
    <row r="461" spans="1:81" s="52" customFormat="1" ht="122.25" customHeight="1" x14ac:dyDescent="0.25">
      <c r="A461" s="1">
        <v>6</v>
      </c>
      <c r="B461" s="13" t="s">
        <v>1751</v>
      </c>
      <c r="C461" s="572"/>
      <c r="D461" s="573"/>
      <c r="E461" s="10" t="s">
        <v>1454</v>
      </c>
      <c r="F461" s="13" t="s">
        <v>1455</v>
      </c>
      <c r="G461" s="572"/>
      <c r="H461" s="573"/>
      <c r="I461" s="10" t="s">
        <v>1493</v>
      </c>
      <c r="J461" s="13" t="s">
        <v>1881</v>
      </c>
      <c r="K461" s="567">
        <f>AVERAGE(AX461:AX463)</f>
        <v>0.16250000000000001</v>
      </c>
      <c r="L461" s="569">
        <f>AVERAGE(BD461:BD463)</f>
        <v>0.12222222222222223</v>
      </c>
      <c r="M461" s="10"/>
      <c r="N461" s="23" t="s">
        <v>1494</v>
      </c>
      <c r="O461" s="13" t="s">
        <v>1495</v>
      </c>
      <c r="P461" s="10" t="s">
        <v>1459</v>
      </c>
      <c r="Q461" s="26">
        <v>0.85</v>
      </c>
      <c r="R461" s="14"/>
      <c r="S461" s="13" t="s">
        <v>1496</v>
      </c>
      <c r="T461" s="13" t="s">
        <v>1497</v>
      </c>
      <c r="U461" s="1">
        <v>0</v>
      </c>
      <c r="V461" s="1">
        <v>8</v>
      </c>
      <c r="W461" s="1" t="s">
        <v>1498</v>
      </c>
      <c r="X461" s="1"/>
      <c r="Y461" s="1"/>
      <c r="Z461" s="1"/>
      <c r="AA461" s="13" t="s">
        <v>1499</v>
      </c>
      <c r="AB461" s="10" t="s">
        <v>1774</v>
      </c>
      <c r="AC461" s="156">
        <v>2</v>
      </c>
      <c r="AD461" s="156">
        <v>2</v>
      </c>
      <c r="AE461" s="156">
        <v>2</v>
      </c>
      <c r="AF461" s="156">
        <v>2</v>
      </c>
      <c r="AG461" s="377">
        <f t="shared" si="70"/>
        <v>8</v>
      </c>
      <c r="AH461" s="377" t="b">
        <f t="shared" si="75"/>
        <v>1</v>
      </c>
      <c r="AI461" s="1"/>
      <c r="AJ461" s="1">
        <v>2</v>
      </c>
      <c r="AK461" s="1">
        <v>2</v>
      </c>
      <c r="AL461" s="1">
        <v>2</v>
      </c>
      <c r="AM461" s="16">
        <f t="shared" si="76"/>
        <v>0.25</v>
      </c>
      <c r="AN461" s="156">
        <v>2</v>
      </c>
      <c r="AO461" s="1"/>
      <c r="AP461" s="1">
        <v>2</v>
      </c>
      <c r="AQ461" s="1"/>
      <c r="AR461" s="10">
        <f t="shared" si="73"/>
        <v>2</v>
      </c>
      <c r="AS461" s="21">
        <f>IFERROR(+AR461/AN461,0)</f>
        <v>1</v>
      </c>
      <c r="AT461" s="1">
        <f t="shared" si="68"/>
        <v>0.5</v>
      </c>
      <c r="AU461" s="31"/>
      <c r="AV461" s="31"/>
      <c r="AW461" s="31"/>
      <c r="AX461" s="16">
        <f t="shared" si="72"/>
        <v>6.25E-2</v>
      </c>
      <c r="AY461" s="156">
        <v>2</v>
      </c>
      <c r="AZ461" s="76">
        <v>0</v>
      </c>
      <c r="BA461" s="31"/>
      <c r="BB461" s="31"/>
      <c r="BC461" s="31"/>
      <c r="BD461" s="16">
        <f t="shared" si="69"/>
        <v>0</v>
      </c>
      <c r="BE461" s="31"/>
      <c r="BF461" s="31"/>
      <c r="BG461" s="31"/>
      <c r="BH461" s="31"/>
      <c r="BI461" s="16"/>
      <c r="BJ461" s="16"/>
      <c r="BK461" s="31"/>
      <c r="BL461" s="31"/>
      <c r="BM461" s="31"/>
      <c r="BN461" s="31"/>
      <c r="BO461" s="16"/>
      <c r="BP461" s="31"/>
      <c r="BQ461" s="31"/>
      <c r="BR461" s="31"/>
      <c r="BS461" s="31"/>
      <c r="BT461" s="16"/>
      <c r="BU461" s="16"/>
      <c r="BV461" s="16"/>
      <c r="BW461" s="16"/>
      <c r="BX461" s="16"/>
      <c r="BY461" s="16"/>
      <c r="BZ461" s="16"/>
      <c r="CA461" s="1"/>
      <c r="CB461" s="1"/>
      <c r="CC461" s="48"/>
    </row>
    <row r="462" spans="1:81" s="52" customFormat="1" ht="109.15" customHeight="1" x14ac:dyDescent="0.25">
      <c r="A462" s="1">
        <v>6</v>
      </c>
      <c r="B462" s="13" t="s">
        <v>1751</v>
      </c>
      <c r="C462" s="572"/>
      <c r="D462" s="573"/>
      <c r="E462" s="10" t="s">
        <v>1454</v>
      </c>
      <c r="F462" s="13" t="s">
        <v>1455</v>
      </c>
      <c r="G462" s="572"/>
      <c r="H462" s="573"/>
      <c r="I462" s="10" t="s">
        <v>1493</v>
      </c>
      <c r="J462" s="13" t="s">
        <v>1881</v>
      </c>
      <c r="K462" s="572"/>
      <c r="L462" s="573"/>
      <c r="M462" s="10"/>
      <c r="N462" s="23" t="s">
        <v>1500</v>
      </c>
      <c r="O462" s="13" t="s">
        <v>1495</v>
      </c>
      <c r="P462" s="10" t="s">
        <v>1459</v>
      </c>
      <c r="Q462" s="18">
        <v>0.85</v>
      </c>
      <c r="R462" s="20"/>
      <c r="S462" s="13" t="s">
        <v>1496</v>
      </c>
      <c r="T462" s="13" t="s">
        <v>1501</v>
      </c>
      <c r="U462" s="10" t="s">
        <v>868</v>
      </c>
      <c r="V462" s="10">
        <v>40</v>
      </c>
      <c r="W462" s="10" t="s">
        <v>1502</v>
      </c>
      <c r="X462" s="10"/>
      <c r="Y462" s="10"/>
      <c r="Z462" s="10"/>
      <c r="AA462" s="13" t="s">
        <v>1499</v>
      </c>
      <c r="AB462" s="10" t="s">
        <v>1774</v>
      </c>
      <c r="AC462" s="157">
        <v>5</v>
      </c>
      <c r="AD462" s="156">
        <v>10</v>
      </c>
      <c r="AE462" s="156">
        <v>15</v>
      </c>
      <c r="AF462" s="156">
        <v>10</v>
      </c>
      <c r="AG462" s="377">
        <f t="shared" si="70"/>
        <v>40</v>
      </c>
      <c r="AH462" s="377" t="b">
        <f t="shared" si="75"/>
        <v>1</v>
      </c>
      <c r="AI462" s="10"/>
      <c r="AJ462" s="10">
        <v>5</v>
      </c>
      <c r="AK462" s="10">
        <v>5</v>
      </c>
      <c r="AL462" s="10">
        <v>5</v>
      </c>
      <c r="AM462" s="16">
        <f t="shared" si="76"/>
        <v>0.125</v>
      </c>
      <c r="AN462" s="157">
        <v>5</v>
      </c>
      <c r="AO462" s="10"/>
      <c r="AP462" s="10">
        <v>5</v>
      </c>
      <c r="AQ462" s="10"/>
      <c r="AR462" s="10">
        <f t="shared" si="73"/>
        <v>5</v>
      </c>
      <c r="AS462" s="21">
        <f t="shared" si="74"/>
        <v>1</v>
      </c>
      <c r="AT462" s="1">
        <f t="shared" ref="AT462:AT525" si="77">IF(W462="Mantenimiento",(AL462+AZ462)/4*100%,AL462+AZ462)</f>
        <v>7</v>
      </c>
      <c r="AU462" s="31"/>
      <c r="AV462" s="31"/>
      <c r="AW462" s="31"/>
      <c r="AX462" s="16">
        <f t="shared" si="72"/>
        <v>0.17499999999999999</v>
      </c>
      <c r="AY462" s="156">
        <v>10</v>
      </c>
      <c r="AZ462" s="76">
        <v>2</v>
      </c>
      <c r="BA462" s="31"/>
      <c r="BB462" s="31"/>
      <c r="BC462" s="31"/>
      <c r="BD462" s="16">
        <f t="shared" ref="BD462:BD525" si="78">IFERROR(IF((+AZ462/AY462)&gt;100%,100%,(+AZ462/AY462)),"NP")</f>
        <v>0.2</v>
      </c>
      <c r="BE462" s="31"/>
      <c r="BF462" s="31"/>
      <c r="BG462" s="31"/>
      <c r="BH462" s="31"/>
      <c r="BI462" s="16"/>
      <c r="BJ462" s="16"/>
      <c r="BK462" s="31"/>
      <c r="BL462" s="31"/>
      <c r="BM462" s="31"/>
      <c r="BN462" s="31"/>
      <c r="BO462" s="16"/>
      <c r="BP462" s="31"/>
      <c r="BQ462" s="31"/>
      <c r="BR462" s="31"/>
      <c r="BS462" s="31"/>
      <c r="BT462" s="16"/>
      <c r="BU462" s="16"/>
      <c r="BV462" s="16"/>
      <c r="BW462" s="16"/>
      <c r="BX462" s="16"/>
      <c r="BY462" s="16"/>
      <c r="BZ462" s="16"/>
      <c r="CA462" s="10" t="s">
        <v>1465</v>
      </c>
      <c r="CB462" s="46" t="s">
        <v>1503</v>
      </c>
      <c r="CC462" s="45">
        <v>150000000</v>
      </c>
    </row>
    <row r="463" spans="1:81" s="52" customFormat="1" ht="137.25" customHeight="1" x14ac:dyDescent="0.25">
      <c r="A463" s="1">
        <v>6</v>
      </c>
      <c r="B463" s="13" t="s">
        <v>1751</v>
      </c>
      <c r="C463" s="572"/>
      <c r="D463" s="573"/>
      <c r="E463" s="10" t="s">
        <v>1454</v>
      </c>
      <c r="F463" s="13" t="s">
        <v>1455</v>
      </c>
      <c r="G463" s="572"/>
      <c r="H463" s="573"/>
      <c r="I463" s="10" t="s">
        <v>1493</v>
      </c>
      <c r="J463" s="13" t="s">
        <v>1881</v>
      </c>
      <c r="K463" s="568"/>
      <c r="L463" s="570"/>
      <c r="M463" s="10"/>
      <c r="N463" s="23" t="s">
        <v>1504</v>
      </c>
      <c r="O463" s="13" t="s">
        <v>1505</v>
      </c>
      <c r="P463" s="1" t="s">
        <v>1459</v>
      </c>
      <c r="Q463" s="26">
        <v>0.85</v>
      </c>
      <c r="R463" s="14"/>
      <c r="S463" s="13" t="s">
        <v>1506</v>
      </c>
      <c r="T463" s="13" t="s">
        <v>1507</v>
      </c>
      <c r="U463" s="1" t="s">
        <v>868</v>
      </c>
      <c r="V463" s="1">
        <v>20</v>
      </c>
      <c r="W463" s="1" t="s">
        <v>971</v>
      </c>
      <c r="X463" s="1"/>
      <c r="Y463" s="10"/>
      <c r="Z463" s="10"/>
      <c r="AA463" s="13" t="s">
        <v>1499</v>
      </c>
      <c r="AB463" s="10" t="s">
        <v>1774</v>
      </c>
      <c r="AC463" s="156">
        <v>4</v>
      </c>
      <c r="AD463" s="156">
        <v>6</v>
      </c>
      <c r="AE463" s="156">
        <v>5</v>
      </c>
      <c r="AF463" s="156">
        <v>5</v>
      </c>
      <c r="AG463" s="377">
        <f t="shared" ref="AG463:AG526" si="79">SUBTOTAL(9,AC463:AF463)</f>
        <v>20</v>
      </c>
      <c r="AH463" s="377" t="b">
        <f t="shared" si="75"/>
        <v>1</v>
      </c>
      <c r="AI463" s="1"/>
      <c r="AJ463" s="1">
        <v>4</v>
      </c>
      <c r="AK463" s="1">
        <v>4</v>
      </c>
      <c r="AL463" s="1">
        <v>4</v>
      </c>
      <c r="AM463" s="16">
        <f t="shared" si="76"/>
        <v>0.2</v>
      </c>
      <c r="AN463" s="156">
        <v>4</v>
      </c>
      <c r="AO463" s="1"/>
      <c r="AP463" s="1">
        <v>4</v>
      </c>
      <c r="AQ463" s="1"/>
      <c r="AR463" s="10">
        <f t="shared" si="73"/>
        <v>4</v>
      </c>
      <c r="AS463" s="21">
        <f t="shared" si="74"/>
        <v>1</v>
      </c>
      <c r="AT463" s="1">
        <f t="shared" si="77"/>
        <v>5</v>
      </c>
      <c r="AU463" s="31"/>
      <c r="AV463" s="31"/>
      <c r="AW463" s="31"/>
      <c r="AX463" s="16">
        <f t="shared" si="72"/>
        <v>0.25</v>
      </c>
      <c r="AY463" s="156">
        <v>6</v>
      </c>
      <c r="AZ463" s="76">
        <v>1</v>
      </c>
      <c r="BA463" s="31"/>
      <c r="BB463" s="31"/>
      <c r="BC463" s="31"/>
      <c r="BD463" s="16">
        <f t="shared" si="78"/>
        <v>0.16666666666666666</v>
      </c>
      <c r="BE463" s="31"/>
      <c r="BF463" s="31"/>
      <c r="BG463" s="31"/>
      <c r="BH463" s="31"/>
      <c r="BI463" s="16"/>
      <c r="BJ463" s="16"/>
      <c r="BK463" s="31"/>
      <c r="BL463" s="31"/>
      <c r="BM463" s="31"/>
      <c r="BN463" s="31"/>
      <c r="BO463" s="16"/>
      <c r="BP463" s="31"/>
      <c r="BQ463" s="31"/>
      <c r="BR463" s="31"/>
      <c r="BS463" s="31"/>
      <c r="BT463" s="16"/>
      <c r="BU463" s="16"/>
      <c r="BV463" s="16"/>
      <c r="BW463" s="16"/>
      <c r="BX463" s="16"/>
      <c r="BY463" s="16"/>
      <c r="BZ463" s="16"/>
      <c r="CA463" s="1"/>
      <c r="CB463" s="1"/>
      <c r="CC463" s="48"/>
    </row>
    <row r="464" spans="1:81" s="52" customFormat="1" ht="129" customHeight="1" x14ac:dyDescent="0.25">
      <c r="A464" s="1">
        <v>6</v>
      </c>
      <c r="B464" s="13" t="s">
        <v>1751</v>
      </c>
      <c r="C464" s="572"/>
      <c r="D464" s="573"/>
      <c r="E464" s="10" t="s">
        <v>1454</v>
      </c>
      <c r="F464" s="13" t="s">
        <v>1455</v>
      </c>
      <c r="G464" s="572"/>
      <c r="H464" s="573"/>
      <c r="I464" s="10" t="s">
        <v>1508</v>
      </c>
      <c r="J464" s="13" t="s">
        <v>1882</v>
      </c>
      <c r="K464" s="567">
        <f>AVERAGE(AX464:AX468)</f>
        <v>0.10482336956521739</v>
      </c>
      <c r="L464" s="569">
        <f>AVERAGE(BD464:BD468)</f>
        <v>0.10500000000000001</v>
      </c>
      <c r="M464" s="10"/>
      <c r="N464" s="23" t="s">
        <v>1509</v>
      </c>
      <c r="O464" s="13" t="s">
        <v>1505</v>
      </c>
      <c r="P464" s="1" t="s">
        <v>1459</v>
      </c>
      <c r="Q464" s="26">
        <v>0.85</v>
      </c>
      <c r="R464" s="14"/>
      <c r="S464" s="13" t="s">
        <v>1510</v>
      </c>
      <c r="T464" s="13" t="s">
        <v>1511</v>
      </c>
      <c r="U464" s="10">
        <v>11</v>
      </c>
      <c r="V464" s="10">
        <v>46</v>
      </c>
      <c r="W464" s="10" t="s">
        <v>49</v>
      </c>
      <c r="X464" s="10"/>
      <c r="Y464" s="10"/>
      <c r="Z464" s="10"/>
      <c r="AA464" s="13">
        <v>10.16</v>
      </c>
      <c r="AB464" s="10" t="s">
        <v>1774</v>
      </c>
      <c r="AC464" s="157">
        <v>8</v>
      </c>
      <c r="AD464" s="156">
        <v>5</v>
      </c>
      <c r="AE464" s="156">
        <v>25</v>
      </c>
      <c r="AF464" s="156">
        <v>8</v>
      </c>
      <c r="AG464" s="377">
        <f t="shared" si="79"/>
        <v>46</v>
      </c>
      <c r="AH464" s="377" t="b">
        <f t="shared" si="75"/>
        <v>1</v>
      </c>
      <c r="AI464" s="10"/>
      <c r="AJ464" s="10">
        <v>8</v>
      </c>
      <c r="AK464" s="10">
        <v>8</v>
      </c>
      <c r="AL464" s="10">
        <v>8</v>
      </c>
      <c r="AM464" s="16">
        <f t="shared" si="76"/>
        <v>0.17391304347826086</v>
      </c>
      <c r="AN464" s="157">
        <v>8</v>
      </c>
      <c r="AO464" s="10"/>
      <c r="AP464" s="10">
        <v>8</v>
      </c>
      <c r="AQ464" s="10"/>
      <c r="AR464" s="10">
        <f t="shared" si="73"/>
        <v>8</v>
      </c>
      <c r="AS464" s="21">
        <f t="shared" si="74"/>
        <v>1</v>
      </c>
      <c r="AT464" s="1">
        <f t="shared" si="77"/>
        <v>9</v>
      </c>
      <c r="AU464" s="31"/>
      <c r="AV464" s="31"/>
      <c r="AW464" s="31"/>
      <c r="AX464" s="16">
        <f t="shared" si="72"/>
        <v>0.19565217391304349</v>
      </c>
      <c r="AY464" s="156">
        <v>5</v>
      </c>
      <c r="AZ464" s="76">
        <v>1</v>
      </c>
      <c r="BA464" s="31"/>
      <c r="BB464" s="31"/>
      <c r="BC464" s="31"/>
      <c r="BD464" s="16">
        <f t="shared" si="78"/>
        <v>0.2</v>
      </c>
      <c r="BE464" s="31"/>
      <c r="BF464" s="31"/>
      <c r="BG464" s="31"/>
      <c r="BH464" s="31"/>
      <c r="BI464" s="16"/>
      <c r="BJ464" s="16"/>
      <c r="BK464" s="31"/>
      <c r="BL464" s="31"/>
      <c r="BM464" s="31"/>
      <c r="BN464" s="31"/>
      <c r="BO464" s="16"/>
      <c r="BP464" s="31"/>
      <c r="BQ464" s="31"/>
      <c r="BR464" s="31"/>
      <c r="BS464" s="31"/>
      <c r="BT464" s="16"/>
      <c r="BU464" s="16"/>
      <c r="BV464" s="16"/>
      <c r="BW464" s="16"/>
      <c r="BX464" s="16"/>
      <c r="BY464" s="16"/>
      <c r="BZ464" s="16"/>
      <c r="CA464" s="10" t="s">
        <v>1465</v>
      </c>
      <c r="CB464" s="46" t="s">
        <v>1512</v>
      </c>
      <c r="CC464" s="45">
        <v>20000000</v>
      </c>
    </row>
    <row r="465" spans="1:81" s="52" customFormat="1" ht="132" customHeight="1" x14ac:dyDescent="0.25">
      <c r="A465" s="1">
        <v>6</v>
      </c>
      <c r="B465" s="13" t="s">
        <v>1751</v>
      </c>
      <c r="C465" s="572"/>
      <c r="D465" s="573"/>
      <c r="E465" s="10" t="s">
        <v>1454</v>
      </c>
      <c r="F465" s="13" t="s">
        <v>1455</v>
      </c>
      <c r="G465" s="572"/>
      <c r="H465" s="573"/>
      <c r="I465" s="10" t="s">
        <v>1508</v>
      </c>
      <c r="J465" s="13" t="s">
        <v>1882</v>
      </c>
      <c r="K465" s="572"/>
      <c r="L465" s="573"/>
      <c r="M465" s="10"/>
      <c r="N465" s="23" t="s">
        <v>1509</v>
      </c>
      <c r="O465" s="13" t="s">
        <v>1505</v>
      </c>
      <c r="P465" s="1" t="s">
        <v>1459</v>
      </c>
      <c r="Q465" s="26">
        <v>1.85</v>
      </c>
      <c r="R465" s="14"/>
      <c r="S465" s="13" t="s">
        <v>1510</v>
      </c>
      <c r="T465" s="13" t="s">
        <v>1513</v>
      </c>
      <c r="U465" s="10">
        <v>0</v>
      </c>
      <c r="V465" s="10">
        <v>46</v>
      </c>
      <c r="W465" s="10" t="s">
        <v>49</v>
      </c>
      <c r="X465" s="10"/>
      <c r="Y465" s="10"/>
      <c r="Z465" s="10"/>
      <c r="AA465" s="13">
        <v>10.16</v>
      </c>
      <c r="AB465" s="10" t="s">
        <v>1774</v>
      </c>
      <c r="AC465" s="157">
        <v>8</v>
      </c>
      <c r="AD465" s="156">
        <v>5</v>
      </c>
      <c r="AE465" s="156">
        <v>25</v>
      </c>
      <c r="AF465" s="156">
        <v>8</v>
      </c>
      <c r="AG465" s="377">
        <f t="shared" si="79"/>
        <v>46</v>
      </c>
      <c r="AH465" s="377" t="b">
        <f t="shared" si="75"/>
        <v>1</v>
      </c>
      <c r="AI465" s="10"/>
      <c r="AJ465" s="10">
        <v>4</v>
      </c>
      <c r="AK465" s="10">
        <v>8</v>
      </c>
      <c r="AL465" s="10">
        <v>8</v>
      </c>
      <c r="AM465" s="16">
        <f t="shared" si="76"/>
        <v>0.17391304347826086</v>
      </c>
      <c r="AN465" s="157">
        <v>8</v>
      </c>
      <c r="AO465" s="10"/>
      <c r="AP465" s="10">
        <v>4</v>
      </c>
      <c r="AQ465" s="10"/>
      <c r="AR465" s="10">
        <f t="shared" si="73"/>
        <v>8</v>
      </c>
      <c r="AS465" s="21">
        <f t="shared" si="74"/>
        <v>1</v>
      </c>
      <c r="AT465" s="1">
        <f t="shared" si="77"/>
        <v>9</v>
      </c>
      <c r="AU465" s="31"/>
      <c r="AV465" s="31"/>
      <c r="AW465" s="31"/>
      <c r="AX465" s="16">
        <f t="shared" si="72"/>
        <v>0.19565217391304349</v>
      </c>
      <c r="AY465" s="156">
        <v>5</v>
      </c>
      <c r="AZ465" s="76">
        <v>1</v>
      </c>
      <c r="BA465" s="31"/>
      <c r="BB465" s="31"/>
      <c r="BC465" s="31"/>
      <c r="BD465" s="16">
        <f t="shared" si="78"/>
        <v>0.2</v>
      </c>
      <c r="BE465" s="31"/>
      <c r="BF465" s="31"/>
      <c r="BG465" s="31"/>
      <c r="BH465" s="31"/>
      <c r="BI465" s="16"/>
      <c r="BJ465" s="16"/>
      <c r="BK465" s="31"/>
      <c r="BL465" s="31"/>
      <c r="BM465" s="31"/>
      <c r="BN465" s="31"/>
      <c r="BO465" s="16"/>
      <c r="BP465" s="31"/>
      <c r="BQ465" s="31"/>
      <c r="BR465" s="31"/>
      <c r="BS465" s="31"/>
      <c r="BT465" s="16"/>
      <c r="BU465" s="16"/>
      <c r="BV465" s="16"/>
      <c r="BW465" s="16"/>
      <c r="BX465" s="16"/>
      <c r="BY465" s="16"/>
      <c r="BZ465" s="16"/>
      <c r="CA465" s="10" t="s">
        <v>1465</v>
      </c>
      <c r="CB465" s="46" t="s">
        <v>1512</v>
      </c>
      <c r="CC465" s="45">
        <v>10000000</v>
      </c>
    </row>
    <row r="466" spans="1:81" s="52" customFormat="1" ht="92.25" customHeight="1" x14ac:dyDescent="0.25">
      <c r="A466" s="1">
        <v>6</v>
      </c>
      <c r="B466" s="13" t="s">
        <v>1751</v>
      </c>
      <c r="C466" s="572"/>
      <c r="D466" s="573"/>
      <c r="E466" s="10" t="s">
        <v>1454</v>
      </c>
      <c r="F466" s="13" t="s">
        <v>1455</v>
      </c>
      <c r="G466" s="572"/>
      <c r="H466" s="573"/>
      <c r="I466" s="10" t="s">
        <v>1508</v>
      </c>
      <c r="J466" s="13" t="s">
        <v>1882</v>
      </c>
      <c r="K466" s="572"/>
      <c r="L466" s="573"/>
      <c r="M466" s="10"/>
      <c r="N466" s="23" t="s">
        <v>1509</v>
      </c>
      <c r="O466" s="13" t="s">
        <v>1505</v>
      </c>
      <c r="P466" s="1" t="s">
        <v>1459</v>
      </c>
      <c r="Q466" s="26">
        <v>0.85</v>
      </c>
      <c r="R466" s="14"/>
      <c r="S466" s="13" t="s">
        <v>1510</v>
      </c>
      <c r="T466" s="13" t="s">
        <v>1514</v>
      </c>
      <c r="U466" s="10" t="s">
        <v>868</v>
      </c>
      <c r="V466" s="10">
        <v>2</v>
      </c>
      <c r="W466" s="10" t="s">
        <v>78</v>
      </c>
      <c r="X466" s="10"/>
      <c r="Y466" s="10"/>
      <c r="Z466" s="10"/>
      <c r="AA466" s="13">
        <v>10.16</v>
      </c>
      <c r="AB466" s="10" t="s">
        <v>1774</v>
      </c>
      <c r="AC466" s="157"/>
      <c r="AD466" s="156">
        <v>1</v>
      </c>
      <c r="AE466" s="156"/>
      <c r="AF466" s="156">
        <v>1</v>
      </c>
      <c r="AG466" s="377">
        <f t="shared" si="79"/>
        <v>2</v>
      </c>
      <c r="AH466" s="377" t="b">
        <f t="shared" si="75"/>
        <v>1</v>
      </c>
      <c r="AI466" s="10"/>
      <c r="AJ466" s="10"/>
      <c r="AK466" s="10"/>
      <c r="AL466" s="10"/>
      <c r="AM466" s="16">
        <f t="shared" si="76"/>
        <v>0</v>
      </c>
      <c r="AN466" s="157"/>
      <c r="AO466" s="10"/>
      <c r="AP466" s="10"/>
      <c r="AQ466" s="10"/>
      <c r="AR466" s="10"/>
      <c r="AS466" s="21" t="s">
        <v>310</v>
      </c>
      <c r="AT466" s="1">
        <f t="shared" si="77"/>
        <v>0</v>
      </c>
      <c r="AU466" s="31"/>
      <c r="AV466" s="31"/>
      <c r="AW466" s="31"/>
      <c r="AX466" s="16">
        <f t="shared" si="72"/>
        <v>0</v>
      </c>
      <c r="AY466" s="156">
        <v>1</v>
      </c>
      <c r="AZ466" s="76">
        <v>0</v>
      </c>
      <c r="BA466" s="31"/>
      <c r="BB466" s="31"/>
      <c r="BC466" s="31"/>
      <c r="BD466" s="16">
        <f t="shared" si="78"/>
        <v>0</v>
      </c>
      <c r="BE466" s="31"/>
      <c r="BF466" s="31"/>
      <c r="BG466" s="31"/>
      <c r="BH466" s="31"/>
      <c r="BI466" s="16"/>
      <c r="BJ466" s="16"/>
      <c r="BK466" s="31"/>
      <c r="BL466" s="31"/>
      <c r="BM466" s="31"/>
      <c r="BN466" s="31"/>
      <c r="BO466" s="16"/>
      <c r="BP466" s="31"/>
      <c r="BQ466" s="31"/>
      <c r="BR466" s="31"/>
      <c r="BS466" s="31"/>
      <c r="BT466" s="16"/>
      <c r="BU466" s="16"/>
      <c r="BV466" s="16"/>
      <c r="BW466" s="16"/>
      <c r="BX466" s="16"/>
      <c r="BY466" s="16"/>
      <c r="BZ466" s="16"/>
      <c r="CA466" s="45"/>
      <c r="CB466" s="10"/>
      <c r="CC466" s="45"/>
    </row>
    <row r="467" spans="1:81" s="52" customFormat="1" ht="132" customHeight="1" x14ac:dyDescent="0.25">
      <c r="A467" s="1">
        <v>6</v>
      </c>
      <c r="B467" s="13" t="s">
        <v>1751</v>
      </c>
      <c r="C467" s="572"/>
      <c r="D467" s="573"/>
      <c r="E467" s="10" t="s">
        <v>1454</v>
      </c>
      <c r="F467" s="13" t="s">
        <v>1455</v>
      </c>
      <c r="G467" s="572"/>
      <c r="H467" s="573"/>
      <c r="I467" s="10" t="s">
        <v>1508</v>
      </c>
      <c r="J467" s="13" t="s">
        <v>1882</v>
      </c>
      <c r="K467" s="572"/>
      <c r="L467" s="573"/>
      <c r="M467" s="10"/>
      <c r="N467" s="23" t="s">
        <v>1509</v>
      </c>
      <c r="O467" s="13" t="s">
        <v>1505</v>
      </c>
      <c r="P467" s="1" t="s">
        <v>1459</v>
      </c>
      <c r="Q467" s="26">
        <v>0.85</v>
      </c>
      <c r="R467" s="14"/>
      <c r="S467" s="13" t="s">
        <v>1510</v>
      </c>
      <c r="T467" s="13" t="s">
        <v>1515</v>
      </c>
      <c r="U467" s="10">
        <v>1</v>
      </c>
      <c r="V467" s="10">
        <v>4</v>
      </c>
      <c r="W467" s="10" t="s">
        <v>78</v>
      </c>
      <c r="X467" s="10"/>
      <c r="Y467" s="10"/>
      <c r="Z467" s="10"/>
      <c r="AA467" s="13">
        <v>10.16</v>
      </c>
      <c r="AB467" s="10" t="s">
        <v>1774</v>
      </c>
      <c r="AC467" s="157">
        <v>1</v>
      </c>
      <c r="AD467" s="156">
        <v>1</v>
      </c>
      <c r="AE467" s="156">
        <v>1</v>
      </c>
      <c r="AF467" s="156">
        <v>1</v>
      </c>
      <c r="AG467" s="377">
        <f t="shared" si="79"/>
        <v>4</v>
      </c>
      <c r="AH467" s="377" t="b">
        <f t="shared" si="75"/>
        <v>1</v>
      </c>
      <c r="AI467" s="10"/>
      <c r="AJ467" s="10"/>
      <c r="AK467" s="10">
        <v>1</v>
      </c>
      <c r="AL467" s="10">
        <v>1</v>
      </c>
      <c r="AM467" s="16">
        <f t="shared" si="76"/>
        <v>0.25</v>
      </c>
      <c r="AN467" s="157">
        <v>1</v>
      </c>
      <c r="AO467" s="10"/>
      <c r="AP467" s="10"/>
      <c r="AQ467" s="10"/>
      <c r="AR467" s="10">
        <f>AL467</f>
        <v>1</v>
      </c>
      <c r="AS467" s="21">
        <f>IFERROR(+AR467/AN467,0)</f>
        <v>1</v>
      </c>
      <c r="AT467" s="1">
        <f t="shared" si="77"/>
        <v>0.25</v>
      </c>
      <c r="AU467" s="31"/>
      <c r="AV467" s="31"/>
      <c r="AW467" s="31"/>
      <c r="AX467" s="16">
        <f t="shared" si="72"/>
        <v>6.25E-2</v>
      </c>
      <c r="AY467" s="156">
        <v>1</v>
      </c>
      <c r="AZ467" s="76">
        <v>0</v>
      </c>
      <c r="BA467" s="31"/>
      <c r="BB467" s="31"/>
      <c r="BC467" s="31"/>
      <c r="BD467" s="16">
        <f t="shared" si="78"/>
        <v>0</v>
      </c>
      <c r="BE467" s="31"/>
      <c r="BF467" s="31"/>
      <c r="BG467" s="31"/>
      <c r="BH467" s="31"/>
      <c r="BI467" s="16"/>
      <c r="BJ467" s="16"/>
      <c r="BK467" s="31"/>
      <c r="BL467" s="31"/>
      <c r="BM467" s="31"/>
      <c r="BN467" s="31"/>
      <c r="BO467" s="16"/>
      <c r="BP467" s="31"/>
      <c r="BQ467" s="31"/>
      <c r="BR467" s="31"/>
      <c r="BS467" s="31"/>
      <c r="BT467" s="16"/>
      <c r="BU467" s="16"/>
      <c r="BV467" s="16"/>
      <c r="BW467" s="16"/>
      <c r="BX467" s="16"/>
      <c r="BY467" s="16"/>
      <c r="BZ467" s="16"/>
      <c r="CA467" s="10" t="s">
        <v>1465</v>
      </c>
      <c r="CB467" s="46" t="s">
        <v>1512</v>
      </c>
      <c r="CC467" s="45">
        <v>30000000</v>
      </c>
    </row>
    <row r="468" spans="1:81" s="52" customFormat="1" ht="129.75" customHeight="1" x14ac:dyDescent="0.25">
      <c r="A468" s="1">
        <v>6</v>
      </c>
      <c r="B468" s="13" t="s">
        <v>1751</v>
      </c>
      <c r="C468" s="572"/>
      <c r="D468" s="573"/>
      <c r="E468" s="10" t="s">
        <v>1454</v>
      </c>
      <c r="F468" s="13" t="s">
        <v>1455</v>
      </c>
      <c r="G468" s="572"/>
      <c r="H468" s="573"/>
      <c r="I468" s="10" t="s">
        <v>1508</v>
      </c>
      <c r="J468" s="13" t="s">
        <v>1882</v>
      </c>
      <c r="K468" s="568"/>
      <c r="L468" s="570"/>
      <c r="M468" s="10"/>
      <c r="N468" s="23" t="s">
        <v>1509</v>
      </c>
      <c r="O468" s="13" t="s">
        <v>1505</v>
      </c>
      <c r="P468" s="1" t="s">
        <v>1459</v>
      </c>
      <c r="Q468" s="26">
        <v>0.85</v>
      </c>
      <c r="R468" s="14"/>
      <c r="S468" s="13" t="s">
        <v>1510</v>
      </c>
      <c r="T468" s="13" t="s">
        <v>1516</v>
      </c>
      <c r="U468" s="10">
        <v>8</v>
      </c>
      <c r="V468" s="10">
        <v>64</v>
      </c>
      <c r="W468" s="10" t="s">
        <v>78</v>
      </c>
      <c r="X468" s="10"/>
      <c r="Y468" s="10"/>
      <c r="Z468" s="10"/>
      <c r="AA468" s="13">
        <v>10.16</v>
      </c>
      <c r="AB468" s="10" t="s">
        <v>1774</v>
      </c>
      <c r="AC468" s="157">
        <v>16</v>
      </c>
      <c r="AD468" s="156">
        <v>16</v>
      </c>
      <c r="AE468" s="156">
        <v>16</v>
      </c>
      <c r="AF468" s="156">
        <v>16</v>
      </c>
      <c r="AG468" s="377">
        <f t="shared" si="79"/>
        <v>64</v>
      </c>
      <c r="AH468" s="377" t="b">
        <f t="shared" si="75"/>
        <v>1</v>
      </c>
      <c r="AI468" s="10"/>
      <c r="AJ468" s="10">
        <v>10</v>
      </c>
      <c r="AK468" s="10">
        <v>16</v>
      </c>
      <c r="AL468" s="10">
        <v>16</v>
      </c>
      <c r="AM468" s="16">
        <f t="shared" si="76"/>
        <v>0.25</v>
      </c>
      <c r="AN468" s="157">
        <v>16</v>
      </c>
      <c r="AO468" s="10"/>
      <c r="AP468" s="10">
        <v>10</v>
      </c>
      <c r="AQ468" s="10"/>
      <c r="AR468" s="10">
        <f>AL468</f>
        <v>16</v>
      </c>
      <c r="AS468" s="21">
        <f>IFERROR(+AR468/AN468,0)</f>
        <v>1</v>
      </c>
      <c r="AT468" s="1">
        <f t="shared" si="77"/>
        <v>4.5</v>
      </c>
      <c r="AU468" s="31"/>
      <c r="AV468" s="31"/>
      <c r="AW468" s="31"/>
      <c r="AX468" s="16">
        <f t="shared" si="72"/>
        <v>7.03125E-2</v>
      </c>
      <c r="AY468" s="156">
        <v>16</v>
      </c>
      <c r="AZ468" s="76">
        <v>2</v>
      </c>
      <c r="BA468" s="31"/>
      <c r="BB468" s="31"/>
      <c r="BC468" s="31"/>
      <c r="BD468" s="16">
        <f t="shared" si="78"/>
        <v>0.125</v>
      </c>
      <c r="BE468" s="31"/>
      <c r="BF468" s="31"/>
      <c r="BG468" s="31"/>
      <c r="BH468" s="31"/>
      <c r="BI468" s="16"/>
      <c r="BJ468" s="16"/>
      <c r="BK468" s="31"/>
      <c r="BL468" s="31"/>
      <c r="BM468" s="31"/>
      <c r="BN468" s="31"/>
      <c r="BO468" s="16"/>
      <c r="BP468" s="31"/>
      <c r="BQ468" s="31"/>
      <c r="BR468" s="31"/>
      <c r="BS468" s="31"/>
      <c r="BT468" s="16"/>
      <c r="BU468" s="16"/>
      <c r="BV468" s="16"/>
      <c r="BW468" s="16"/>
      <c r="BX468" s="16"/>
      <c r="BY468" s="16"/>
      <c r="BZ468" s="16"/>
      <c r="CA468" s="10" t="s">
        <v>1465</v>
      </c>
      <c r="CB468" s="46" t="s">
        <v>1512</v>
      </c>
      <c r="CC468" s="45">
        <v>420000000</v>
      </c>
    </row>
    <row r="469" spans="1:81" s="52" customFormat="1" ht="93.75" customHeight="1" x14ac:dyDescent="0.25">
      <c r="A469" s="1">
        <v>6</v>
      </c>
      <c r="B469" s="13" t="s">
        <v>1751</v>
      </c>
      <c r="C469" s="572"/>
      <c r="D469" s="573"/>
      <c r="E469" s="10" t="s">
        <v>1454</v>
      </c>
      <c r="F469" s="13" t="s">
        <v>1455</v>
      </c>
      <c r="G469" s="572"/>
      <c r="H469" s="573"/>
      <c r="I469" s="10" t="s">
        <v>1517</v>
      </c>
      <c r="J469" s="13" t="s">
        <v>1883</v>
      </c>
      <c r="K469" s="567">
        <f>AVERAGE(AX469:AX479)</f>
        <v>0.35759313766714318</v>
      </c>
      <c r="L469" s="569">
        <f>AVERAGE(BD469:BD479)</f>
        <v>0.21224489795918369</v>
      </c>
      <c r="M469" s="23"/>
      <c r="N469" s="23" t="s">
        <v>1518</v>
      </c>
      <c r="O469" s="13" t="s">
        <v>1231</v>
      </c>
      <c r="P469" s="1" t="s">
        <v>868</v>
      </c>
      <c r="Q469" s="1">
        <v>1</v>
      </c>
      <c r="R469" s="24"/>
      <c r="S469" s="13" t="s">
        <v>1519</v>
      </c>
      <c r="T469" s="13" t="s">
        <v>1520</v>
      </c>
      <c r="U469" s="1" t="s">
        <v>868</v>
      </c>
      <c r="V469" s="1">
        <v>1</v>
      </c>
      <c r="W469" s="1" t="s">
        <v>971</v>
      </c>
      <c r="X469" s="1"/>
      <c r="Y469" s="1"/>
      <c r="Z469" s="1"/>
      <c r="AA469" s="13">
        <v>16</v>
      </c>
      <c r="AB469" s="10" t="s">
        <v>1774</v>
      </c>
      <c r="AC469" s="156"/>
      <c r="AD469" s="156">
        <v>1</v>
      </c>
      <c r="AE469" s="156"/>
      <c r="AF469" s="156"/>
      <c r="AG469" s="377">
        <f t="shared" si="79"/>
        <v>1</v>
      </c>
      <c r="AH469" s="377" t="b">
        <f t="shared" si="75"/>
        <v>1</v>
      </c>
      <c r="AI469" s="1"/>
      <c r="AJ469" s="1"/>
      <c r="AK469" s="1"/>
      <c r="AL469" s="1"/>
      <c r="AM469" s="16">
        <f t="shared" si="76"/>
        <v>0</v>
      </c>
      <c r="AN469" s="156"/>
      <c r="AO469" s="1"/>
      <c r="AP469" s="1"/>
      <c r="AQ469" s="1"/>
      <c r="AR469" s="1"/>
      <c r="AS469" s="21" t="s">
        <v>310</v>
      </c>
      <c r="AT469" s="1">
        <f t="shared" si="77"/>
        <v>0</v>
      </c>
      <c r="AU469" s="31"/>
      <c r="AV469" s="31"/>
      <c r="AW469" s="31"/>
      <c r="AX469" s="16">
        <f t="shared" si="72"/>
        <v>0</v>
      </c>
      <c r="AY469" s="156">
        <v>1</v>
      </c>
      <c r="AZ469" s="76">
        <v>0</v>
      </c>
      <c r="BA469" s="31"/>
      <c r="BB469" s="31"/>
      <c r="BC469" s="31"/>
      <c r="BD469" s="16">
        <f t="shared" si="78"/>
        <v>0</v>
      </c>
      <c r="BE469" s="31"/>
      <c r="BF469" s="31"/>
      <c r="BG469" s="31"/>
      <c r="BH469" s="31"/>
      <c r="BI469" s="16"/>
      <c r="BJ469" s="16"/>
      <c r="BK469" s="31"/>
      <c r="BL469" s="31"/>
      <c r="BM469" s="31"/>
      <c r="BN469" s="31"/>
      <c r="BO469" s="16"/>
      <c r="BP469" s="31"/>
      <c r="BQ469" s="31"/>
      <c r="BR469" s="31"/>
      <c r="BS469" s="31"/>
      <c r="BT469" s="16"/>
      <c r="BU469" s="16"/>
      <c r="BV469" s="16"/>
      <c r="BW469" s="16"/>
      <c r="BX469" s="16"/>
      <c r="BY469" s="16"/>
      <c r="BZ469" s="16"/>
      <c r="CA469" s="10"/>
      <c r="CB469" s="46"/>
      <c r="CC469" s="48"/>
    </row>
    <row r="470" spans="1:81" s="52" customFormat="1" ht="132.6" customHeight="1" x14ac:dyDescent="0.25">
      <c r="A470" s="1">
        <v>6</v>
      </c>
      <c r="B470" s="13" t="s">
        <v>1751</v>
      </c>
      <c r="C470" s="572"/>
      <c r="D470" s="573"/>
      <c r="E470" s="10" t="s">
        <v>1454</v>
      </c>
      <c r="F470" s="13" t="s">
        <v>1455</v>
      </c>
      <c r="G470" s="572"/>
      <c r="H470" s="573"/>
      <c r="I470" s="10" t="s">
        <v>1517</v>
      </c>
      <c r="J470" s="13" t="s">
        <v>1883</v>
      </c>
      <c r="K470" s="572"/>
      <c r="L470" s="573"/>
      <c r="M470" s="23"/>
      <c r="N470" s="23" t="s">
        <v>1518</v>
      </c>
      <c r="O470" s="13" t="s">
        <v>1231</v>
      </c>
      <c r="P470" s="1" t="s">
        <v>868</v>
      </c>
      <c r="Q470" s="1">
        <v>1</v>
      </c>
      <c r="R470" s="24"/>
      <c r="S470" s="13" t="s">
        <v>1521</v>
      </c>
      <c r="T470" s="13" t="s">
        <v>1522</v>
      </c>
      <c r="U470" s="1" t="s">
        <v>868</v>
      </c>
      <c r="V470" s="1">
        <v>47</v>
      </c>
      <c r="W470" s="1" t="s">
        <v>971</v>
      </c>
      <c r="X470" s="1"/>
      <c r="Y470" s="1"/>
      <c r="Z470" s="1"/>
      <c r="AA470" s="13">
        <v>16</v>
      </c>
      <c r="AB470" s="10" t="s">
        <v>1774</v>
      </c>
      <c r="AC470" s="156">
        <v>10</v>
      </c>
      <c r="AD470" s="156">
        <v>10</v>
      </c>
      <c r="AE470" s="156">
        <v>17</v>
      </c>
      <c r="AF470" s="156">
        <v>10</v>
      </c>
      <c r="AG470" s="377">
        <f t="shared" si="79"/>
        <v>47</v>
      </c>
      <c r="AH470" s="377" t="b">
        <f t="shared" si="75"/>
        <v>1</v>
      </c>
      <c r="AI470" s="1"/>
      <c r="AJ470" s="1">
        <v>7</v>
      </c>
      <c r="AK470" s="1">
        <v>10</v>
      </c>
      <c r="AL470" s="1">
        <v>10</v>
      </c>
      <c r="AM470" s="16">
        <f t="shared" si="76"/>
        <v>0.21276595744680851</v>
      </c>
      <c r="AN470" s="156">
        <v>10</v>
      </c>
      <c r="AO470" s="1"/>
      <c r="AP470" s="1">
        <v>7</v>
      </c>
      <c r="AQ470" s="1"/>
      <c r="AR470" s="10">
        <f t="shared" ref="AR470:AR487" si="80">AL470</f>
        <v>10</v>
      </c>
      <c r="AS470" s="21">
        <f t="shared" ref="AS470:AS487" si="81">IFERROR(+AR470/AN470,0)</f>
        <v>1</v>
      </c>
      <c r="AT470" s="1">
        <f t="shared" si="77"/>
        <v>14</v>
      </c>
      <c r="AU470" s="31"/>
      <c r="AV470" s="31"/>
      <c r="AW470" s="31"/>
      <c r="AX470" s="16">
        <f t="shared" si="72"/>
        <v>0.2978723404255319</v>
      </c>
      <c r="AY470" s="156">
        <v>10</v>
      </c>
      <c r="AZ470" s="76">
        <v>4</v>
      </c>
      <c r="BA470" s="31"/>
      <c r="BB470" s="31"/>
      <c r="BC470" s="31"/>
      <c r="BD470" s="16">
        <f t="shared" si="78"/>
        <v>0.4</v>
      </c>
      <c r="BE470" s="31"/>
      <c r="BF470" s="31"/>
      <c r="BG470" s="31"/>
      <c r="BH470" s="31"/>
      <c r="BI470" s="16"/>
      <c r="BJ470" s="16"/>
      <c r="BK470" s="31"/>
      <c r="BL470" s="31"/>
      <c r="BM470" s="31"/>
      <c r="BN470" s="31"/>
      <c r="BO470" s="16"/>
      <c r="BP470" s="31"/>
      <c r="BQ470" s="31"/>
      <c r="BR470" s="31"/>
      <c r="BS470" s="31"/>
      <c r="BT470" s="16"/>
      <c r="BU470" s="16"/>
      <c r="BV470" s="16"/>
      <c r="BW470" s="16"/>
      <c r="BX470" s="16"/>
      <c r="BY470" s="16"/>
      <c r="BZ470" s="16"/>
      <c r="CA470" s="10" t="s">
        <v>1465</v>
      </c>
      <c r="CB470" s="46" t="s">
        <v>1523</v>
      </c>
      <c r="CC470" s="48">
        <v>25000000</v>
      </c>
    </row>
    <row r="471" spans="1:81" s="52" customFormat="1" ht="47.25" x14ac:dyDescent="0.25">
      <c r="A471" s="1">
        <v>6</v>
      </c>
      <c r="B471" s="13" t="s">
        <v>1751</v>
      </c>
      <c r="C471" s="572"/>
      <c r="D471" s="573"/>
      <c r="E471" s="10" t="s">
        <v>1454</v>
      </c>
      <c r="F471" s="13" t="s">
        <v>1455</v>
      </c>
      <c r="G471" s="572"/>
      <c r="H471" s="573"/>
      <c r="I471" s="10" t="s">
        <v>1517</v>
      </c>
      <c r="J471" s="13" t="s">
        <v>1883</v>
      </c>
      <c r="K471" s="572"/>
      <c r="L471" s="573"/>
      <c r="M471" s="23"/>
      <c r="N471" s="23" t="s">
        <v>1518</v>
      </c>
      <c r="O471" s="13" t="s">
        <v>1231</v>
      </c>
      <c r="P471" s="1" t="s">
        <v>868</v>
      </c>
      <c r="Q471" s="1">
        <v>1</v>
      </c>
      <c r="R471" s="24"/>
      <c r="S471" s="13" t="s">
        <v>1524</v>
      </c>
      <c r="T471" s="13" t="s">
        <v>1525</v>
      </c>
      <c r="U471" s="1" t="s">
        <v>868</v>
      </c>
      <c r="V471" s="1">
        <v>46</v>
      </c>
      <c r="W471" s="1" t="s">
        <v>971</v>
      </c>
      <c r="X471" s="1"/>
      <c r="Y471" s="1"/>
      <c r="Z471" s="1"/>
      <c r="AA471" s="13">
        <v>16</v>
      </c>
      <c r="AB471" s="10" t="s">
        <v>1774</v>
      </c>
      <c r="AC471" s="156">
        <v>10</v>
      </c>
      <c r="AD471" s="156">
        <v>10</v>
      </c>
      <c r="AE471" s="156">
        <v>10</v>
      </c>
      <c r="AF471" s="156">
        <v>16</v>
      </c>
      <c r="AG471" s="377">
        <f t="shared" si="79"/>
        <v>46</v>
      </c>
      <c r="AH471" s="377" t="b">
        <f t="shared" si="75"/>
        <v>1</v>
      </c>
      <c r="AI471" s="1"/>
      <c r="AJ471" s="1">
        <v>2</v>
      </c>
      <c r="AK471" s="1">
        <v>10</v>
      </c>
      <c r="AL471" s="1">
        <v>10</v>
      </c>
      <c r="AM471" s="16">
        <f t="shared" si="76"/>
        <v>0.21739130434782608</v>
      </c>
      <c r="AN471" s="156">
        <v>10</v>
      </c>
      <c r="AO471" s="1"/>
      <c r="AP471" s="1">
        <v>2</v>
      </c>
      <c r="AQ471" s="1"/>
      <c r="AR471" s="10">
        <f t="shared" si="80"/>
        <v>10</v>
      </c>
      <c r="AS471" s="21">
        <f t="shared" si="81"/>
        <v>1</v>
      </c>
      <c r="AT471" s="1">
        <f t="shared" si="77"/>
        <v>10</v>
      </c>
      <c r="AU471" s="31"/>
      <c r="AV471" s="31"/>
      <c r="AW471" s="31"/>
      <c r="AX471" s="16">
        <f t="shared" si="72"/>
        <v>0.21739130434782608</v>
      </c>
      <c r="AY471" s="156">
        <v>10</v>
      </c>
      <c r="AZ471" s="76">
        <v>0</v>
      </c>
      <c r="BA471" s="31"/>
      <c r="BB471" s="31"/>
      <c r="BC471" s="31"/>
      <c r="BD471" s="16">
        <f t="shared" si="78"/>
        <v>0</v>
      </c>
      <c r="BE471" s="31"/>
      <c r="BF471" s="31"/>
      <c r="BG471" s="31"/>
      <c r="BH471" s="31"/>
      <c r="BI471" s="16"/>
      <c r="BJ471" s="16"/>
      <c r="BK471" s="31"/>
      <c r="BL471" s="31"/>
      <c r="BM471" s="31"/>
      <c r="BN471" s="31"/>
      <c r="BO471" s="16"/>
      <c r="BP471" s="31"/>
      <c r="BQ471" s="31"/>
      <c r="BR471" s="31"/>
      <c r="BS471" s="31"/>
      <c r="BT471" s="16"/>
      <c r="BU471" s="16"/>
      <c r="BV471" s="16"/>
      <c r="BW471" s="16"/>
      <c r="BX471" s="16"/>
      <c r="BY471" s="16"/>
      <c r="BZ471" s="16"/>
      <c r="CA471" s="10"/>
      <c r="CB471" s="49"/>
      <c r="CC471" s="48"/>
    </row>
    <row r="472" spans="1:81" s="52" customFormat="1" ht="109.5" customHeight="1" x14ac:dyDescent="0.25">
      <c r="A472" s="1">
        <v>6</v>
      </c>
      <c r="B472" s="13" t="s">
        <v>1751</v>
      </c>
      <c r="C472" s="572"/>
      <c r="D472" s="573"/>
      <c r="E472" s="10" t="s">
        <v>1454</v>
      </c>
      <c r="F472" s="13" t="s">
        <v>1455</v>
      </c>
      <c r="G472" s="572"/>
      <c r="H472" s="573"/>
      <c r="I472" s="10" t="s">
        <v>1517</v>
      </c>
      <c r="J472" s="13" t="s">
        <v>1883</v>
      </c>
      <c r="K472" s="572"/>
      <c r="L472" s="573"/>
      <c r="M472" s="23"/>
      <c r="N472" s="23" t="s">
        <v>1518</v>
      </c>
      <c r="O472" s="13" t="s">
        <v>1231</v>
      </c>
      <c r="P472" s="1" t="s">
        <v>868</v>
      </c>
      <c r="Q472" s="1">
        <v>1</v>
      </c>
      <c r="R472" s="24"/>
      <c r="S472" s="13" t="s">
        <v>1526</v>
      </c>
      <c r="T472" s="13" t="s">
        <v>1527</v>
      </c>
      <c r="U472" s="1" t="s">
        <v>868</v>
      </c>
      <c r="V472" s="1">
        <v>46</v>
      </c>
      <c r="W472" s="1" t="s">
        <v>971</v>
      </c>
      <c r="X472" s="1"/>
      <c r="Y472" s="1"/>
      <c r="Z472" s="1"/>
      <c r="AA472" s="13">
        <v>16</v>
      </c>
      <c r="AB472" s="10" t="s">
        <v>1774</v>
      </c>
      <c r="AC472" s="156">
        <v>10</v>
      </c>
      <c r="AD472" s="156">
        <v>10</v>
      </c>
      <c r="AE472" s="371">
        <v>18</v>
      </c>
      <c r="AF472" s="371">
        <v>8</v>
      </c>
      <c r="AG472" s="377">
        <f t="shared" si="79"/>
        <v>46</v>
      </c>
      <c r="AH472" s="377" t="b">
        <f t="shared" si="75"/>
        <v>1</v>
      </c>
      <c r="AI472" s="1"/>
      <c r="AJ472" s="1">
        <v>7</v>
      </c>
      <c r="AK472" s="1">
        <v>10</v>
      </c>
      <c r="AL472" s="1">
        <v>10</v>
      </c>
      <c r="AM472" s="16">
        <f t="shared" si="76"/>
        <v>0.21739130434782608</v>
      </c>
      <c r="AN472" s="156">
        <v>10</v>
      </c>
      <c r="AO472" s="1"/>
      <c r="AP472" s="1">
        <v>7</v>
      </c>
      <c r="AQ472" s="1"/>
      <c r="AR472" s="10">
        <f t="shared" si="80"/>
        <v>10</v>
      </c>
      <c r="AS472" s="21">
        <f t="shared" si="81"/>
        <v>1</v>
      </c>
      <c r="AT472" s="1">
        <f t="shared" si="77"/>
        <v>12</v>
      </c>
      <c r="AU472" s="31"/>
      <c r="AV472" s="31"/>
      <c r="AW472" s="31"/>
      <c r="AX472" s="16">
        <f t="shared" si="72"/>
        <v>0.2608695652173913</v>
      </c>
      <c r="AY472" s="156">
        <v>10</v>
      </c>
      <c r="AZ472" s="76">
        <v>2</v>
      </c>
      <c r="BA472" s="31"/>
      <c r="BB472" s="31"/>
      <c r="BC472" s="31"/>
      <c r="BD472" s="16">
        <f t="shared" si="78"/>
        <v>0.2</v>
      </c>
      <c r="BE472" s="31"/>
      <c r="BF472" s="31"/>
      <c r="BG472" s="31"/>
      <c r="BH472" s="31"/>
      <c r="BI472" s="16"/>
      <c r="BJ472" s="16"/>
      <c r="BK472" s="31"/>
      <c r="BL472" s="31"/>
      <c r="BM472" s="31"/>
      <c r="BN472" s="31"/>
      <c r="BO472" s="16"/>
      <c r="BP472" s="31"/>
      <c r="BQ472" s="31"/>
      <c r="BR472" s="31"/>
      <c r="BS472" s="31"/>
      <c r="BT472" s="16"/>
      <c r="BU472" s="16"/>
      <c r="BV472" s="16"/>
      <c r="BW472" s="16"/>
      <c r="BX472" s="16"/>
      <c r="BY472" s="16"/>
      <c r="BZ472" s="16"/>
      <c r="CA472" s="10"/>
      <c r="CB472" s="46"/>
      <c r="CC472" s="48"/>
    </row>
    <row r="473" spans="1:81" s="52" customFormat="1" ht="63" x14ac:dyDescent="0.25">
      <c r="A473" s="1">
        <v>6</v>
      </c>
      <c r="B473" s="13" t="s">
        <v>1751</v>
      </c>
      <c r="C473" s="572"/>
      <c r="D473" s="573"/>
      <c r="E473" s="10" t="s">
        <v>1454</v>
      </c>
      <c r="F473" s="13" t="s">
        <v>1455</v>
      </c>
      <c r="G473" s="572"/>
      <c r="H473" s="573"/>
      <c r="I473" s="10" t="s">
        <v>1517</v>
      </c>
      <c r="J473" s="13" t="s">
        <v>1883</v>
      </c>
      <c r="K473" s="572"/>
      <c r="L473" s="573"/>
      <c r="M473" s="23"/>
      <c r="N473" s="23" t="s">
        <v>1518</v>
      </c>
      <c r="O473" s="13" t="s">
        <v>1231</v>
      </c>
      <c r="P473" s="1" t="s">
        <v>868</v>
      </c>
      <c r="Q473" s="1">
        <v>1</v>
      </c>
      <c r="R473" s="24"/>
      <c r="S473" s="13" t="s">
        <v>1528</v>
      </c>
      <c r="T473" s="13" t="s">
        <v>1529</v>
      </c>
      <c r="U473" s="1" t="s">
        <v>868</v>
      </c>
      <c r="V473" s="1">
        <v>46</v>
      </c>
      <c r="W473" s="1" t="s">
        <v>49</v>
      </c>
      <c r="X473" s="1"/>
      <c r="Y473" s="1"/>
      <c r="Z473" s="1"/>
      <c r="AA473" s="13">
        <v>16</v>
      </c>
      <c r="AB473" s="10" t="s">
        <v>1774</v>
      </c>
      <c r="AC473" s="156">
        <v>10</v>
      </c>
      <c r="AD473" s="156">
        <v>10</v>
      </c>
      <c r="AE473" s="371">
        <v>18</v>
      </c>
      <c r="AF473" s="371">
        <v>8</v>
      </c>
      <c r="AG473" s="377">
        <f t="shared" si="79"/>
        <v>46</v>
      </c>
      <c r="AH473" s="377" t="b">
        <f t="shared" si="75"/>
        <v>1</v>
      </c>
      <c r="AI473" s="1"/>
      <c r="AJ473" s="1">
        <v>5</v>
      </c>
      <c r="AK473" s="1">
        <v>10</v>
      </c>
      <c r="AL473" s="1">
        <v>10</v>
      </c>
      <c r="AM473" s="16">
        <f t="shared" si="76"/>
        <v>0.21739130434782608</v>
      </c>
      <c r="AN473" s="156">
        <v>10</v>
      </c>
      <c r="AO473" s="1"/>
      <c r="AP473" s="1">
        <v>5</v>
      </c>
      <c r="AQ473" s="1"/>
      <c r="AR473" s="10">
        <f t="shared" si="80"/>
        <v>10</v>
      </c>
      <c r="AS473" s="21">
        <f t="shared" si="81"/>
        <v>1</v>
      </c>
      <c r="AT473" s="1">
        <f t="shared" si="77"/>
        <v>10</v>
      </c>
      <c r="AU473" s="31"/>
      <c r="AV473" s="31"/>
      <c r="AW473" s="31"/>
      <c r="AX473" s="16">
        <f t="shared" si="72"/>
        <v>0.21739130434782608</v>
      </c>
      <c r="AY473" s="156">
        <v>10</v>
      </c>
      <c r="AZ473" s="76">
        <v>0</v>
      </c>
      <c r="BA473" s="31"/>
      <c r="BB473" s="31"/>
      <c r="BC473" s="31"/>
      <c r="BD473" s="16">
        <f t="shared" si="78"/>
        <v>0</v>
      </c>
      <c r="BE473" s="31"/>
      <c r="BF473" s="31"/>
      <c r="BG473" s="31"/>
      <c r="BH473" s="31"/>
      <c r="BI473" s="16"/>
      <c r="BJ473" s="16"/>
      <c r="BK473" s="31"/>
      <c r="BL473" s="31"/>
      <c r="BM473" s="31"/>
      <c r="BN473" s="31"/>
      <c r="BO473" s="16"/>
      <c r="BP473" s="31"/>
      <c r="BQ473" s="31"/>
      <c r="BR473" s="31"/>
      <c r="BS473" s="31"/>
      <c r="BT473" s="16"/>
      <c r="BU473" s="16"/>
      <c r="BV473" s="16"/>
      <c r="BW473" s="16"/>
      <c r="BX473" s="16"/>
      <c r="BY473" s="16"/>
      <c r="BZ473" s="16"/>
      <c r="CA473" s="10"/>
      <c r="CB473" s="46"/>
      <c r="CC473" s="48"/>
    </row>
    <row r="474" spans="1:81" s="52" customFormat="1" ht="47.25" x14ac:dyDescent="0.25">
      <c r="A474" s="1">
        <v>6</v>
      </c>
      <c r="B474" s="13" t="s">
        <v>1751</v>
      </c>
      <c r="C474" s="572"/>
      <c r="D474" s="573"/>
      <c r="E474" s="10" t="s">
        <v>1454</v>
      </c>
      <c r="F474" s="13" t="s">
        <v>1455</v>
      </c>
      <c r="G474" s="572"/>
      <c r="H474" s="573"/>
      <c r="I474" s="10" t="s">
        <v>1517</v>
      </c>
      <c r="J474" s="13" t="s">
        <v>1883</v>
      </c>
      <c r="K474" s="572"/>
      <c r="L474" s="573"/>
      <c r="M474" s="23"/>
      <c r="N474" s="23" t="s">
        <v>1518</v>
      </c>
      <c r="O474" s="13" t="s">
        <v>1231</v>
      </c>
      <c r="P474" s="1" t="s">
        <v>868</v>
      </c>
      <c r="Q474" s="1">
        <v>1</v>
      </c>
      <c r="R474" s="24"/>
      <c r="S474" s="13" t="s">
        <v>1530</v>
      </c>
      <c r="T474" s="13" t="s">
        <v>1531</v>
      </c>
      <c r="U474" s="1">
        <v>1</v>
      </c>
      <c r="V474" s="1">
        <v>1</v>
      </c>
      <c r="W474" s="10" t="s">
        <v>78</v>
      </c>
      <c r="X474" s="1"/>
      <c r="Y474" s="1"/>
      <c r="Z474" s="1"/>
      <c r="AA474" s="13">
        <v>16</v>
      </c>
      <c r="AB474" s="10" t="s">
        <v>1774</v>
      </c>
      <c r="AC474" s="157">
        <v>1</v>
      </c>
      <c r="AD474" s="156"/>
      <c r="AE474" s="156"/>
      <c r="AF474" s="156"/>
      <c r="AG474" s="377">
        <f t="shared" si="79"/>
        <v>1</v>
      </c>
      <c r="AH474" s="377" t="b">
        <f t="shared" si="75"/>
        <v>1</v>
      </c>
      <c r="AI474" s="1"/>
      <c r="AJ474" s="1">
        <v>1</v>
      </c>
      <c r="AK474" s="1">
        <v>1</v>
      </c>
      <c r="AL474" s="1">
        <v>1</v>
      </c>
      <c r="AM474" s="16">
        <f t="shared" si="76"/>
        <v>1</v>
      </c>
      <c r="AN474" s="157">
        <v>1</v>
      </c>
      <c r="AO474" s="10"/>
      <c r="AP474" s="10">
        <v>1</v>
      </c>
      <c r="AQ474" s="10"/>
      <c r="AR474" s="10">
        <f t="shared" si="80"/>
        <v>1</v>
      </c>
      <c r="AS474" s="21">
        <f t="shared" si="81"/>
        <v>1</v>
      </c>
      <c r="AT474" s="1">
        <f t="shared" si="77"/>
        <v>0.25</v>
      </c>
      <c r="AU474" s="31"/>
      <c r="AV474" s="31"/>
      <c r="AW474" s="31"/>
      <c r="AX474" s="16">
        <f t="shared" si="72"/>
        <v>0.25</v>
      </c>
      <c r="AY474" s="156" t="s">
        <v>310</v>
      </c>
      <c r="AZ474" s="76"/>
      <c r="BA474" s="31"/>
      <c r="BB474" s="31"/>
      <c r="BC474" s="31"/>
      <c r="BD474" s="16" t="str">
        <f t="shared" si="78"/>
        <v>NP</v>
      </c>
      <c r="BE474" s="31"/>
      <c r="BF474" s="31"/>
      <c r="BG474" s="31"/>
      <c r="BH474" s="31"/>
      <c r="BI474" s="16"/>
      <c r="BJ474" s="16"/>
      <c r="BK474" s="31"/>
      <c r="BL474" s="31"/>
      <c r="BM474" s="31"/>
      <c r="BN474" s="31"/>
      <c r="BO474" s="16"/>
      <c r="BP474" s="31"/>
      <c r="BQ474" s="31"/>
      <c r="BR474" s="31"/>
      <c r="BS474" s="31"/>
      <c r="BT474" s="16"/>
      <c r="BU474" s="16"/>
      <c r="BV474" s="16"/>
      <c r="BW474" s="16"/>
      <c r="BX474" s="16"/>
      <c r="BY474" s="16"/>
      <c r="BZ474" s="16"/>
      <c r="CA474" s="10"/>
      <c r="CB474" s="46"/>
      <c r="CC474" s="48"/>
    </row>
    <row r="475" spans="1:81" s="52" customFormat="1" ht="120.75" customHeight="1" x14ac:dyDescent="0.25">
      <c r="A475" s="1">
        <v>6</v>
      </c>
      <c r="B475" s="13" t="s">
        <v>1751</v>
      </c>
      <c r="C475" s="572"/>
      <c r="D475" s="573"/>
      <c r="E475" s="10" t="s">
        <v>1454</v>
      </c>
      <c r="F475" s="13" t="s">
        <v>1455</v>
      </c>
      <c r="G475" s="572"/>
      <c r="H475" s="573"/>
      <c r="I475" s="10" t="s">
        <v>1517</v>
      </c>
      <c r="J475" s="13" t="s">
        <v>1883</v>
      </c>
      <c r="K475" s="572"/>
      <c r="L475" s="573"/>
      <c r="M475" s="23"/>
      <c r="N475" s="23" t="s">
        <v>1518</v>
      </c>
      <c r="O475" s="13" t="s">
        <v>1231</v>
      </c>
      <c r="P475" s="1" t="s">
        <v>868</v>
      </c>
      <c r="Q475" s="1">
        <v>1</v>
      </c>
      <c r="R475" s="24"/>
      <c r="S475" s="13" t="s">
        <v>1532</v>
      </c>
      <c r="T475" s="13" t="s">
        <v>1533</v>
      </c>
      <c r="U475" s="1" t="s">
        <v>868</v>
      </c>
      <c r="V475" s="1">
        <v>1</v>
      </c>
      <c r="W475" s="1" t="s">
        <v>49</v>
      </c>
      <c r="X475" s="1"/>
      <c r="Y475" s="1"/>
      <c r="Z475" s="1"/>
      <c r="AA475" s="13">
        <v>16</v>
      </c>
      <c r="AB475" s="10" t="s">
        <v>1774</v>
      </c>
      <c r="AC475" s="156">
        <v>1</v>
      </c>
      <c r="AD475" s="156"/>
      <c r="AE475" s="156"/>
      <c r="AF475" s="156"/>
      <c r="AG475" s="377">
        <f t="shared" si="79"/>
        <v>1</v>
      </c>
      <c r="AH475" s="377" t="b">
        <f t="shared" si="75"/>
        <v>1</v>
      </c>
      <c r="AI475" s="1"/>
      <c r="AJ475" s="1">
        <v>1</v>
      </c>
      <c r="AK475" s="1">
        <v>1</v>
      </c>
      <c r="AL475" s="1">
        <v>1</v>
      </c>
      <c r="AM475" s="16">
        <f t="shared" si="76"/>
        <v>1</v>
      </c>
      <c r="AN475" s="156">
        <v>1</v>
      </c>
      <c r="AO475" s="1"/>
      <c r="AP475" s="1">
        <v>1</v>
      </c>
      <c r="AQ475" s="1"/>
      <c r="AR475" s="10">
        <f t="shared" si="80"/>
        <v>1</v>
      </c>
      <c r="AS475" s="21">
        <f t="shared" si="81"/>
        <v>1</v>
      </c>
      <c r="AT475" s="1">
        <f t="shared" si="77"/>
        <v>1</v>
      </c>
      <c r="AU475" s="31"/>
      <c r="AV475" s="31"/>
      <c r="AW475" s="31"/>
      <c r="AX475" s="16">
        <f t="shared" si="72"/>
        <v>1</v>
      </c>
      <c r="AY475" s="156" t="s">
        <v>310</v>
      </c>
      <c r="AZ475" s="76"/>
      <c r="BA475" s="31"/>
      <c r="BB475" s="31"/>
      <c r="BC475" s="31"/>
      <c r="BD475" s="16" t="str">
        <f t="shared" si="78"/>
        <v>NP</v>
      </c>
      <c r="BE475" s="31"/>
      <c r="BF475" s="31"/>
      <c r="BG475" s="31"/>
      <c r="BH475" s="31"/>
      <c r="BI475" s="16"/>
      <c r="BJ475" s="16"/>
      <c r="BK475" s="31"/>
      <c r="BL475" s="31"/>
      <c r="BM475" s="31"/>
      <c r="BN475" s="31"/>
      <c r="BO475" s="16"/>
      <c r="BP475" s="31"/>
      <c r="BQ475" s="31"/>
      <c r="BR475" s="31"/>
      <c r="BS475" s="31"/>
      <c r="BT475" s="16"/>
      <c r="BU475" s="16"/>
      <c r="BV475" s="16"/>
      <c r="BW475" s="16"/>
      <c r="BX475" s="16"/>
      <c r="BY475" s="16"/>
      <c r="BZ475" s="16"/>
      <c r="CA475" s="10"/>
      <c r="CB475" s="46"/>
      <c r="CC475" s="48"/>
    </row>
    <row r="476" spans="1:81" s="52" customFormat="1" ht="63" x14ac:dyDescent="0.25">
      <c r="A476" s="1">
        <v>6</v>
      </c>
      <c r="B476" s="13" t="s">
        <v>1751</v>
      </c>
      <c r="C476" s="572"/>
      <c r="D476" s="573"/>
      <c r="E476" s="10" t="s">
        <v>1454</v>
      </c>
      <c r="F476" s="13" t="s">
        <v>1455</v>
      </c>
      <c r="G476" s="572"/>
      <c r="H476" s="573"/>
      <c r="I476" s="10" t="s">
        <v>1517</v>
      </c>
      <c r="J476" s="13" t="s">
        <v>1883</v>
      </c>
      <c r="K476" s="572"/>
      <c r="L476" s="573"/>
      <c r="M476" s="23"/>
      <c r="N476" s="23" t="s">
        <v>1518</v>
      </c>
      <c r="O476" s="13" t="s">
        <v>1231</v>
      </c>
      <c r="P476" s="1" t="s">
        <v>868</v>
      </c>
      <c r="Q476" s="1">
        <v>1</v>
      </c>
      <c r="R476" s="24"/>
      <c r="S476" s="13" t="s">
        <v>1534</v>
      </c>
      <c r="T476" s="13" t="s">
        <v>1535</v>
      </c>
      <c r="U476" s="1" t="s">
        <v>868</v>
      </c>
      <c r="V476" s="1">
        <v>300</v>
      </c>
      <c r="W476" s="1" t="s">
        <v>49</v>
      </c>
      <c r="X476" s="1"/>
      <c r="Y476" s="1"/>
      <c r="Z476" s="1"/>
      <c r="AA476" s="13">
        <v>16</v>
      </c>
      <c r="AB476" s="10" t="s">
        <v>1774</v>
      </c>
      <c r="AC476" s="156">
        <v>70</v>
      </c>
      <c r="AD476" s="156">
        <v>70</v>
      </c>
      <c r="AE476" s="371">
        <v>80</v>
      </c>
      <c r="AF476" s="371">
        <v>80</v>
      </c>
      <c r="AG476" s="377">
        <f t="shared" si="79"/>
        <v>300</v>
      </c>
      <c r="AH476" s="377" t="b">
        <f t="shared" si="75"/>
        <v>1</v>
      </c>
      <c r="AI476" s="1"/>
      <c r="AJ476" s="1">
        <v>70</v>
      </c>
      <c r="AK476" s="1">
        <v>70</v>
      </c>
      <c r="AL476" s="1">
        <v>70</v>
      </c>
      <c r="AM476" s="16">
        <f t="shared" si="76"/>
        <v>0.23333333333333334</v>
      </c>
      <c r="AN476" s="156">
        <v>70</v>
      </c>
      <c r="AO476" s="1"/>
      <c r="AP476" s="1">
        <v>70</v>
      </c>
      <c r="AQ476" s="1"/>
      <c r="AR476" s="10">
        <f t="shared" si="80"/>
        <v>70</v>
      </c>
      <c r="AS476" s="21">
        <f t="shared" si="81"/>
        <v>1</v>
      </c>
      <c r="AT476" s="1">
        <f t="shared" si="77"/>
        <v>132</v>
      </c>
      <c r="AU476" s="31"/>
      <c r="AV476" s="31"/>
      <c r="AW476" s="31"/>
      <c r="AX476" s="16">
        <f t="shared" si="72"/>
        <v>0.44</v>
      </c>
      <c r="AY476" s="156">
        <v>70</v>
      </c>
      <c r="AZ476" s="76">
        <v>62</v>
      </c>
      <c r="BA476" s="31"/>
      <c r="BB476" s="31"/>
      <c r="BC476" s="31"/>
      <c r="BD476" s="16">
        <f t="shared" si="78"/>
        <v>0.88571428571428568</v>
      </c>
      <c r="BE476" s="31"/>
      <c r="BF476" s="31"/>
      <c r="BG476" s="31"/>
      <c r="BH476" s="31"/>
      <c r="BI476" s="16"/>
      <c r="BJ476" s="16"/>
      <c r="BK476" s="31"/>
      <c r="BL476" s="31"/>
      <c r="BM476" s="31"/>
      <c r="BN476" s="31"/>
      <c r="BO476" s="16"/>
      <c r="BP476" s="31"/>
      <c r="BQ476" s="31"/>
      <c r="BR476" s="31"/>
      <c r="BS476" s="31"/>
      <c r="BT476" s="16"/>
      <c r="BU476" s="16"/>
      <c r="BV476" s="16"/>
      <c r="BW476" s="16"/>
      <c r="BX476" s="16"/>
      <c r="BY476" s="16"/>
      <c r="BZ476" s="16"/>
      <c r="CA476" s="10"/>
      <c r="CB476" s="46"/>
      <c r="CC476" s="48"/>
    </row>
    <row r="477" spans="1:81" s="52" customFormat="1" ht="129" customHeight="1" x14ac:dyDescent="0.25">
      <c r="A477" s="1">
        <v>6</v>
      </c>
      <c r="B477" s="13" t="s">
        <v>1751</v>
      </c>
      <c r="C477" s="572"/>
      <c r="D477" s="573"/>
      <c r="E477" s="10" t="s">
        <v>1454</v>
      </c>
      <c r="F477" s="13" t="s">
        <v>1455</v>
      </c>
      <c r="G477" s="572"/>
      <c r="H477" s="573"/>
      <c r="I477" s="10" t="s">
        <v>1517</v>
      </c>
      <c r="J477" s="13" t="s">
        <v>1883</v>
      </c>
      <c r="K477" s="572"/>
      <c r="L477" s="573"/>
      <c r="M477" s="23"/>
      <c r="N477" s="23" t="s">
        <v>1518</v>
      </c>
      <c r="O477" s="13" t="s">
        <v>1231</v>
      </c>
      <c r="P477" s="1" t="s">
        <v>868</v>
      </c>
      <c r="Q477" s="1">
        <v>1</v>
      </c>
      <c r="R477" s="24"/>
      <c r="S477" s="13" t="s">
        <v>1536</v>
      </c>
      <c r="T477" s="13" t="s">
        <v>1537</v>
      </c>
      <c r="U477" s="1" t="s">
        <v>868</v>
      </c>
      <c r="V477" s="1">
        <v>1</v>
      </c>
      <c r="W477" s="1" t="s">
        <v>49</v>
      </c>
      <c r="X477" s="1"/>
      <c r="Y477" s="1"/>
      <c r="Z477" s="1"/>
      <c r="AA477" s="13">
        <v>16</v>
      </c>
      <c r="AB477" s="10" t="s">
        <v>1774</v>
      </c>
      <c r="AC477" s="156">
        <v>1</v>
      </c>
      <c r="AD477" s="156"/>
      <c r="AE477" s="156"/>
      <c r="AF477" s="156"/>
      <c r="AG477" s="377">
        <f t="shared" si="79"/>
        <v>1</v>
      </c>
      <c r="AH477" s="377" t="b">
        <f t="shared" si="75"/>
        <v>1</v>
      </c>
      <c r="AI477" s="1"/>
      <c r="AJ477" s="1"/>
      <c r="AK477" s="1"/>
      <c r="AL477" s="1"/>
      <c r="AM477" s="16">
        <f t="shared" si="76"/>
        <v>0</v>
      </c>
      <c r="AN477" s="156">
        <v>1</v>
      </c>
      <c r="AO477" s="1"/>
      <c r="AP477" s="1"/>
      <c r="AQ477" s="1"/>
      <c r="AR477" s="10">
        <f t="shared" si="80"/>
        <v>0</v>
      </c>
      <c r="AS477" s="21">
        <f t="shared" si="81"/>
        <v>0</v>
      </c>
      <c r="AT477" s="1">
        <f t="shared" si="77"/>
        <v>0</v>
      </c>
      <c r="AU477" s="31"/>
      <c r="AV477" s="31"/>
      <c r="AW477" s="31"/>
      <c r="AX477" s="16">
        <f t="shared" si="72"/>
        <v>0</v>
      </c>
      <c r="AY477" s="156" t="s">
        <v>310</v>
      </c>
      <c r="AZ477" s="76"/>
      <c r="BA477" s="31"/>
      <c r="BB477" s="31"/>
      <c r="BC477" s="31"/>
      <c r="BD477" s="16" t="str">
        <f t="shared" si="78"/>
        <v>NP</v>
      </c>
      <c r="BE477" s="31"/>
      <c r="BF477" s="31"/>
      <c r="BG477" s="31"/>
      <c r="BH477" s="31"/>
      <c r="BI477" s="16"/>
      <c r="BJ477" s="16"/>
      <c r="BK477" s="31"/>
      <c r="BL477" s="31"/>
      <c r="BM477" s="31"/>
      <c r="BN477" s="31"/>
      <c r="BO477" s="16"/>
      <c r="BP477" s="31"/>
      <c r="BQ477" s="31"/>
      <c r="BR477" s="31"/>
      <c r="BS477" s="31"/>
      <c r="BT477" s="16"/>
      <c r="BU477" s="16"/>
      <c r="BV477" s="16"/>
      <c r="BW477" s="16"/>
      <c r="BX477" s="16"/>
      <c r="BY477" s="16"/>
      <c r="BZ477" s="16"/>
      <c r="CA477" s="10"/>
      <c r="CB477" s="46"/>
      <c r="CC477" s="48"/>
    </row>
    <row r="478" spans="1:81" s="52" customFormat="1" ht="94.5" customHeight="1" x14ac:dyDescent="0.25">
      <c r="A478" s="1">
        <v>6</v>
      </c>
      <c r="B478" s="13" t="s">
        <v>1751</v>
      </c>
      <c r="C478" s="572"/>
      <c r="D478" s="573"/>
      <c r="E478" s="10" t="s">
        <v>1454</v>
      </c>
      <c r="F478" s="13" t="s">
        <v>1455</v>
      </c>
      <c r="G478" s="572"/>
      <c r="H478" s="573"/>
      <c r="I478" s="10" t="s">
        <v>1517</v>
      </c>
      <c r="J478" s="13" t="s">
        <v>1883</v>
      </c>
      <c r="K478" s="572"/>
      <c r="L478" s="573"/>
      <c r="M478" s="23"/>
      <c r="N478" s="23" t="s">
        <v>1518</v>
      </c>
      <c r="O478" s="13" t="s">
        <v>1231</v>
      </c>
      <c r="P478" s="1" t="s">
        <v>868</v>
      </c>
      <c r="Q478" s="1">
        <v>1</v>
      </c>
      <c r="R478" s="24"/>
      <c r="S478" s="13" t="s">
        <v>1538</v>
      </c>
      <c r="T478" s="13" t="s">
        <v>1539</v>
      </c>
      <c r="U478" s="1">
        <v>4</v>
      </c>
      <c r="V478" s="1">
        <v>16</v>
      </c>
      <c r="W478" s="1" t="s">
        <v>49</v>
      </c>
      <c r="X478" s="1"/>
      <c r="Y478" s="1"/>
      <c r="Z478" s="1"/>
      <c r="AA478" s="13">
        <v>16</v>
      </c>
      <c r="AB478" s="10" t="s">
        <v>1774</v>
      </c>
      <c r="AC478" s="156">
        <v>4</v>
      </c>
      <c r="AD478" s="156">
        <v>4</v>
      </c>
      <c r="AE478" s="156">
        <v>4</v>
      </c>
      <c r="AF478" s="156">
        <v>4</v>
      </c>
      <c r="AG478" s="377">
        <f t="shared" si="79"/>
        <v>16</v>
      </c>
      <c r="AH478" s="377" t="b">
        <f t="shared" si="75"/>
        <v>1</v>
      </c>
      <c r="AI478" s="1"/>
      <c r="AJ478" s="1">
        <v>2</v>
      </c>
      <c r="AK478" s="1">
        <v>4</v>
      </c>
      <c r="AL478" s="1">
        <v>4</v>
      </c>
      <c r="AM478" s="16">
        <f t="shared" si="76"/>
        <v>0.25</v>
      </c>
      <c r="AN478" s="156">
        <v>4</v>
      </c>
      <c r="AO478" s="1"/>
      <c r="AP478" s="1">
        <v>2</v>
      </c>
      <c r="AQ478" s="1"/>
      <c r="AR478" s="10">
        <f t="shared" si="80"/>
        <v>4</v>
      </c>
      <c r="AS478" s="21">
        <f t="shared" si="81"/>
        <v>1</v>
      </c>
      <c r="AT478" s="1">
        <f t="shared" si="77"/>
        <v>4</v>
      </c>
      <c r="AU478" s="31"/>
      <c r="AV478" s="31"/>
      <c r="AW478" s="31"/>
      <c r="AX478" s="16">
        <f t="shared" si="72"/>
        <v>0.25</v>
      </c>
      <c r="AY478" s="156">
        <v>4</v>
      </c>
      <c r="AZ478" s="76">
        <v>0</v>
      </c>
      <c r="BA478" s="31"/>
      <c r="BB478" s="31"/>
      <c r="BC478" s="31"/>
      <c r="BD478" s="16">
        <f t="shared" si="78"/>
        <v>0</v>
      </c>
      <c r="BE478" s="31"/>
      <c r="BF478" s="31"/>
      <c r="BG478" s="31"/>
      <c r="BH478" s="31"/>
      <c r="BI478" s="16"/>
      <c r="BJ478" s="16"/>
      <c r="BK478" s="31"/>
      <c r="BL478" s="31"/>
      <c r="BM478" s="31"/>
      <c r="BN478" s="31"/>
      <c r="BO478" s="16"/>
      <c r="BP478" s="31"/>
      <c r="BQ478" s="31"/>
      <c r="BR478" s="31"/>
      <c r="BS478" s="31"/>
      <c r="BT478" s="16"/>
      <c r="BU478" s="16"/>
      <c r="BV478" s="16"/>
      <c r="BW478" s="16"/>
      <c r="BX478" s="16"/>
      <c r="BY478" s="16"/>
      <c r="BZ478" s="16"/>
      <c r="CA478" s="10"/>
      <c r="CB478" s="46"/>
      <c r="CC478" s="48"/>
    </row>
    <row r="479" spans="1:81" s="52" customFormat="1" ht="63" x14ac:dyDescent="0.25">
      <c r="A479" s="1">
        <v>6</v>
      </c>
      <c r="B479" s="13" t="s">
        <v>1751</v>
      </c>
      <c r="C479" s="572"/>
      <c r="D479" s="573"/>
      <c r="E479" s="10" t="s">
        <v>1454</v>
      </c>
      <c r="F479" s="13" t="s">
        <v>1455</v>
      </c>
      <c r="G479" s="572"/>
      <c r="H479" s="573"/>
      <c r="I479" s="10" t="s">
        <v>1517</v>
      </c>
      <c r="J479" s="13" t="s">
        <v>1883</v>
      </c>
      <c r="K479" s="568"/>
      <c r="L479" s="570"/>
      <c r="M479" s="23"/>
      <c r="N479" s="23" t="s">
        <v>1518</v>
      </c>
      <c r="O479" s="13" t="s">
        <v>1231</v>
      </c>
      <c r="P479" s="1" t="s">
        <v>868</v>
      </c>
      <c r="Q479" s="1">
        <v>1</v>
      </c>
      <c r="R479" s="24"/>
      <c r="S479" s="13" t="s">
        <v>1540</v>
      </c>
      <c r="T479" s="13" t="s">
        <v>1541</v>
      </c>
      <c r="U479" s="1" t="s">
        <v>868</v>
      </c>
      <c r="V479" s="1">
        <v>1</v>
      </c>
      <c r="W479" s="1" t="s">
        <v>49</v>
      </c>
      <c r="X479" s="1"/>
      <c r="Y479" s="1"/>
      <c r="Z479" s="1"/>
      <c r="AA479" s="13">
        <v>16</v>
      </c>
      <c r="AB479" s="10" t="s">
        <v>1774</v>
      </c>
      <c r="AC479" s="156">
        <v>1</v>
      </c>
      <c r="AD479" s="156"/>
      <c r="AE479" s="156"/>
      <c r="AF479" s="156"/>
      <c r="AG479" s="377">
        <f t="shared" si="79"/>
        <v>1</v>
      </c>
      <c r="AH479" s="377" t="b">
        <f t="shared" si="75"/>
        <v>1</v>
      </c>
      <c r="AI479" s="1"/>
      <c r="AJ479" s="1">
        <v>1</v>
      </c>
      <c r="AK479" s="1">
        <v>1</v>
      </c>
      <c r="AL479" s="1">
        <v>1</v>
      </c>
      <c r="AM479" s="16">
        <f t="shared" si="76"/>
        <v>1</v>
      </c>
      <c r="AN479" s="156">
        <v>1</v>
      </c>
      <c r="AO479" s="1"/>
      <c r="AP479" s="1">
        <v>1</v>
      </c>
      <c r="AQ479" s="1"/>
      <c r="AR479" s="10">
        <f t="shared" si="80"/>
        <v>1</v>
      </c>
      <c r="AS479" s="21">
        <f t="shared" si="81"/>
        <v>1</v>
      </c>
      <c r="AT479" s="1">
        <f t="shared" si="77"/>
        <v>1</v>
      </c>
      <c r="AU479" s="31"/>
      <c r="AV479" s="31"/>
      <c r="AW479" s="31"/>
      <c r="AX479" s="16">
        <f t="shared" si="72"/>
        <v>1</v>
      </c>
      <c r="AY479" s="156" t="s">
        <v>310</v>
      </c>
      <c r="AZ479" s="76">
        <v>0</v>
      </c>
      <c r="BA479" s="31"/>
      <c r="BB479" s="31"/>
      <c r="BC479" s="31"/>
      <c r="BD479" s="16" t="str">
        <f t="shared" si="78"/>
        <v>NP</v>
      </c>
      <c r="BE479" s="31"/>
      <c r="BF479" s="31"/>
      <c r="BG479" s="31"/>
      <c r="BH479" s="31"/>
      <c r="BI479" s="16"/>
      <c r="BJ479" s="16"/>
      <c r="BK479" s="31"/>
      <c r="BL479" s="31"/>
      <c r="BM479" s="31"/>
      <c r="BN479" s="31"/>
      <c r="BO479" s="16"/>
      <c r="BP479" s="31"/>
      <c r="BQ479" s="31"/>
      <c r="BR479" s="31"/>
      <c r="BS479" s="31"/>
      <c r="BT479" s="16"/>
      <c r="BU479" s="16"/>
      <c r="BV479" s="16"/>
      <c r="BW479" s="16"/>
      <c r="BX479" s="16"/>
      <c r="BY479" s="16"/>
      <c r="BZ479" s="16"/>
      <c r="CA479" s="10"/>
      <c r="CB479" s="46"/>
      <c r="CC479" s="48"/>
    </row>
    <row r="480" spans="1:81" s="52" customFormat="1" ht="131.25" customHeight="1" x14ac:dyDescent="0.25">
      <c r="A480" s="1">
        <v>6</v>
      </c>
      <c r="B480" s="13" t="s">
        <v>1751</v>
      </c>
      <c r="C480" s="572"/>
      <c r="D480" s="573"/>
      <c r="E480" s="10" t="s">
        <v>1454</v>
      </c>
      <c r="F480" s="13" t="s">
        <v>1455</v>
      </c>
      <c r="G480" s="572"/>
      <c r="H480" s="573"/>
      <c r="I480" s="10" t="s">
        <v>1542</v>
      </c>
      <c r="J480" s="13" t="s">
        <v>1884</v>
      </c>
      <c r="K480" s="567">
        <f>AVERAGE(AX480:AX483)</f>
        <v>0.38063063063063063</v>
      </c>
      <c r="L480" s="569">
        <f>AVERAGE(BD480:BD483)</f>
        <v>0.8</v>
      </c>
      <c r="M480" s="10"/>
      <c r="N480" s="23" t="s">
        <v>1543</v>
      </c>
      <c r="O480" s="13" t="s">
        <v>1544</v>
      </c>
      <c r="P480" s="10">
        <v>46</v>
      </c>
      <c r="Q480" s="10">
        <v>9</v>
      </c>
      <c r="R480" s="13"/>
      <c r="S480" s="13" t="s">
        <v>1545</v>
      </c>
      <c r="T480" s="13" t="s">
        <v>1546</v>
      </c>
      <c r="U480" s="10" t="s">
        <v>868</v>
      </c>
      <c r="V480" s="10">
        <v>9</v>
      </c>
      <c r="W480" s="1" t="s">
        <v>49</v>
      </c>
      <c r="X480" s="1"/>
      <c r="Y480" s="1"/>
      <c r="Z480" s="1"/>
      <c r="AA480" s="13">
        <v>16</v>
      </c>
      <c r="AB480" s="10" t="s">
        <v>1774</v>
      </c>
      <c r="AC480" s="156">
        <v>1</v>
      </c>
      <c r="AD480" s="156">
        <v>2</v>
      </c>
      <c r="AE480" s="156">
        <v>3</v>
      </c>
      <c r="AF480" s="156">
        <v>3</v>
      </c>
      <c r="AG480" s="377">
        <f t="shared" si="79"/>
        <v>9</v>
      </c>
      <c r="AH480" s="377" t="b">
        <f t="shared" si="75"/>
        <v>1</v>
      </c>
      <c r="AI480" s="10"/>
      <c r="AJ480" s="10">
        <v>1</v>
      </c>
      <c r="AK480" s="10">
        <v>1</v>
      </c>
      <c r="AL480" s="10">
        <v>1</v>
      </c>
      <c r="AM480" s="16">
        <f t="shared" si="76"/>
        <v>0.1111111111111111</v>
      </c>
      <c r="AN480" s="156">
        <v>1</v>
      </c>
      <c r="AO480" s="1"/>
      <c r="AP480" s="1">
        <v>1</v>
      </c>
      <c r="AQ480" s="1"/>
      <c r="AR480" s="10">
        <f t="shared" si="80"/>
        <v>1</v>
      </c>
      <c r="AS480" s="21">
        <f t="shared" si="81"/>
        <v>1</v>
      </c>
      <c r="AT480" s="1">
        <f t="shared" si="77"/>
        <v>3</v>
      </c>
      <c r="AU480" s="31"/>
      <c r="AV480" s="31"/>
      <c r="AW480" s="31"/>
      <c r="AX480" s="16">
        <f t="shared" si="72"/>
        <v>0.33333333333333331</v>
      </c>
      <c r="AY480" s="156">
        <v>2</v>
      </c>
      <c r="AZ480" s="76">
        <v>2</v>
      </c>
      <c r="BA480" s="31"/>
      <c r="BB480" s="31"/>
      <c r="BC480" s="31"/>
      <c r="BD480" s="16">
        <f t="shared" si="78"/>
        <v>1</v>
      </c>
      <c r="BE480" s="31"/>
      <c r="BF480" s="31"/>
      <c r="BG480" s="31"/>
      <c r="BH480" s="31"/>
      <c r="BI480" s="16"/>
      <c r="BJ480" s="16"/>
      <c r="BK480" s="31"/>
      <c r="BL480" s="31"/>
      <c r="BM480" s="31"/>
      <c r="BN480" s="31"/>
      <c r="BO480" s="16"/>
      <c r="BP480" s="31"/>
      <c r="BQ480" s="31"/>
      <c r="BR480" s="31"/>
      <c r="BS480" s="31"/>
      <c r="BT480" s="16"/>
      <c r="BU480" s="16"/>
      <c r="BV480" s="16"/>
      <c r="BW480" s="16"/>
      <c r="BX480" s="16"/>
      <c r="BY480" s="16"/>
      <c r="BZ480" s="16"/>
      <c r="CA480" s="10"/>
      <c r="CB480" s="49"/>
      <c r="CC480" s="48"/>
    </row>
    <row r="481" spans="1:81" s="52" customFormat="1" ht="161.25" customHeight="1" x14ac:dyDescent="0.25">
      <c r="A481" s="1">
        <v>6</v>
      </c>
      <c r="B481" s="13" t="s">
        <v>1751</v>
      </c>
      <c r="C481" s="572"/>
      <c r="D481" s="573"/>
      <c r="E481" s="10" t="s">
        <v>1454</v>
      </c>
      <c r="F481" s="13" t="s">
        <v>1455</v>
      </c>
      <c r="G481" s="572"/>
      <c r="H481" s="573"/>
      <c r="I481" s="10" t="s">
        <v>1542</v>
      </c>
      <c r="J481" s="13" t="s">
        <v>1884</v>
      </c>
      <c r="K481" s="572"/>
      <c r="L481" s="573"/>
      <c r="M481" s="10"/>
      <c r="N481" s="23" t="s">
        <v>1543</v>
      </c>
      <c r="O481" s="13" t="s">
        <v>1544</v>
      </c>
      <c r="P481" s="10">
        <v>46</v>
      </c>
      <c r="Q481" s="10">
        <v>9</v>
      </c>
      <c r="R481" s="13"/>
      <c r="S481" s="13" t="s">
        <v>1545</v>
      </c>
      <c r="T481" s="13" t="s">
        <v>1547</v>
      </c>
      <c r="U481" s="10" t="s">
        <v>868</v>
      </c>
      <c r="V481" s="10">
        <v>37</v>
      </c>
      <c r="W481" s="1" t="s">
        <v>49</v>
      </c>
      <c r="X481" s="1"/>
      <c r="Y481" s="1"/>
      <c r="Z481" s="1"/>
      <c r="AA481" s="13">
        <v>16</v>
      </c>
      <c r="AB481" s="10" t="s">
        <v>1774</v>
      </c>
      <c r="AC481" s="156">
        <v>5</v>
      </c>
      <c r="AD481" s="156">
        <v>10</v>
      </c>
      <c r="AE481" s="156">
        <v>10</v>
      </c>
      <c r="AF481" s="156">
        <v>12</v>
      </c>
      <c r="AG481" s="377">
        <f t="shared" si="79"/>
        <v>37</v>
      </c>
      <c r="AH481" s="377" t="b">
        <f t="shared" si="75"/>
        <v>1</v>
      </c>
      <c r="AI481" s="10"/>
      <c r="AJ481" s="10">
        <v>5</v>
      </c>
      <c r="AK481" s="10">
        <v>5</v>
      </c>
      <c r="AL481" s="10">
        <v>5</v>
      </c>
      <c r="AM481" s="16">
        <f t="shared" si="76"/>
        <v>0.13513513513513514</v>
      </c>
      <c r="AN481" s="156">
        <v>5</v>
      </c>
      <c r="AO481" s="1"/>
      <c r="AP481" s="1">
        <v>5</v>
      </c>
      <c r="AQ481" s="1"/>
      <c r="AR481" s="10">
        <f t="shared" si="80"/>
        <v>5</v>
      </c>
      <c r="AS481" s="21">
        <f t="shared" si="81"/>
        <v>1</v>
      </c>
      <c r="AT481" s="1">
        <f t="shared" si="77"/>
        <v>7</v>
      </c>
      <c r="AU481" s="31"/>
      <c r="AV481" s="31"/>
      <c r="AW481" s="31"/>
      <c r="AX481" s="16">
        <f t="shared" si="72"/>
        <v>0.1891891891891892</v>
      </c>
      <c r="AY481" s="156">
        <v>10</v>
      </c>
      <c r="AZ481" s="76">
        <v>2</v>
      </c>
      <c r="BA481" s="31"/>
      <c r="BB481" s="31"/>
      <c r="BC481" s="31"/>
      <c r="BD481" s="16">
        <f t="shared" si="78"/>
        <v>0.2</v>
      </c>
      <c r="BE481" s="31"/>
      <c r="BF481" s="31"/>
      <c r="BG481" s="31"/>
      <c r="BH481" s="31"/>
      <c r="BI481" s="16"/>
      <c r="BJ481" s="16"/>
      <c r="BK481" s="31"/>
      <c r="BL481" s="31"/>
      <c r="BM481" s="31"/>
      <c r="BN481" s="31"/>
      <c r="BO481" s="16"/>
      <c r="BP481" s="31"/>
      <c r="BQ481" s="31"/>
      <c r="BR481" s="31"/>
      <c r="BS481" s="31"/>
      <c r="BT481" s="16"/>
      <c r="BU481" s="16"/>
      <c r="BV481" s="16"/>
      <c r="BW481" s="16"/>
      <c r="BX481" s="16"/>
      <c r="BY481" s="16"/>
      <c r="BZ481" s="16"/>
      <c r="CA481" s="10"/>
      <c r="CB481" s="49"/>
      <c r="CC481" s="48"/>
    </row>
    <row r="482" spans="1:81" s="52" customFormat="1" ht="169.5" customHeight="1" x14ac:dyDescent="0.25">
      <c r="A482" s="1">
        <v>6</v>
      </c>
      <c r="B482" s="13" t="s">
        <v>1751</v>
      </c>
      <c r="C482" s="572"/>
      <c r="D482" s="573"/>
      <c r="E482" s="10" t="s">
        <v>1454</v>
      </c>
      <c r="F482" s="13" t="s">
        <v>1455</v>
      </c>
      <c r="G482" s="572"/>
      <c r="H482" s="573"/>
      <c r="I482" s="10" t="s">
        <v>1542</v>
      </c>
      <c r="J482" s="13" t="s">
        <v>1884</v>
      </c>
      <c r="K482" s="572"/>
      <c r="L482" s="573"/>
      <c r="M482" s="10"/>
      <c r="N482" s="23" t="s">
        <v>1543</v>
      </c>
      <c r="O482" s="13" t="s">
        <v>1544</v>
      </c>
      <c r="P482" s="10">
        <v>46</v>
      </c>
      <c r="Q482" s="10">
        <v>9</v>
      </c>
      <c r="R482" s="13"/>
      <c r="S482" s="13" t="s">
        <v>1545</v>
      </c>
      <c r="T482" s="13" t="s">
        <v>1548</v>
      </c>
      <c r="U482" s="10" t="s">
        <v>868</v>
      </c>
      <c r="V482" s="169">
        <v>1</v>
      </c>
      <c r="W482" s="1" t="s">
        <v>49</v>
      </c>
      <c r="X482" s="1"/>
      <c r="Y482" s="1"/>
      <c r="Z482" s="1"/>
      <c r="AA482" s="13">
        <v>16</v>
      </c>
      <c r="AB482" s="10" t="s">
        <v>1774</v>
      </c>
      <c r="AC482" s="378">
        <v>0.25</v>
      </c>
      <c r="AD482" s="156">
        <v>0.25</v>
      </c>
      <c r="AE482" s="156">
        <v>0.25</v>
      </c>
      <c r="AF482" s="156">
        <v>0.25</v>
      </c>
      <c r="AG482" s="377">
        <f t="shared" si="79"/>
        <v>1</v>
      </c>
      <c r="AH482" s="377" t="b">
        <f t="shared" si="75"/>
        <v>1</v>
      </c>
      <c r="AI482" s="133"/>
      <c r="AJ482" s="133">
        <v>0.25</v>
      </c>
      <c r="AK482" s="133"/>
      <c r="AL482" s="133"/>
      <c r="AM482" s="16">
        <f t="shared" si="76"/>
        <v>0</v>
      </c>
      <c r="AN482" s="170">
        <v>0.25</v>
      </c>
      <c r="AO482" s="170"/>
      <c r="AP482" s="108">
        <v>0.25</v>
      </c>
      <c r="AQ482" s="108"/>
      <c r="AR482" s="10">
        <f t="shared" si="80"/>
        <v>0</v>
      </c>
      <c r="AS482" s="21">
        <f t="shared" si="81"/>
        <v>0</v>
      </c>
      <c r="AT482" s="1">
        <f t="shared" si="77"/>
        <v>0.5</v>
      </c>
      <c r="AU482" s="31"/>
      <c r="AV482" s="31"/>
      <c r="AW482" s="31"/>
      <c r="AX482" s="16">
        <f t="shared" si="72"/>
        <v>0.5</v>
      </c>
      <c r="AY482" s="156">
        <v>0.25</v>
      </c>
      <c r="AZ482" s="76">
        <v>0.5</v>
      </c>
      <c r="BA482" s="31"/>
      <c r="BB482" s="31"/>
      <c r="BC482" s="31"/>
      <c r="BD482" s="16">
        <f t="shared" si="78"/>
        <v>1</v>
      </c>
      <c r="BE482" s="31"/>
      <c r="BF482" s="31"/>
      <c r="BG482" s="31"/>
      <c r="BH482" s="31"/>
      <c r="BI482" s="16"/>
      <c r="BJ482" s="16"/>
      <c r="BK482" s="31"/>
      <c r="BL482" s="31"/>
      <c r="BM482" s="31"/>
      <c r="BN482" s="31"/>
      <c r="BO482" s="16"/>
      <c r="BP482" s="31"/>
      <c r="BQ482" s="31"/>
      <c r="BR482" s="31"/>
      <c r="BS482" s="31"/>
      <c r="BT482" s="16"/>
      <c r="BU482" s="16"/>
      <c r="BV482" s="16"/>
      <c r="BW482" s="16"/>
      <c r="BX482" s="16"/>
      <c r="BY482" s="16"/>
      <c r="BZ482" s="16"/>
      <c r="CA482" s="10"/>
      <c r="CB482" s="46"/>
      <c r="CC482" s="48"/>
    </row>
    <row r="483" spans="1:81" s="52" customFormat="1" ht="132.75" customHeight="1" x14ac:dyDescent="0.25">
      <c r="A483" s="1">
        <v>6</v>
      </c>
      <c r="B483" s="13" t="s">
        <v>1751</v>
      </c>
      <c r="C483" s="572"/>
      <c r="D483" s="573"/>
      <c r="E483" s="10" t="s">
        <v>1454</v>
      </c>
      <c r="F483" s="13" t="s">
        <v>1455</v>
      </c>
      <c r="G483" s="572"/>
      <c r="H483" s="573"/>
      <c r="I483" s="10" t="s">
        <v>1542</v>
      </c>
      <c r="J483" s="13" t="s">
        <v>1884</v>
      </c>
      <c r="K483" s="568"/>
      <c r="L483" s="570"/>
      <c r="M483" s="10"/>
      <c r="N483" s="23" t="s">
        <v>1543</v>
      </c>
      <c r="O483" s="13" t="s">
        <v>1544</v>
      </c>
      <c r="P483" s="10">
        <v>46</v>
      </c>
      <c r="Q483" s="10">
        <v>9</v>
      </c>
      <c r="R483" s="13"/>
      <c r="S483" s="13" t="s">
        <v>1545</v>
      </c>
      <c r="T483" s="13" t="s">
        <v>1549</v>
      </c>
      <c r="U483" s="10" t="s">
        <v>868</v>
      </c>
      <c r="V483" s="169">
        <v>1</v>
      </c>
      <c r="W483" s="1" t="s">
        <v>49</v>
      </c>
      <c r="X483" s="1"/>
      <c r="Y483" s="1"/>
      <c r="Z483" s="1"/>
      <c r="AA483" s="13">
        <v>16</v>
      </c>
      <c r="AB483" s="10" t="s">
        <v>1774</v>
      </c>
      <c r="AC483" s="170">
        <v>0.25</v>
      </c>
      <c r="AD483" s="156">
        <v>0.25</v>
      </c>
      <c r="AE483" s="156">
        <v>0.25</v>
      </c>
      <c r="AF483" s="156">
        <v>0.25</v>
      </c>
      <c r="AG483" s="377">
        <f t="shared" si="79"/>
        <v>1</v>
      </c>
      <c r="AH483" s="377" t="b">
        <f t="shared" si="75"/>
        <v>1</v>
      </c>
      <c r="AI483" s="133"/>
      <c r="AJ483" s="133">
        <v>0.25</v>
      </c>
      <c r="AK483" s="133"/>
      <c r="AL483" s="133"/>
      <c r="AM483" s="16">
        <f t="shared" si="76"/>
        <v>0</v>
      </c>
      <c r="AN483" s="170">
        <v>0.25</v>
      </c>
      <c r="AO483" s="170"/>
      <c r="AP483" s="108">
        <v>0.25</v>
      </c>
      <c r="AQ483" s="108"/>
      <c r="AR483" s="10">
        <f t="shared" si="80"/>
        <v>0</v>
      </c>
      <c r="AS483" s="21">
        <f t="shared" si="81"/>
        <v>0</v>
      </c>
      <c r="AT483" s="1">
        <f t="shared" si="77"/>
        <v>0.5</v>
      </c>
      <c r="AU483" s="31"/>
      <c r="AV483" s="31"/>
      <c r="AW483" s="31"/>
      <c r="AX483" s="16">
        <f t="shared" si="72"/>
        <v>0.5</v>
      </c>
      <c r="AY483" s="156">
        <v>0.25</v>
      </c>
      <c r="AZ483" s="76">
        <v>0.5</v>
      </c>
      <c r="BA483" s="31"/>
      <c r="BB483" s="31"/>
      <c r="BC483" s="31"/>
      <c r="BD483" s="16">
        <f t="shared" si="78"/>
        <v>1</v>
      </c>
      <c r="BE483" s="31"/>
      <c r="BF483" s="31"/>
      <c r="BG483" s="31"/>
      <c r="BH483" s="31"/>
      <c r="BI483" s="16"/>
      <c r="BJ483" s="16"/>
      <c r="BK483" s="31"/>
      <c r="BL483" s="31"/>
      <c r="BM483" s="31"/>
      <c r="BN483" s="31"/>
      <c r="BO483" s="16"/>
      <c r="BP483" s="31"/>
      <c r="BQ483" s="31"/>
      <c r="BR483" s="31"/>
      <c r="BS483" s="31"/>
      <c r="BT483" s="16"/>
      <c r="BU483" s="16"/>
      <c r="BV483" s="16"/>
      <c r="BW483" s="16"/>
      <c r="BX483" s="16"/>
      <c r="BY483" s="16"/>
      <c r="BZ483" s="16"/>
      <c r="CA483" s="10"/>
      <c r="CB483" s="46"/>
      <c r="CC483" s="48"/>
    </row>
    <row r="484" spans="1:81" s="52" customFormat="1" ht="137.25" customHeight="1" x14ac:dyDescent="0.25">
      <c r="A484" s="1">
        <v>6</v>
      </c>
      <c r="B484" s="13" t="s">
        <v>1751</v>
      </c>
      <c r="C484" s="572"/>
      <c r="D484" s="573"/>
      <c r="E484" s="10" t="s">
        <v>1454</v>
      </c>
      <c r="F484" s="13" t="s">
        <v>1455</v>
      </c>
      <c r="G484" s="572"/>
      <c r="H484" s="573"/>
      <c r="I484" s="10" t="s">
        <v>1550</v>
      </c>
      <c r="J484" s="13" t="s">
        <v>1885</v>
      </c>
      <c r="K484" s="567">
        <f>AVERAGE(AX484:AX491)</f>
        <v>0.14702380952380953</v>
      </c>
      <c r="L484" s="569">
        <f>AVERAGE(BD484:BD491)</f>
        <v>0.20833333333333331</v>
      </c>
      <c r="M484" s="23"/>
      <c r="N484" s="23" t="s">
        <v>1551</v>
      </c>
      <c r="O484" s="13" t="s">
        <v>1552</v>
      </c>
      <c r="P484" s="1" t="s">
        <v>868</v>
      </c>
      <c r="Q484" s="1">
        <v>1</v>
      </c>
      <c r="R484" s="24"/>
      <c r="S484" s="13" t="s">
        <v>1553</v>
      </c>
      <c r="T484" s="13" t="s">
        <v>1554</v>
      </c>
      <c r="U484" s="1" t="s">
        <v>868</v>
      </c>
      <c r="V484" s="1">
        <v>12</v>
      </c>
      <c r="W484" s="1" t="s">
        <v>971</v>
      </c>
      <c r="X484" s="1"/>
      <c r="Y484" s="1"/>
      <c r="Z484" s="1"/>
      <c r="AA484" s="13">
        <v>16</v>
      </c>
      <c r="AB484" s="10" t="s">
        <v>1774</v>
      </c>
      <c r="AC484" s="156">
        <v>3</v>
      </c>
      <c r="AD484" s="156">
        <v>3</v>
      </c>
      <c r="AE484" s="156">
        <v>3</v>
      </c>
      <c r="AF484" s="156">
        <v>3</v>
      </c>
      <c r="AG484" s="377">
        <f t="shared" si="79"/>
        <v>12</v>
      </c>
      <c r="AH484" s="377" t="b">
        <f t="shared" si="75"/>
        <v>1</v>
      </c>
      <c r="AI484" s="1"/>
      <c r="AJ484" s="1">
        <v>1</v>
      </c>
      <c r="AK484" s="1">
        <v>3</v>
      </c>
      <c r="AL484" s="1">
        <v>3</v>
      </c>
      <c r="AM484" s="16">
        <f t="shared" si="76"/>
        <v>0.25</v>
      </c>
      <c r="AN484" s="156">
        <v>3</v>
      </c>
      <c r="AO484" s="1"/>
      <c r="AP484" s="1">
        <v>1</v>
      </c>
      <c r="AQ484" s="1"/>
      <c r="AR484" s="10">
        <f t="shared" si="80"/>
        <v>3</v>
      </c>
      <c r="AS484" s="21">
        <f t="shared" si="81"/>
        <v>1</v>
      </c>
      <c r="AT484" s="1">
        <f t="shared" si="77"/>
        <v>4</v>
      </c>
      <c r="AU484" s="31"/>
      <c r="AV484" s="31"/>
      <c r="AW484" s="31"/>
      <c r="AX484" s="16">
        <f t="shared" si="72"/>
        <v>0.33333333333333331</v>
      </c>
      <c r="AY484" s="156">
        <v>3</v>
      </c>
      <c r="AZ484" s="76">
        <v>1</v>
      </c>
      <c r="BA484" s="31"/>
      <c r="BB484" s="31"/>
      <c r="BC484" s="31"/>
      <c r="BD484" s="16">
        <f t="shared" si="78"/>
        <v>0.33333333333333331</v>
      </c>
      <c r="BE484" s="31"/>
      <c r="BF484" s="31"/>
      <c r="BG484" s="31"/>
      <c r="BH484" s="31"/>
      <c r="BI484" s="16"/>
      <c r="BJ484" s="16"/>
      <c r="BK484" s="31"/>
      <c r="BL484" s="31"/>
      <c r="BM484" s="31"/>
      <c r="BN484" s="31"/>
      <c r="BO484" s="16"/>
      <c r="BP484" s="31"/>
      <c r="BQ484" s="31"/>
      <c r="BR484" s="31"/>
      <c r="BS484" s="31"/>
      <c r="BT484" s="16"/>
      <c r="BU484" s="16"/>
      <c r="BV484" s="16"/>
      <c r="BW484" s="16"/>
      <c r="BX484" s="16"/>
      <c r="BY484" s="16"/>
      <c r="BZ484" s="16"/>
      <c r="CA484" s="10"/>
      <c r="CB484" s="46"/>
      <c r="CC484" s="48"/>
    </row>
    <row r="485" spans="1:81" s="52" customFormat="1" ht="137.25" customHeight="1" x14ac:dyDescent="0.25">
      <c r="A485" s="1">
        <v>6</v>
      </c>
      <c r="B485" s="13" t="s">
        <v>1751</v>
      </c>
      <c r="C485" s="572"/>
      <c r="D485" s="573"/>
      <c r="E485" s="10" t="s">
        <v>1454</v>
      </c>
      <c r="F485" s="13" t="s">
        <v>1455</v>
      </c>
      <c r="G485" s="572"/>
      <c r="H485" s="573"/>
      <c r="I485" s="10" t="s">
        <v>1550</v>
      </c>
      <c r="J485" s="13" t="s">
        <v>1885</v>
      </c>
      <c r="K485" s="572"/>
      <c r="L485" s="573"/>
      <c r="M485" s="23"/>
      <c r="N485" s="23" t="s">
        <v>1551</v>
      </c>
      <c r="O485" s="13" t="s">
        <v>1552</v>
      </c>
      <c r="P485" s="1" t="s">
        <v>868</v>
      </c>
      <c r="Q485" s="1">
        <v>1</v>
      </c>
      <c r="R485" s="24"/>
      <c r="S485" s="13" t="s">
        <v>1555</v>
      </c>
      <c r="T485" s="13" t="s">
        <v>1556</v>
      </c>
      <c r="U485" s="1" t="s">
        <v>868</v>
      </c>
      <c r="V485" s="1">
        <v>10</v>
      </c>
      <c r="W485" s="1" t="s">
        <v>971</v>
      </c>
      <c r="X485" s="1"/>
      <c r="Y485" s="1"/>
      <c r="Z485" s="1"/>
      <c r="AA485" s="13">
        <v>16</v>
      </c>
      <c r="AB485" s="10" t="s">
        <v>1774</v>
      </c>
      <c r="AC485" s="157">
        <v>1</v>
      </c>
      <c r="AD485" s="156">
        <v>3</v>
      </c>
      <c r="AE485" s="156">
        <v>3</v>
      </c>
      <c r="AF485" s="156">
        <v>3</v>
      </c>
      <c r="AG485" s="377">
        <f t="shared" si="79"/>
        <v>10</v>
      </c>
      <c r="AH485" s="377" t="b">
        <f t="shared" si="75"/>
        <v>1</v>
      </c>
      <c r="AI485" s="1"/>
      <c r="AJ485" s="1">
        <v>1</v>
      </c>
      <c r="AK485" s="1">
        <v>1</v>
      </c>
      <c r="AL485" s="1">
        <v>1</v>
      </c>
      <c r="AM485" s="16">
        <f t="shared" si="76"/>
        <v>0.1</v>
      </c>
      <c r="AN485" s="157">
        <v>1</v>
      </c>
      <c r="AO485" s="10"/>
      <c r="AP485" s="10">
        <v>1</v>
      </c>
      <c r="AQ485" s="10"/>
      <c r="AR485" s="10">
        <f t="shared" si="80"/>
        <v>1</v>
      </c>
      <c r="AS485" s="21">
        <f t="shared" si="81"/>
        <v>1</v>
      </c>
      <c r="AT485" s="1">
        <f t="shared" si="77"/>
        <v>2</v>
      </c>
      <c r="AU485" s="31"/>
      <c r="AV485" s="31"/>
      <c r="AW485" s="31"/>
      <c r="AX485" s="16">
        <f t="shared" si="72"/>
        <v>0.2</v>
      </c>
      <c r="AY485" s="156">
        <v>3</v>
      </c>
      <c r="AZ485" s="76">
        <v>1</v>
      </c>
      <c r="BA485" s="31"/>
      <c r="BB485" s="31"/>
      <c r="BC485" s="31"/>
      <c r="BD485" s="16">
        <f t="shared" si="78"/>
        <v>0.33333333333333331</v>
      </c>
      <c r="BE485" s="31"/>
      <c r="BF485" s="31"/>
      <c r="BG485" s="31"/>
      <c r="BH485" s="31"/>
      <c r="BI485" s="16"/>
      <c r="BJ485" s="16"/>
      <c r="BK485" s="31"/>
      <c r="BL485" s="31"/>
      <c r="BM485" s="31"/>
      <c r="BN485" s="31"/>
      <c r="BO485" s="16"/>
      <c r="BP485" s="31"/>
      <c r="BQ485" s="31"/>
      <c r="BR485" s="31"/>
      <c r="BS485" s="31"/>
      <c r="BT485" s="16"/>
      <c r="BU485" s="16"/>
      <c r="BV485" s="16"/>
      <c r="BW485" s="16"/>
      <c r="BX485" s="16"/>
      <c r="BY485" s="16"/>
      <c r="BZ485" s="16"/>
      <c r="CA485" s="10"/>
      <c r="CB485" s="46"/>
      <c r="CC485" s="48"/>
    </row>
    <row r="486" spans="1:81" s="52" customFormat="1" ht="138" customHeight="1" x14ac:dyDescent="0.25">
      <c r="A486" s="1">
        <v>6</v>
      </c>
      <c r="B486" s="13" t="s">
        <v>1751</v>
      </c>
      <c r="C486" s="572"/>
      <c r="D486" s="573"/>
      <c r="E486" s="10" t="s">
        <v>1454</v>
      </c>
      <c r="F486" s="13" t="s">
        <v>1455</v>
      </c>
      <c r="G486" s="572"/>
      <c r="H486" s="573"/>
      <c r="I486" s="10" t="s">
        <v>1550</v>
      </c>
      <c r="J486" s="13" t="s">
        <v>1885</v>
      </c>
      <c r="K486" s="572"/>
      <c r="L486" s="573"/>
      <c r="M486" s="23"/>
      <c r="N486" s="23" t="s">
        <v>1551</v>
      </c>
      <c r="O486" s="13" t="s">
        <v>1552</v>
      </c>
      <c r="P486" s="1" t="s">
        <v>868</v>
      </c>
      <c r="Q486" s="1">
        <v>1</v>
      </c>
      <c r="R486" s="24"/>
      <c r="S486" s="13" t="s">
        <v>1557</v>
      </c>
      <c r="T486" s="13" t="s">
        <v>1558</v>
      </c>
      <c r="U486" s="1" t="s">
        <v>868</v>
      </c>
      <c r="V486" s="1">
        <v>5</v>
      </c>
      <c r="W486" s="1" t="s">
        <v>971</v>
      </c>
      <c r="X486" s="1"/>
      <c r="Y486" s="1"/>
      <c r="Z486" s="1"/>
      <c r="AA486" s="13">
        <v>16</v>
      </c>
      <c r="AB486" s="10" t="s">
        <v>1774</v>
      </c>
      <c r="AC486" s="157"/>
      <c r="AD486" s="156">
        <v>1</v>
      </c>
      <c r="AE486" s="156">
        <v>2</v>
      </c>
      <c r="AF486" s="156">
        <v>2</v>
      </c>
      <c r="AG486" s="377">
        <f t="shared" si="79"/>
        <v>5</v>
      </c>
      <c r="AH486" s="377" t="b">
        <f t="shared" si="75"/>
        <v>1</v>
      </c>
      <c r="AI486" s="1"/>
      <c r="AJ486" s="1"/>
      <c r="AK486" s="1"/>
      <c r="AL486" s="1"/>
      <c r="AM486" s="16">
        <f t="shared" si="76"/>
        <v>0</v>
      </c>
      <c r="AN486" s="157"/>
      <c r="AO486" s="10"/>
      <c r="AP486" s="10"/>
      <c r="AQ486" s="10"/>
      <c r="AR486" s="10">
        <f t="shared" si="80"/>
        <v>0</v>
      </c>
      <c r="AS486" s="21">
        <f t="shared" si="81"/>
        <v>0</v>
      </c>
      <c r="AT486" s="1">
        <f t="shared" si="77"/>
        <v>0</v>
      </c>
      <c r="AU486" s="31"/>
      <c r="AV486" s="31"/>
      <c r="AW486" s="31"/>
      <c r="AX486" s="16">
        <f t="shared" si="72"/>
        <v>0</v>
      </c>
      <c r="AY486" s="156">
        <v>1</v>
      </c>
      <c r="AZ486" s="76">
        <v>0</v>
      </c>
      <c r="BA486" s="31"/>
      <c r="BB486" s="31"/>
      <c r="BC486" s="31"/>
      <c r="BD486" s="16">
        <f t="shared" si="78"/>
        <v>0</v>
      </c>
      <c r="BE486" s="31"/>
      <c r="BF486" s="31"/>
      <c r="BG486" s="31"/>
      <c r="BH486" s="31"/>
      <c r="BI486" s="16"/>
      <c r="BJ486" s="16"/>
      <c r="BK486" s="31"/>
      <c r="BL486" s="31"/>
      <c r="BM486" s="31"/>
      <c r="BN486" s="31"/>
      <c r="BO486" s="16"/>
      <c r="BP486" s="31"/>
      <c r="BQ486" s="31"/>
      <c r="BR486" s="31"/>
      <c r="BS486" s="31"/>
      <c r="BT486" s="16"/>
      <c r="BU486" s="16"/>
      <c r="BV486" s="16"/>
      <c r="BW486" s="16"/>
      <c r="BX486" s="16"/>
      <c r="BY486" s="16"/>
      <c r="BZ486" s="16"/>
      <c r="CA486" s="10"/>
      <c r="CB486" s="46"/>
      <c r="CC486" s="48"/>
    </row>
    <row r="487" spans="1:81" s="52" customFormat="1" ht="94.5" customHeight="1" x14ac:dyDescent="0.25">
      <c r="A487" s="1">
        <v>6</v>
      </c>
      <c r="B487" s="13" t="s">
        <v>1751</v>
      </c>
      <c r="C487" s="572"/>
      <c r="D487" s="573"/>
      <c r="E487" s="10" t="s">
        <v>1454</v>
      </c>
      <c r="F487" s="13" t="s">
        <v>1455</v>
      </c>
      <c r="G487" s="572"/>
      <c r="H487" s="573"/>
      <c r="I487" s="10" t="s">
        <v>1550</v>
      </c>
      <c r="J487" s="13" t="s">
        <v>1885</v>
      </c>
      <c r="K487" s="572"/>
      <c r="L487" s="573"/>
      <c r="M487" s="23"/>
      <c r="N487" s="23" t="s">
        <v>1551</v>
      </c>
      <c r="O487" s="13" t="s">
        <v>1552</v>
      </c>
      <c r="P487" s="1" t="s">
        <v>868</v>
      </c>
      <c r="Q487" s="1">
        <v>1</v>
      </c>
      <c r="R487" s="24"/>
      <c r="S487" s="13" t="s">
        <v>1559</v>
      </c>
      <c r="T487" s="13" t="s">
        <v>1560</v>
      </c>
      <c r="U487" s="1" t="s">
        <v>868</v>
      </c>
      <c r="V487" s="1">
        <v>14</v>
      </c>
      <c r="W487" s="1" t="s">
        <v>971</v>
      </c>
      <c r="X487" s="1"/>
      <c r="Y487" s="1"/>
      <c r="Z487" s="1"/>
      <c r="AA487" s="13">
        <v>16</v>
      </c>
      <c r="AB487" s="10" t="s">
        <v>1774</v>
      </c>
      <c r="AC487" s="156">
        <v>2</v>
      </c>
      <c r="AD487" s="156">
        <v>4</v>
      </c>
      <c r="AE487" s="156">
        <v>4</v>
      </c>
      <c r="AF487" s="156">
        <v>4</v>
      </c>
      <c r="AG487" s="377">
        <f t="shared" si="79"/>
        <v>14</v>
      </c>
      <c r="AH487" s="377" t="b">
        <f t="shared" si="75"/>
        <v>1</v>
      </c>
      <c r="AI487" s="1"/>
      <c r="AJ487" s="1">
        <v>2</v>
      </c>
      <c r="AK487" s="1">
        <v>2</v>
      </c>
      <c r="AL487" s="1">
        <v>2</v>
      </c>
      <c r="AM487" s="16">
        <f t="shared" si="76"/>
        <v>0.14285714285714285</v>
      </c>
      <c r="AN487" s="156">
        <v>2</v>
      </c>
      <c r="AO487" s="1"/>
      <c r="AP487" s="1">
        <v>2</v>
      </c>
      <c r="AQ487" s="1"/>
      <c r="AR487" s="10">
        <f t="shared" si="80"/>
        <v>2</v>
      </c>
      <c r="AS487" s="21">
        <f t="shared" si="81"/>
        <v>1</v>
      </c>
      <c r="AT487" s="1">
        <f t="shared" si="77"/>
        <v>2</v>
      </c>
      <c r="AU487" s="31"/>
      <c r="AV487" s="31"/>
      <c r="AW487" s="31"/>
      <c r="AX487" s="16">
        <f t="shared" si="72"/>
        <v>0.14285714285714285</v>
      </c>
      <c r="AY487" s="156">
        <v>4</v>
      </c>
      <c r="AZ487" s="76">
        <v>0</v>
      </c>
      <c r="BA487" s="31"/>
      <c r="BB487" s="31"/>
      <c r="BC487" s="31"/>
      <c r="BD487" s="16">
        <f t="shared" si="78"/>
        <v>0</v>
      </c>
      <c r="BE487" s="31"/>
      <c r="BF487" s="31"/>
      <c r="BG487" s="31"/>
      <c r="BH487" s="31"/>
      <c r="BI487" s="16"/>
      <c r="BJ487" s="16"/>
      <c r="BK487" s="31"/>
      <c r="BL487" s="31"/>
      <c r="BM487" s="31"/>
      <c r="BN487" s="31"/>
      <c r="BO487" s="16"/>
      <c r="BP487" s="31"/>
      <c r="BQ487" s="31"/>
      <c r="BR487" s="31"/>
      <c r="BS487" s="31"/>
      <c r="BT487" s="16"/>
      <c r="BU487" s="16"/>
      <c r="BV487" s="16"/>
      <c r="BW487" s="16"/>
      <c r="BX487" s="16"/>
      <c r="BY487" s="16"/>
      <c r="BZ487" s="16"/>
      <c r="CA487" s="10"/>
      <c r="CB487" s="46"/>
      <c r="CC487" s="48"/>
    </row>
    <row r="488" spans="1:81" s="52" customFormat="1" ht="94.5" customHeight="1" x14ac:dyDescent="0.25">
      <c r="A488" s="1">
        <v>6</v>
      </c>
      <c r="B488" s="13" t="s">
        <v>1751</v>
      </c>
      <c r="C488" s="572"/>
      <c r="D488" s="573"/>
      <c r="E488" s="10" t="s">
        <v>1454</v>
      </c>
      <c r="F488" s="13" t="s">
        <v>1455</v>
      </c>
      <c r="G488" s="572"/>
      <c r="H488" s="573"/>
      <c r="I488" s="10" t="s">
        <v>1550</v>
      </c>
      <c r="J488" s="13" t="s">
        <v>1885</v>
      </c>
      <c r="K488" s="572"/>
      <c r="L488" s="573"/>
      <c r="M488" s="23"/>
      <c r="N488" s="23" t="s">
        <v>1551</v>
      </c>
      <c r="O488" s="13" t="s">
        <v>1552</v>
      </c>
      <c r="P488" s="1" t="s">
        <v>868</v>
      </c>
      <c r="Q488" s="1">
        <v>1</v>
      </c>
      <c r="R488" s="24"/>
      <c r="S488" s="13" t="s">
        <v>1561</v>
      </c>
      <c r="T488" s="13" t="s">
        <v>1562</v>
      </c>
      <c r="U488" s="1" t="s">
        <v>868</v>
      </c>
      <c r="V488" s="18">
        <v>0.3</v>
      </c>
      <c r="W488" s="1" t="s">
        <v>971</v>
      </c>
      <c r="X488" s="1"/>
      <c r="Y488" s="1"/>
      <c r="Z488" s="1"/>
      <c r="AA488" s="13">
        <v>16</v>
      </c>
      <c r="AB488" s="10" t="s">
        <v>1774</v>
      </c>
      <c r="AC488" s="156"/>
      <c r="AD488" s="156">
        <v>0.1</v>
      </c>
      <c r="AE488" s="156">
        <v>0.1</v>
      </c>
      <c r="AF488" s="156">
        <v>0.1</v>
      </c>
      <c r="AG488" s="377">
        <f t="shared" si="79"/>
        <v>0.30000000000000004</v>
      </c>
      <c r="AH488" s="377" t="b">
        <f t="shared" si="75"/>
        <v>1</v>
      </c>
      <c r="AI488" s="10"/>
      <c r="AJ488" s="10"/>
      <c r="AK488" s="10"/>
      <c r="AL488" s="10"/>
      <c r="AM488" s="16">
        <f t="shared" si="76"/>
        <v>0</v>
      </c>
      <c r="AN488" s="156"/>
      <c r="AO488" s="1"/>
      <c r="AP488" s="1"/>
      <c r="AQ488" s="1"/>
      <c r="AR488" s="1"/>
      <c r="AS488" s="21" t="s">
        <v>310</v>
      </c>
      <c r="AT488" s="1">
        <f t="shared" si="77"/>
        <v>0</v>
      </c>
      <c r="AU488" s="31"/>
      <c r="AV488" s="31"/>
      <c r="AW488" s="31"/>
      <c r="AX488" s="16">
        <f t="shared" si="72"/>
        <v>0</v>
      </c>
      <c r="AY488" s="156">
        <v>0.1</v>
      </c>
      <c r="AZ488" s="76">
        <v>0</v>
      </c>
      <c r="BA488" s="31"/>
      <c r="BB488" s="31"/>
      <c r="BC488" s="31"/>
      <c r="BD488" s="16">
        <f t="shared" si="78"/>
        <v>0</v>
      </c>
      <c r="BE488" s="31"/>
      <c r="BF488" s="31"/>
      <c r="BG488" s="31"/>
      <c r="BH488" s="31"/>
      <c r="BI488" s="16"/>
      <c r="BJ488" s="16"/>
      <c r="BK488" s="31"/>
      <c r="BL488" s="31"/>
      <c r="BM488" s="31"/>
      <c r="BN488" s="31"/>
      <c r="BO488" s="16"/>
      <c r="BP488" s="31"/>
      <c r="BQ488" s="31"/>
      <c r="BR488" s="31"/>
      <c r="BS488" s="31"/>
      <c r="BT488" s="16"/>
      <c r="BU488" s="16"/>
      <c r="BV488" s="16"/>
      <c r="BW488" s="16"/>
      <c r="BX488" s="16"/>
      <c r="BY488" s="16"/>
      <c r="BZ488" s="16"/>
      <c r="CA488" s="10"/>
      <c r="CB488" s="46"/>
      <c r="CC488" s="48"/>
    </row>
    <row r="489" spans="1:81" s="52" customFormat="1" ht="94.5" customHeight="1" x14ac:dyDescent="0.25">
      <c r="A489" s="1">
        <v>6</v>
      </c>
      <c r="B489" s="13" t="s">
        <v>1751</v>
      </c>
      <c r="C489" s="572"/>
      <c r="D489" s="573"/>
      <c r="E489" s="10" t="s">
        <v>1454</v>
      </c>
      <c r="F489" s="13" t="s">
        <v>1455</v>
      </c>
      <c r="G489" s="572"/>
      <c r="H489" s="573"/>
      <c r="I489" s="10" t="s">
        <v>1550</v>
      </c>
      <c r="J489" s="13" t="s">
        <v>1885</v>
      </c>
      <c r="K489" s="572"/>
      <c r="L489" s="573"/>
      <c r="M489" s="23"/>
      <c r="N489" s="23" t="s">
        <v>1551</v>
      </c>
      <c r="O489" s="13" t="s">
        <v>1552</v>
      </c>
      <c r="P489" s="1" t="s">
        <v>868</v>
      </c>
      <c r="Q489" s="1">
        <v>1</v>
      </c>
      <c r="R489" s="24"/>
      <c r="S489" s="13" t="s">
        <v>1563</v>
      </c>
      <c r="T489" s="13" t="s">
        <v>1564</v>
      </c>
      <c r="U489" s="1" t="s">
        <v>868</v>
      </c>
      <c r="V489" s="1">
        <v>2</v>
      </c>
      <c r="W489" s="1" t="s">
        <v>971</v>
      </c>
      <c r="X489" s="1"/>
      <c r="Y489" s="1"/>
      <c r="Z489" s="1"/>
      <c r="AA489" s="13">
        <v>16</v>
      </c>
      <c r="AB489" s="10" t="s">
        <v>1774</v>
      </c>
      <c r="AC489" s="156"/>
      <c r="AD489" s="156">
        <v>1</v>
      </c>
      <c r="AE489" s="156">
        <v>1</v>
      </c>
      <c r="AF489" s="156"/>
      <c r="AG489" s="377">
        <f t="shared" si="79"/>
        <v>2</v>
      </c>
      <c r="AH489" s="377" t="b">
        <f t="shared" si="75"/>
        <v>1</v>
      </c>
      <c r="AI489" s="1"/>
      <c r="AJ489" s="1"/>
      <c r="AK489" s="1"/>
      <c r="AL489" s="1"/>
      <c r="AM489" s="16">
        <f t="shared" si="76"/>
        <v>0</v>
      </c>
      <c r="AN489" s="156"/>
      <c r="AO489" s="1"/>
      <c r="AP489" s="1"/>
      <c r="AQ489" s="1"/>
      <c r="AR489" s="1"/>
      <c r="AS489" s="21" t="s">
        <v>310</v>
      </c>
      <c r="AT489" s="1">
        <f t="shared" si="77"/>
        <v>1</v>
      </c>
      <c r="AU489" s="31"/>
      <c r="AV489" s="31"/>
      <c r="AW489" s="31"/>
      <c r="AX489" s="16">
        <f t="shared" si="72"/>
        <v>0.5</v>
      </c>
      <c r="AY489" s="156">
        <v>1</v>
      </c>
      <c r="AZ489" s="76">
        <v>1</v>
      </c>
      <c r="BA489" s="31"/>
      <c r="BB489" s="31"/>
      <c r="BC489" s="31"/>
      <c r="BD489" s="16">
        <f t="shared" si="78"/>
        <v>1</v>
      </c>
      <c r="BE489" s="31"/>
      <c r="BF489" s="31"/>
      <c r="BG489" s="31"/>
      <c r="BH489" s="31"/>
      <c r="BI489" s="16"/>
      <c r="BJ489" s="16"/>
      <c r="BK489" s="31"/>
      <c r="BL489" s="31"/>
      <c r="BM489" s="31"/>
      <c r="BN489" s="31"/>
      <c r="BO489" s="16"/>
      <c r="BP489" s="31"/>
      <c r="BQ489" s="31"/>
      <c r="BR489" s="31"/>
      <c r="BS489" s="31"/>
      <c r="BT489" s="16"/>
      <c r="BU489" s="16"/>
      <c r="BV489" s="16"/>
      <c r="BW489" s="16"/>
      <c r="BX489" s="16"/>
      <c r="BY489" s="16"/>
      <c r="BZ489" s="16"/>
      <c r="CA489" s="10"/>
      <c r="CB489" s="46"/>
      <c r="CC489" s="48"/>
    </row>
    <row r="490" spans="1:81" s="52" customFormat="1" ht="94.5" customHeight="1" x14ac:dyDescent="0.25">
      <c r="A490" s="1">
        <v>6</v>
      </c>
      <c r="B490" s="13" t="s">
        <v>1751</v>
      </c>
      <c r="C490" s="572"/>
      <c r="D490" s="573"/>
      <c r="E490" s="10" t="s">
        <v>1454</v>
      </c>
      <c r="F490" s="13" t="s">
        <v>1455</v>
      </c>
      <c r="G490" s="572"/>
      <c r="H490" s="573"/>
      <c r="I490" s="10" t="s">
        <v>1550</v>
      </c>
      <c r="J490" s="13" t="s">
        <v>1885</v>
      </c>
      <c r="K490" s="572"/>
      <c r="L490" s="573"/>
      <c r="M490" s="23"/>
      <c r="N490" s="23" t="s">
        <v>1551</v>
      </c>
      <c r="O490" s="13" t="s">
        <v>1552</v>
      </c>
      <c r="P490" s="1" t="s">
        <v>868</v>
      </c>
      <c r="Q490" s="1">
        <v>1</v>
      </c>
      <c r="R490" s="24"/>
      <c r="S490" s="13" t="s">
        <v>1565</v>
      </c>
      <c r="T490" s="13" t="s">
        <v>1566</v>
      </c>
      <c r="U490" s="1" t="s">
        <v>868</v>
      </c>
      <c r="V490" s="10">
        <v>50</v>
      </c>
      <c r="W490" s="1" t="s">
        <v>971</v>
      </c>
      <c r="X490" s="1"/>
      <c r="Y490" s="1"/>
      <c r="Z490" s="1"/>
      <c r="AA490" s="13">
        <v>16</v>
      </c>
      <c r="AB490" s="10" t="s">
        <v>1774</v>
      </c>
      <c r="AC490" s="156"/>
      <c r="AD490" s="156">
        <v>20</v>
      </c>
      <c r="AE490" s="156">
        <v>20</v>
      </c>
      <c r="AF490" s="156">
        <v>10</v>
      </c>
      <c r="AG490" s="377">
        <f t="shared" si="79"/>
        <v>50</v>
      </c>
      <c r="AH490" s="377" t="b">
        <f t="shared" si="75"/>
        <v>1</v>
      </c>
      <c r="AI490" s="10"/>
      <c r="AJ490" s="10"/>
      <c r="AK490" s="10"/>
      <c r="AL490" s="10"/>
      <c r="AM490" s="16">
        <f t="shared" si="76"/>
        <v>0</v>
      </c>
      <c r="AN490" s="156"/>
      <c r="AO490" s="1"/>
      <c r="AP490" s="1"/>
      <c r="AQ490" s="1"/>
      <c r="AR490" s="1"/>
      <c r="AS490" s="21" t="s">
        <v>310</v>
      </c>
      <c r="AT490" s="1">
        <f t="shared" si="77"/>
        <v>0</v>
      </c>
      <c r="AU490" s="31"/>
      <c r="AV490" s="31"/>
      <c r="AW490" s="31"/>
      <c r="AX490" s="16">
        <f t="shared" si="72"/>
        <v>0</v>
      </c>
      <c r="AY490" s="156">
        <v>20</v>
      </c>
      <c r="AZ490" s="76">
        <v>0</v>
      </c>
      <c r="BA490" s="31"/>
      <c r="BB490" s="31"/>
      <c r="BC490" s="31"/>
      <c r="BD490" s="16">
        <f t="shared" si="78"/>
        <v>0</v>
      </c>
      <c r="BE490" s="31"/>
      <c r="BF490" s="31"/>
      <c r="BG490" s="31"/>
      <c r="BH490" s="31"/>
      <c r="BI490" s="16"/>
      <c r="BJ490" s="16"/>
      <c r="BK490" s="31"/>
      <c r="BL490" s="31"/>
      <c r="BM490" s="31"/>
      <c r="BN490" s="31"/>
      <c r="BO490" s="16"/>
      <c r="BP490" s="31"/>
      <c r="BQ490" s="31"/>
      <c r="BR490" s="31"/>
      <c r="BS490" s="31"/>
      <c r="BT490" s="16"/>
      <c r="BU490" s="16"/>
      <c r="BV490" s="16"/>
      <c r="BW490" s="16"/>
      <c r="BX490" s="16"/>
      <c r="BY490" s="16"/>
      <c r="BZ490" s="16"/>
      <c r="CA490" s="10"/>
      <c r="CB490" s="46"/>
      <c r="CC490" s="48"/>
    </row>
    <row r="491" spans="1:81" s="52" customFormat="1" ht="104.65" customHeight="1" x14ac:dyDescent="0.25">
      <c r="A491" s="1">
        <v>6</v>
      </c>
      <c r="B491" s="13" t="s">
        <v>1751</v>
      </c>
      <c r="C491" s="572"/>
      <c r="D491" s="573"/>
      <c r="E491" s="10" t="s">
        <v>1454</v>
      </c>
      <c r="F491" s="13" t="s">
        <v>1455</v>
      </c>
      <c r="G491" s="568"/>
      <c r="H491" s="570"/>
      <c r="I491" s="10" t="s">
        <v>1550</v>
      </c>
      <c r="J491" s="13" t="s">
        <v>1885</v>
      </c>
      <c r="K491" s="568"/>
      <c r="L491" s="570"/>
      <c r="M491" s="23"/>
      <c r="N491" s="23" t="s">
        <v>1551</v>
      </c>
      <c r="O491" s="13" t="s">
        <v>1552</v>
      </c>
      <c r="P491" s="1" t="s">
        <v>868</v>
      </c>
      <c r="Q491" s="1">
        <v>1</v>
      </c>
      <c r="R491" s="24"/>
      <c r="S491" s="13" t="s">
        <v>1567</v>
      </c>
      <c r="T491" s="13" t="s">
        <v>1568</v>
      </c>
      <c r="U491" s="1" t="s">
        <v>868</v>
      </c>
      <c r="V491" s="18">
        <v>0.15</v>
      </c>
      <c r="W491" s="1" t="s">
        <v>971</v>
      </c>
      <c r="X491" s="1"/>
      <c r="Y491" s="1"/>
      <c r="Z491" s="1"/>
      <c r="AA491" s="13">
        <v>16</v>
      </c>
      <c r="AB491" s="10" t="s">
        <v>1774</v>
      </c>
      <c r="AC491" s="156"/>
      <c r="AD491" s="156">
        <v>0.5</v>
      </c>
      <c r="AE491" s="156">
        <v>0.5</v>
      </c>
      <c r="AF491" s="156">
        <v>0.5</v>
      </c>
      <c r="AG491" s="377">
        <f t="shared" si="79"/>
        <v>1.5</v>
      </c>
      <c r="AH491" s="377" t="b">
        <f t="shared" si="75"/>
        <v>0</v>
      </c>
      <c r="AI491" s="10"/>
      <c r="AJ491" s="10"/>
      <c r="AK491" s="10"/>
      <c r="AL491" s="10"/>
      <c r="AM491" s="16">
        <f t="shared" si="76"/>
        <v>0</v>
      </c>
      <c r="AN491" s="156"/>
      <c r="AO491" s="1"/>
      <c r="AP491" s="1"/>
      <c r="AQ491" s="1"/>
      <c r="AR491" s="1"/>
      <c r="AS491" s="21" t="s">
        <v>310</v>
      </c>
      <c r="AT491" s="1">
        <f t="shared" si="77"/>
        <v>0</v>
      </c>
      <c r="AU491" s="31"/>
      <c r="AV491" s="31"/>
      <c r="AW491" s="31"/>
      <c r="AX491" s="16">
        <f t="shared" si="72"/>
        <v>0</v>
      </c>
      <c r="AY491" s="156">
        <v>0.5</v>
      </c>
      <c r="AZ491" s="76">
        <v>0</v>
      </c>
      <c r="BA491" s="31"/>
      <c r="BB491" s="31"/>
      <c r="BC491" s="31"/>
      <c r="BD491" s="16">
        <f t="shared" si="78"/>
        <v>0</v>
      </c>
      <c r="BE491" s="31"/>
      <c r="BF491" s="31"/>
      <c r="BG491" s="31"/>
      <c r="BH491" s="31"/>
      <c r="BI491" s="16"/>
      <c r="BJ491" s="16"/>
      <c r="BK491" s="31"/>
      <c r="BL491" s="31"/>
      <c r="BM491" s="31"/>
      <c r="BN491" s="31"/>
      <c r="BO491" s="16"/>
      <c r="BP491" s="31"/>
      <c r="BQ491" s="31"/>
      <c r="BR491" s="31"/>
      <c r="BS491" s="31"/>
      <c r="BT491" s="16"/>
      <c r="BU491" s="16"/>
      <c r="BV491" s="16"/>
      <c r="BW491" s="16"/>
      <c r="BX491" s="16"/>
      <c r="BY491" s="16"/>
      <c r="BZ491" s="16"/>
      <c r="CA491" s="10"/>
      <c r="CB491" s="46"/>
      <c r="CC491" s="48"/>
    </row>
    <row r="492" spans="1:81" s="52" customFormat="1" ht="187.5" customHeight="1" x14ac:dyDescent="0.25">
      <c r="A492" s="1">
        <v>6</v>
      </c>
      <c r="B492" s="13" t="s">
        <v>1751</v>
      </c>
      <c r="C492" s="572"/>
      <c r="D492" s="573"/>
      <c r="E492" s="10" t="s">
        <v>1569</v>
      </c>
      <c r="F492" s="13" t="s">
        <v>1818</v>
      </c>
      <c r="G492" s="567">
        <f>+AVERAGEIF(F14:F567,F492,AX14:AX567)</f>
        <v>0.11418918918918917</v>
      </c>
      <c r="H492" s="569">
        <f>+AVERAGEIF(F14:F567,F492,BD14:BD567)</f>
        <v>0.14107142857142857</v>
      </c>
      <c r="I492" s="10" t="s">
        <v>1980</v>
      </c>
      <c r="J492" s="13" t="s">
        <v>1886</v>
      </c>
      <c r="K492" s="567">
        <f>AVERAGE(AX492:AX495)</f>
        <v>0.453125</v>
      </c>
      <c r="L492" s="569">
        <f>AVERAGE(BD492:BD495)</f>
        <v>0.4375</v>
      </c>
      <c r="M492" s="10"/>
      <c r="N492" s="10" t="s">
        <v>1571</v>
      </c>
      <c r="O492" s="10" t="s">
        <v>1571</v>
      </c>
      <c r="P492" s="1">
        <v>30</v>
      </c>
      <c r="Q492" s="1">
        <v>75</v>
      </c>
      <c r="R492" s="24"/>
      <c r="S492" s="13" t="s">
        <v>1572</v>
      </c>
      <c r="T492" s="13" t="s">
        <v>1572</v>
      </c>
      <c r="U492" s="1">
        <v>0</v>
      </c>
      <c r="V492" s="1">
        <v>16</v>
      </c>
      <c r="W492" s="1" t="s">
        <v>412</v>
      </c>
      <c r="X492" s="1"/>
      <c r="Y492" s="10" t="s">
        <v>1212</v>
      </c>
      <c r="Z492" s="1">
        <v>45</v>
      </c>
      <c r="AA492" s="24">
        <v>10</v>
      </c>
      <c r="AB492" s="10" t="s">
        <v>1333</v>
      </c>
      <c r="AC492" s="157">
        <v>2</v>
      </c>
      <c r="AD492" s="156">
        <v>4</v>
      </c>
      <c r="AE492" s="156">
        <v>8</v>
      </c>
      <c r="AF492" s="156">
        <v>2</v>
      </c>
      <c r="AG492" s="377">
        <f t="shared" si="79"/>
        <v>16</v>
      </c>
      <c r="AH492" s="377" t="b">
        <f t="shared" si="75"/>
        <v>1</v>
      </c>
      <c r="AI492" s="1">
        <v>0</v>
      </c>
      <c r="AJ492" s="1">
        <v>2</v>
      </c>
      <c r="AK492" s="1">
        <v>2</v>
      </c>
      <c r="AL492" s="1">
        <v>2</v>
      </c>
      <c r="AM492" s="16">
        <f t="shared" si="76"/>
        <v>0.125</v>
      </c>
      <c r="AN492" s="157">
        <v>2</v>
      </c>
      <c r="AO492" s="10">
        <v>0</v>
      </c>
      <c r="AP492" s="36">
        <v>2</v>
      </c>
      <c r="AQ492" s="36"/>
      <c r="AR492" s="27">
        <f>AL492</f>
        <v>2</v>
      </c>
      <c r="AS492" s="21">
        <f>IFERROR(+AR492/AN492,0)</f>
        <v>1</v>
      </c>
      <c r="AT492" s="1">
        <f t="shared" si="77"/>
        <v>3</v>
      </c>
      <c r="AU492" s="31"/>
      <c r="AV492" s="31"/>
      <c r="AW492" s="31"/>
      <c r="AX492" s="16">
        <f t="shared" si="72"/>
        <v>0.1875</v>
      </c>
      <c r="AY492" s="156">
        <v>4</v>
      </c>
      <c r="AZ492" s="76">
        <v>1</v>
      </c>
      <c r="BA492" s="31"/>
      <c r="BB492" s="31"/>
      <c r="BC492" s="31"/>
      <c r="BD492" s="16">
        <f t="shared" si="78"/>
        <v>0.25</v>
      </c>
      <c r="BE492" s="31"/>
      <c r="BF492" s="31"/>
      <c r="BG492" s="31"/>
      <c r="BH492" s="31"/>
      <c r="BI492" s="16"/>
      <c r="BJ492" s="16"/>
      <c r="BK492" s="31"/>
      <c r="BL492" s="31"/>
      <c r="BM492" s="31"/>
      <c r="BN492" s="31"/>
      <c r="BO492" s="16"/>
      <c r="BP492" s="31"/>
      <c r="BQ492" s="31"/>
      <c r="BR492" s="31"/>
      <c r="BS492" s="31"/>
      <c r="BT492" s="16"/>
      <c r="BU492" s="16"/>
      <c r="BV492" s="16"/>
      <c r="BW492" s="16"/>
      <c r="BX492" s="16"/>
      <c r="BY492" s="16"/>
      <c r="BZ492" s="16"/>
      <c r="CA492" s="1"/>
      <c r="CB492" s="1"/>
      <c r="CC492" s="1"/>
    </row>
    <row r="493" spans="1:81" s="52" customFormat="1" ht="126" x14ac:dyDescent="0.25">
      <c r="A493" s="1">
        <v>6</v>
      </c>
      <c r="B493" s="13" t="s">
        <v>1751</v>
      </c>
      <c r="C493" s="572"/>
      <c r="D493" s="573"/>
      <c r="E493" s="10" t="s">
        <v>1569</v>
      </c>
      <c r="F493" s="13" t="s">
        <v>1818</v>
      </c>
      <c r="G493" s="572"/>
      <c r="H493" s="573"/>
      <c r="I493" s="10" t="s">
        <v>1980</v>
      </c>
      <c r="J493" s="13" t="s">
        <v>1886</v>
      </c>
      <c r="K493" s="572"/>
      <c r="L493" s="573"/>
      <c r="M493" s="10"/>
      <c r="N493" s="10" t="s">
        <v>1571</v>
      </c>
      <c r="O493" s="10" t="s">
        <v>1571</v>
      </c>
      <c r="P493" s="1">
        <v>30</v>
      </c>
      <c r="Q493" s="1">
        <v>75</v>
      </c>
      <c r="R493" s="24"/>
      <c r="S493" s="13" t="s">
        <v>1573</v>
      </c>
      <c r="T493" s="13" t="s">
        <v>1573</v>
      </c>
      <c r="U493" s="1">
        <v>0</v>
      </c>
      <c r="V493" s="1">
        <v>1</v>
      </c>
      <c r="W493" s="1" t="s">
        <v>412</v>
      </c>
      <c r="X493" s="1"/>
      <c r="Y493" s="10" t="s">
        <v>1212</v>
      </c>
      <c r="Z493" s="1">
        <v>45</v>
      </c>
      <c r="AA493" s="24">
        <v>10</v>
      </c>
      <c r="AB493" s="10" t="s">
        <v>1333</v>
      </c>
      <c r="AC493" s="157">
        <v>0.5</v>
      </c>
      <c r="AD493" s="156">
        <v>1</v>
      </c>
      <c r="AE493" s="156"/>
      <c r="AF493" s="156"/>
      <c r="AG493" s="377">
        <f t="shared" si="79"/>
        <v>1.5</v>
      </c>
      <c r="AH493" s="377" t="b">
        <f t="shared" si="75"/>
        <v>0</v>
      </c>
      <c r="AI493" s="1">
        <v>0</v>
      </c>
      <c r="AJ493" s="1">
        <v>0.5</v>
      </c>
      <c r="AK493" s="1">
        <v>0.5</v>
      </c>
      <c r="AL493" s="1">
        <v>0.5</v>
      </c>
      <c r="AM493" s="16">
        <f t="shared" si="76"/>
        <v>0.5</v>
      </c>
      <c r="AN493" s="157">
        <v>0.5</v>
      </c>
      <c r="AO493" s="315">
        <v>0</v>
      </c>
      <c r="AP493" s="315">
        <v>0.5</v>
      </c>
      <c r="AQ493" s="315"/>
      <c r="AR493" s="326">
        <f>AL493</f>
        <v>0.5</v>
      </c>
      <c r="AS493" s="21">
        <f>IFERROR(+AR493/AN493,0)</f>
        <v>1</v>
      </c>
      <c r="AT493" s="1">
        <f t="shared" si="77"/>
        <v>1</v>
      </c>
      <c r="AU493" s="31"/>
      <c r="AV493" s="31"/>
      <c r="AW493" s="31"/>
      <c r="AX493" s="16">
        <f t="shared" si="72"/>
        <v>1</v>
      </c>
      <c r="AY493" s="156">
        <v>1</v>
      </c>
      <c r="AZ493" s="76">
        <v>0.5</v>
      </c>
      <c r="BA493" s="31"/>
      <c r="BB493" s="31"/>
      <c r="BC493" s="31"/>
      <c r="BD493" s="16">
        <f t="shared" si="78"/>
        <v>0.5</v>
      </c>
      <c r="BE493" s="31"/>
      <c r="BF493" s="31"/>
      <c r="BG493" s="31"/>
      <c r="BH493" s="31"/>
      <c r="BI493" s="16"/>
      <c r="BJ493" s="16"/>
      <c r="BK493" s="31"/>
      <c r="BL493" s="31"/>
      <c r="BM493" s="31"/>
      <c r="BN493" s="31"/>
      <c r="BO493" s="16"/>
      <c r="BP493" s="31"/>
      <c r="BQ493" s="31"/>
      <c r="BR493" s="31"/>
      <c r="BS493" s="31"/>
      <c r="BT493" s="16"/>
      <c r="BU493" s="16"/>
      <c r="BV493" s="16"/>
      <c r="BW493" s="16"/>
      <c r="BX493" s="16"/>
      <c r="BY493" s="16"/>
      <c r="BZ493" s="16"/>
      <c r="CA493" s="1"/>
      <c r="CB493" s="1"/>
      <c r="CC493" s="1"/>
    </row>
    <row r="494" spans="1:81" s="52" customFormat="1" ht="192" customHeight="1" x14ac:dyDescent="0.25">
      <c r="A494" s="1">
        <v>6</v>
      </c>
      <c r="B494" s="13" t="s">
        <v>1751</v>
      </c>
      <c r="C494" s="572"/>
      <c r="D494" s="573"/>
      <c r="E494" s="10" t="s">
        <v>1569</v>
      </c>
      <c r="F494" s="13" t="s">
        <v>1818</v>
      </c>
      <c r="G494" s="572"/>
      <c r="H494" s="573"/>
      <c r="I494" s="10" t="s">
        <v>1980</v>
      </c>
      <c r="J494" s="13" t="s">
        <v>1886</v>
      </c>
      <c r="K494" s="572"/>
      <c r="L494" s="573"/>
      <c r="M494" s="10"/>
      <c r="N494" s="10" t="s">
        <v>1571</v>
      </c>
      <c r="O494" s="10" t="s">
        <v>1571</v>
      </c>
      <c r="P494" s="1">
        <v>30</v>
      </c>
      <c r="Q494" s="1">
        <v>75</v>
      </c>
      <c r="R494" s="24"/>
      <c r="S494" s="13" t="s">
        <v>1574</v>
      </c>
      <c r="T494" s="13" t="s">
        <v>1574</v>
      </c>
      <c r="U494" s="1">
        <v>2</v>
      </c>
      <c r="V494" s="1">
        <v>2</v>
      </c>
      <c r="W494" s="1" t="s">
        <v>420</v>
      </c>
      <c r="X494" s="1"/>
      <c r="Y494" s="10" t="s">
        <v>1212</v>
      </c>
      <c r="Z494" s="1">
        <v>45</v>
      </c>
      <c r="AA494" s="24">
        <v>10</v>
      </c>
      <c r="AB494" s="10" t="s">
        <v>1333</v>
      </c>
      <c r="AC494" s="157">
        <v>2</v>
      </c>
      <c r="AD494" s="156">
        <v>2</v>
      </c>
      <c r="AE494" s="156"/>
      <c r="AF494" s="156"/>
      <c r="AG494" s="377">
        <f t="shared" si="79"/>
        <v>4</v>
      </c>
      <c r="AH494" s="377" t="b">
        <f t="shared" si="75"/>
        <v>0</v>
      </c>
      <c r="AI494" s="26">
        <v>0.5</v>
      </c>
      <c r="AJ494" s="1">
        <v>2</v>
      </c>
      <c r="AK494" s="1">
        <v>2</v>
      </c>
      <c r="AL494" s="1">
        <v>2</v>
      </c>
      <c r="AM494" s="16">
        <f t="shared" si="76"/>
        <v>1</v>
      </c>
      <c r="AN494" s="157">
        <v>2</v>
      </c>
      <c r="AO494" s="10">
        <v>1</v>
      </c>
      <c r="AP494" s="36">
        <v>2</v>
      </c>
      <c r="AQ494" s="36"/>
      <c r="AR494" s="27">
        <f>AL494</f>
        <v>2</v>
      </c>
      <c r="AS494" s="21">
        <f>IFERROR(+AR494/AN494,0)</f>
        <v>1</v>
      </c>
      <c r="AT494" s="1">
        <f t="shared" si="77"/>
        <v>1</v>
      </c>
      <c r="AU494" s="31"/>
      <c r="AV494" s="31"/>
      <c r="AW494" s="31"/>
      <c r="AX494" s="16">
        <f t="shared" si="72"/>
        <v>0.5</v>
      </c>
      <c r="AY494" s="156">
        <v>2</v>
      </c>
      <c r="AZ494" s="76">
        <v>2</v>
      </c>
      <c r="BA494" s="31"/>
      <c r="BB494" s="31"/>
      <c r="BC494" s="31"/>
      <c r="BD494" s="16">
        <f t="shared" si="78"/>
        <v>1</v>
      </c>
      <c r="BE494" s="31"/>
      <c r="BF494" s="31"/>
      <c r="BG494" s="31"/>
      <c r="BH494" s="31"/>
      <c r="BI494" s="16"/>
      <c r="BJ494" s="16"/>
      <c r="BK494" s="31"/>
      <c r="BL494" s="31"/>
      <c r="BM494" s="31"/>
      <c r="BN494" s="31"/>
      <c r="BO494" s="16"/>
      <c r="BP494" s="31"/>
      <c r="BQ494" s="31"/>
      <c r="BR494" s="31"/>
      <c r="BS494" s="31"/>
      <c r="BT494" s="16"/>
      <c r="BU494" s="16"/>
      <c r="BV494" s="16"/>
      <c r="BW494" s="16"/>
      <c r="BX494" s="16"/>
      <c r="BY494" s="16"/>
      <c r="BZ494" s="16"/>
      <c r="CA494" s="1"/>
      <c r="CB494" s="1"/>
      <c r="CC494" s="1"/>
    </row>
    <row r="495" spans="1:81" s="52" customFormat="1" ht="126" x14ac:dyDescent="0.25">
      <c r="A495" s="1">
        <v>6</v>
      </c>
      <c r="B495" s="13" t="s">
        <v>1751</v>
      </c>
      <c r="C495" s="572"/>
      <c r="D495" s="573"/>
      <c r="E495" s="10" t="s">
        <v>1569</v>
      </c>
      <c r="F495" s="13" t="s">
        <v>1818</v>
      </c>
      <c r="G495" s="572"/>
      <c r="H495" s="573"/>
      <c r="I495" s="10" t="s">
        <v>1980</v>
      </c>
      <c r="J495" s="13" t="s">
        <v>1886</v>
      </c>
      <c r="K495" s="568"/>
      <c r="L495" s="570"/>
      <c r="M495" s="10"/>
      <c r="N495" s="10" t="s">
        <v>1571</v>
      </c>
      <c r="O495" s="10" t="s">
        <v>1571</v>
      </c>
      <c r="P495" s="1">
        <v>30</v>
      </c>
      <c r="Q495" s="1">
        <v>75</v>
      </c>
      <c r="R495" s="24"/>
      <c r="S495" s="13" t="s">
        <v>1575</v>
      </c>
      <c r="T495" s="13" t="s">
        <v>1575</v>
      </c>
      <c r="U495" s="1">
        <v>0</v>
      </c>
      <c r="V495" s="1">
        <v>4</v>
      </c>
      <c r="W495" s="1" t="s">
        <v>412</v>
      </c>
      <c r="X495" s="1"/>
      <c r="Y495" s="10" t="s">
        <v>1212</v>
      </c>
      <c r="Z495" s="1">
        <v>45</v>
      </c>
      <c r="AA495" s="24">
        <v>10</v>
      </c>
      <c r="AB495" s="10" t="s">
        <v>1333</v>
      </c>
      <c r="AC495" s="157">
        <v>0.5</v>
      </c>
      <c r="AD495" s="156">
        <v>1</v>
      </c>
      <c r="AE495" s="156">
        <v>2</v>
      </c>
      <c r="AF495" s="156">
        <v>0.5</v>
      </c>
      <c r="AG495" s="377">
        <f t="shared" si="79"/>
        <v>4</v>
      </c>
      <c r="AH495" s="377" t="b">
        <f t="shared" si="75"/>
        <v>1</v>
      </c>
      <c r="AI495" s="1">
        <v>0</v>
      </c>
      <c r="AJ495" s="1">
        <v>0.5</v>
      </c>
      <c r="AK495" s="1">
        <v>0.5</v>
      </c>
      <c r="AL495" s="1">
        <v>0.5</v>
      </c>
      <c r="AM495" s="16">
        <f t="shared" si="76"/>
        <v>0.125</v>
      </c>
      <c r="AN495" s="157">
        <v>0.5</v>
      </c>
      <c r="AO495" s="10">
        <v>0</v>
      </c>
      <c r="AP495" s="36">
        <v>0.5</v>
      </c>
      <c r="AQ495" s="36"/>
      <c r="AR495" s="27">
        <f>AL495</f>
        <v>0.5</v>
      </c>
      <c r="AS495" s="21">
        <f>IFERROR(+AR495/AN495,0)</f>
        <v>1</v>
      </c>
      <c r="AT495" s="1">
        <f t="shared" si="77"/>
        <v>0.5</v>
      </c>
      <c r="AU495" s="31"/>
      <c r="AV495" s="31"/>
      <c r="AW495" s="31"/>
      <c r="AX495" s="16">
        <f t="shared" si="72"/>
        <v>0.125</v>
      </c>
      <c r="AY495" s="156">
        <v>1</v>
      </c>
      <c r="AZ495" s="76">
        <v>0</v>
      </c>
      <c r="BA495" s="31"/>
      <c r="BB495" s="31"/>
      <c r="BC495" s="31"/>
      <c r="BD495" s="16">
        <f t="shared" si="78"/>
        <v>0</v>
      </c>
      <c r="BE495" s="31"/>
      <c r="BF495" s="31"/>
      <c r="BG495" s="31"/>
      <c r="BH495" s="31"/>
      <c r="BI495" s="16"/>
      <c r="BJ495" s="16"/>
      <c r="BK495" s="31"/>
      <c r="BL495" s="31"/>
      <c r="BM495" s="31"/>
      <c r="BN495" s="31"/>
      <c r="BO495" s="16"/>
      <c r="BP495" s="31"/>
      <c r="BQ495" s="31"/>
      <c r="BR495" s="31"/>
      <c r="BS495" s="31"/>
      <c r="BT495" s="16"/>
      <c r="BU495" s="16"/>
      <c r="BV495" s="16"/>
      <c r="BW495" s="16"/>
      <c r="BX495" s="16"/>
      <c r="BY495" s="16"/>
      <c r="BZ495" s="16"/>
      <c r="CA495" s="1"/>
      <c r="CB495" s="1"/>
      <c r="CC495" s="1"/>
    </row>
    <row r="496" spans="1:81" s="52" customFormat="1" ht="71.25" customHeight="1" x14ac:dyDescent="0.25">
      <c r="A496" s="1">
        <v>6</v>
      </c>
      <c r="B496" s="13" t="s">
        <v>1751</v>
      </c>
      <c r="C496" s="572"/>
      <c r="D496" s="573"/>
      <c r="E496" s="10" t="s">
        <v>1569</v>
      </c>
      <c r="F496" s="13" t="s">
        <v>1818</v>
      </c>
      <c r="G496" s="572"/>
      <c r="H496" s="573"/>
      <c r="I496" s="10" t="s">
        <v>1576</v>
      </c>
      <c r="J496" s="13" t="s">
        <v>1887</v>
      </c>
      <c r="K496" s="567">
        <f>AVERAGE(AX496:AX499)</f>
        <v>4.0625000000000001E-2</v>
      </c>
      <c r="L496" s="569">
        <f>AVERAGE(BD496:BD499)</f>
        <v>0.1</v>
      </c>
      <c r="M496" s="23"/>
      <c r="N496" s="23" t="s">
        <v>1577</v>
      </c>
      <c r="O496" s="13" t="s">
        <v>1577</v>
      </c>
      <c r="P496" s="10" t="s">
        <v>1373</v>
      </c>
      <c r="Q496" s="1">
        <v>100</v>
      </c>
      <c r="R496" s="24"/>
      <c r="S496" s="13" t="s">
        <v>1578</v>
      </c>
      <c r="T496" s="13" t="s">
        <v>1940</v>
      </c>
      <c r="U496" s="1" t="s">
        <v>55</v>
      </c>
      <c r="V496" s="1">
        <v>4</v>
      </c>
      <c r="W496" s="1" t="s">
        <v>412</v>
      </c>
      <c r="X496" s="1" t="s">
        <v>73</v>
      </c>
      <c r="Y496" s="1"/>
      <c r="Z496" s="1">
        <v>41</v>
      </c>
      <c r="AA496" s="24" t="s">
        <v>1579</v>
      </c>
      <c r="AB496" s="10" t="s">
        <v>1761</v>
      </c>
      <c r="AC496" s="156">
        <v>1</v>
      </c>
      <c r="AD496" s="156">
        <v>1</v>
      </c>
      <c r="AE496" s="156">
        <v>1</v>
      </c>
      <c r="AF496" s="156">
        <v>1</v>
      </c>
      <c r="AG496" s="377">
        <f t="shared" si="79"/>
        <v>4</v>
      </c>
      <c r="AH496" s="377" t="b">
        <f t="shared" si="75"/>
        <v>1</v>
      </c>
      <c r="AI496" s="1">
        <v>0</v>
      </c>
      <c r="AJ496" s="1"/>
      <c r="AK496" s="1"/>
      <c r="AL496" s="1"/>
      <c r="AM496" s="16">
        <f t="shared" si="76"/>
        <v>0</v>
      </c>
      <c r="AN496" s="156">
        <v>1</v>
      </c>
      <c r="AO496" s="1">
        <v>0</v>
      </c>
      <c r="AP496" s="1"/>
      <c r="AQ496" s="1"/>
      <c r="AR496" s="1">
        <f>AL496</f>
        <v>0</v>
      </c>
      <c r="AS496" s="21">
        <f>IFERROR(+AR496/AN496,0)</f>
        <v>0</v>
      </c>
      <c r="AT496" s="1">
        <f t="shared" si="77"/>
        <v>0.1</v>
      </c>
      <c r="AU496" s="31"/>
      <c r="AV496" s="31"/>
      <c r="AW496" s="31"/>
      <c r="AX496" s="16">
        <f t="shared" si="72"/>
        <v>2.5000000000000001E-2</v>
      </c>
      <c r="AY496" s="156">
        <v>1</v>
      </c>
      <c r="AZ496" s="371">
        <v>0.1</v>
      </c>
      <c r="BA496" s="31"/>
      <c r="BB496" s="31"/>
      <c r="BC496" s="31"/>
      <c r="BD496" s="16">
        <f t="shared" si="78"/>
        <v>0.1</v>
      </c>
      <c r="BE496" s="31"/>
      <c r="BF496" s="31"/>
      <c r="BG496" s="31"/>
      <c r="BH496" s="31"/>
      <c r="BI496" s="16"/>
      <c r="BJ496" s="16"/>
      <c r="BK496" s="31"/>
      <c r="BL496" s="31"/>
      <c r="BM496" s="31"/>
      <c r="BN496" s="31"/>
      <c r="BO496" s="16"/>
      <c r="BP496" s="31"/>
      <c r="BQ496" s="31"/>
      <c r="BR496" s="31"/>
      <c r="BS496" s="31"/>
      <c r="BT496" s="16"/>
      <c r="BU496" s="16"/>
      <c r="BV496" s="16"/>
      <c r="BW496" s="16"/>
      <c r="BX496" s="16"/>
      <c r="BY496" s="16"/>
      <c r="BZ496" s="16"/>
      <c r="CA496" s="1"/>
      <c r="CB496" s="1"/>
      <c r="CC496" s="1"/>
    </row>
    <row r="497" spans="1:81" s="52" customFormat="1" ht="71.25" customHeight="1" x14ac:dyDescent="0.25">
      <c r="A497" s="1">
        <v>6</v>
      </c>
      <c r="B497" s="13" t="s">
        <v>1751</v>
      </c>
      <c r="C497" s="572"/>
      <c r="D497" s="573"/>
      <c r="E497" s="10" t="s">
        <v>1569</v>
      </c>
      <c r="F497" s="13" t="s">
        <v>1818</v>
      </c>
      <c r="G497" s="572"/>
      <c r="H497" s="573"/>
      <c r="I497" s="10" t="s">
        <v>1576</v>
      </c>
      <c r="J497" s="13" t="s">
        <v>1887</v>
      </c>
      <c r="K497" s="572"/>
      <c r="L497" s="573"/>
      <c r="M497" s="23"/>
      <c r="N497" s="23" t="s">
        <v>1577</v>
      </c>
      <c r="O497" s="13" t="s">
        <v>1577</v>
      </c>
      <c r="P497" s="10" t="s">
        <v>1373</v>
      </c>
      <c r="Q497" s="1">
        <v>100</v>
      </c>
      <c r="R497" s="24"/>
      <c r="S497" s="13" t="s">
        <v>1580</v>
      </c>
      <c r="T497" s="13" t="s">
        <v>1581</v>
      </c>
      <c r="U497" s="1" t="s">
        <v>55</v>
      </c>
      <c r="V497" s="1">
        <v>1</v>
      </c>
      <c r="W497" s="1" t="s">
        <v>412</v>
      </c>
      <c r="X497" s="1" t="s">
        <v>50</v>
      </c>
      <c r="Y497" s="1" t="s">
        <v>50</v>
      </c>
      <c r="Z497" s="1">
        <v>41</v>
      </c>
      <c r="AA497" s="24" t="s">
        <v>1579</v>
      </c>
      <c r="AB497" s="10" t="s">
        <v>1761</v>
      </c>
      <c r="AC497" s="156"/>
      <c r="AD497" s="156"/>
      <c r="AE497" s="156"/>
      <c r="AF497" s="156">
        <v>1</v>
      </c>
      <c r="AG497" s="377">
        <f t="shared" si="79"/>
        <v>1</v>
      </c>
      <c r="AH497" s="377" t="b">
        <f t="shared" si="75"/>
        <v>1</v>
      </c>
      <c r="AI497" s="1"/>
      <c r="AJ497" s="1"/>
      <c r="AK497" s="1"/>
      <c r="AL497" s="1"/>
      <c r="AM497" s="16">
        <f t="shared" si="76"/>
        <v>0</v>
      </c>
      <c r="AN497" s="156"/>
      <c r="AO497" s="1"/>
      <c r="AP497" s="1"/>
      <c r="AQ497" s="1"/>
      <c r="AR497" s="1"/>
      <c r="AS497" s="21" t="s">
        <v>310</v>
      </c>
      <c r="AT497" s="1">
        <f t="shared" si="77"/>
        <v>0</v>
      </c>
      <c r="AU497" s="31"/>
      <c r="AV497" s="31"/>
      <c r="AW497" s="31"/>
      <c r="AX497" s="16">
        <f t="shared" si="72"/>
        <v>0</v>
      </c>
      <c r="AY497" s="156" t="s">
        <v>310</v>
      </c>
      <c r="AZ497" s="371">
        <v>0</v>
      </c>
      <c r="BA497" s="31"/>
      <c r="BB497" s="31"/>
      <c r="BC497" s="31"/>
      <c r="BD497" s="16" t="str">
        <f t="shared" si="78"/>
        <v>NP</v>
      </c>
      <c r="BE497" s="31"/>
      <c r="BF497" s="31"/>
      <c r="BG497" s="31"/>
      <c r="BH497" s="31"/>
      <c r="BI497" s="16"/>
      <c r="BJ497" s="16"/>
      <c r="BK497" s="31"/>
      <c r="BL497" s="31"/>
      <c r="BM497" s="31"/>
      <c r="BN497" s="31"/>
      <c r="BO497" s="16"/>
      <c r="BP497" s="31"/>
      <c r="BQ497" s="31"/>
      <c r="BR497" s="31"/>
      <c r="BS497" s="31"/>
      <c r="BT497" s="16"/>
      <c r="BU497" s="16"/>
      <c r="BV497" s="16"/>
      <c r="BW497" s="16"/>
      <c r="BX497" s="16"/>
      <c r="BY497" s="16"/>
      <c r="BZ497" s="16"/>
      <c r="CA497" s="1"/>
      <c r="CB497" s="1"/>
      <c r="CC497" s="1"/>
    </row>
    <row r="498" spans="1:81" s="52" customFormat="1" ht="71.25" customHeight="1" x14ac:dyDescent="0.25">
      <c r="A498" s="1">
        <v>6</v>
      </c>
      <c r="B498" s="13" t="s">
        <v>1751</v>
      </c>
      <c r="C498" s="572"/>
      <c r="D498" s="573"/>
      <c r="E498" s="10" t="s">
        <v>1569</v>
      </c>
      <c r="F498" s="13" t="s">
        <v>1818</v>
      </c>
      <c r="G498" s="572"/>
      <c r="H498" s="573"/>
      <c r="I498" s="10" t="s">
        <v>1576</v>
      </c>
      <c r="J498" s="13" t="s">
        <v>1887</v>
      </c>
      <c r="K498" s="572"/>
      <c r="L498" s="573"/>
      <c r="M498" s="23"/>
      <c r="N498" s="23" t="s">
        <v>1577</v>
      </c>
      <c r="O498" s="13" t="s">
        <v>1577</v>
      </c>
      <c r="P498" s="10" t="s">
        <v>1373</v>
      </c>
      <c r="Q498" s="1">
        <v>100</v>
      </c>
      <c r="R498" s="24"/>
      <c r="S498" s="13" t="s">
        <v>1582</v>
      </c>
      <c r="T498" s="13" t="s">
        <v>1583</v>
      </c>
      <c r="U498" s="1" t="s">
        <v>55</v>
      </c>
      <c r="V498" s="1">
        <v>2</v>
      </c>
      <c r="W498" s="1" t="s">
        <v>412</v>
      </c>
      <c r="X498" s="1" t="s">
        <v>50</v>
      </c>
      <c r="Y498" s="1" t="s">
        <v>50</v>
      </c>
      <c r="Z498" s="1">
        <v>41</v>
      </c>
      <c r="AA498" s="24" t="s">
        <v>1579</v>
      </c>
      <c r="AB498" s="10" t="s">
        <v>1761</v>
      </c>
      <c r="AC498" s="156"/>
      <c r="AD498" s="156"/>
      <c r="AE498" s="156">
        <v>1</v>
      </c>
      <c r="AF498" s="156">
        <v>1</v>
      </c>
      <c r="AG498" s="377">
        <f t="shared" si="79"/>
        <v>2</v>
      </c>
      <c r="AH498" s="377" t="b">
        <f t="shared" si="75"/>
        <v>1</v>
      </c>
      <c r="AI498" s="1"/>
      <c r="AJ498" s="1"/>
      <c r="AK498" s="1"/>
      <c r="AL498" s="1"/>
      <c r="AM498" s="16">
        <f t="shared" si="76"/>
        <v>0</v>
      </c>
      <c r="AN498" s="156"/>
      <c r="AO498" s="1"/>
      <c r="AP498" s="1"/>
      <c r="AQ498" s="1"/>
      <c r="AR498" s="1"/>
      <c r="AS498" s="21" t="s">
        <v>310</v>
      </c>
      <c r="AT498" s="1">
        <f t="shared" si="77"/>
        <v>0</v>
      </c>
      <c r="AU498" s="31"/>
      <c r="AV498" s="31"/>
      <c r="AW498" s="31"/>
      <c r="AX498" s="16">
        <f t="shared" si="72"/>
        <v>0</v>
      </c>
      <c r="AY498" s="156" t="s">
        <v>310</v>
      </c>
      <c r="AZ498" s="371">
        <v>0</v>
      </c>
      <c r="BA498" s="31"/>
      <c r="BB498" s="31"/>
      <c r="BC498" s="31"/>
      <c r="BD498" s="16" t="str">
        <f t="shared" si="78"/>
        <v>NP</v>
      </c>
      <c r="BE498" s="31"/>
      <c r="BF498" s="31"/>
      <c r="BG498" s="31"/>
      <c r="BH498" s="31"/>
      <c r="BI498" s="16"/>
      <c r="BJ498" s="16"/>
      <c r="BK498" s="31"/>
      <c r="BL498" s="31"/>
      <c r="BM498" s="31"/>
      <c r="BN498" s="31"/>
      <c r="BO498" s="16"/>
      <c r="BP498" s="31"/>
      <c r="BQ498" s="31"/>
      <c r="BR498" s="31"/>
      <c r="BS498" s="31"/>
      <c r="BT498" s="16"/>
      <c r="BU498" s="16"/>
      <c r="BV498" s="16"/>
      <c r="BW498" s="16"/>
      <c r="BX498" s="16"/>
      <c r="BY498" s="16"/>
      <c r="BZ498" s="16"/>
      <c r="CA498" s="1"/>
      <c r="CB498" s="1"/>
      <c r="CC498" s="1"/>
    </row>
    <row r="499" spans="1:81" s="52" customFormat="1" ht="71.25" customHeight="1" x14ac:dyDescent="0.25">
      <c r="A499" s="1">
        <v>6</v>
      </c>
      <c r="B499" s="13" t="s">
        <v>1751</v>
      </c>
      <c r="C499" s="572"/>
      <c r="D499" s="573"/>
      <c r="E499" s="10" t="s">
        <v>1569</v>
      </c>
      <c r="F499" s="13" t="s">
        <v>1818</v>
      </c>
      <c r="G499" s="572"/>
      <c r="H499" s="573"/>
      <c r="I499" s="10" t="s">
        <v>1576</v>
      </c>
      <c r="J499" s="13" t="s">
        <v>1887</v>
      </c>
      <c r="K499" s="568"/>
      <c r="L499" s="570"/>
      <c r="M499" s="23"/>
      <c r="N499" s="23" t="s">
        <v>1577</v>
      </c>
      <c r="O499" s="13" t="s">
        <v>1577</v>
      </c>
      <c r="P499" s="10" t="s">
        <v>1373</v>
      </c>
      <c r="Q499" s="1">
        <v>100</v>
      </c>
      <c r="R499" s="24"/>
      <c r="S499" s="13" t="s">
        <v>1584</v>
      </c>
      <c r="T499" s="13" t="s">
        <v>1585</v>
      </c>
      <c r="U499" s="1" t="s">
        <v>55</v>
      </c>
      <c r="V499" s="1">
        <v>8</v>
      </c>
      <c r="W499" s="1" t="s">
        <v>412</v>
      </c>
      <c r="X499" s="1" t="s">
        <v>88</v>
      </c>
      <c r="Y499" s="1" t="s">
        <v>89</v>
      </c>
      <c r="Z499" s="1">
        <v>41</v>
      </c>
      <c r="AA499" s="24" t="s">
        <v>1579</v>
      </c>
      <c r="AB499" s="10" t="s">
        <v>1761</v>
      </c>
      <c r="AC499" s="156">
        <v>1</v>
      </c>
      <c r="AD499" s="156">
        <v>1</v>
      </c>
      <c r="AE499" s="156">
        <v>3</v>
      </c>
      <c r="AF499" s="156">
        <v>3</v>
      </c>
      <c r="AG499" s="377">
        <f t="shared" si="79"/>
        <v>8</v>
      </c>
      <c r="AH499" s="377" t="b">
        <f t="shared" si="75"/>
        <v>1</v>
      </c>
      <c r="AI499" s="1">
        <v>0</v>
      </c>
      <c r="AJ499" s="1">
        <v>1</v>
      </c>
      <c r="AK499" s="108">
        <v>1</v>
      </c>
      <c r="AL499" s="108">
        <v>1</v>
      </c>
      <c r="AM499" s="16">
        <f t="shared" si="76"/>
        <v>0.125</v>
      </c>
      <c r="AN499" s="156">
        <v>1</v>
      </c>
      <c r="AO499" s="1">
        <v>0</v>
      </c>
      <c r="AP499" s="1">
        <v>1</v>
      </c>
      <c r="AQ499" s="1"/>
      <c r="AR499" s="1">
        <f>AL499</f>
        <v>1</v>
      </c>
      <c r="AS499" s="21">
        <f>IFERROR(+AR499/AN499,0)</f>
        <v>1</v>
      </c>
      <c r="AT499" s="1">
        <f t="shared" si="77"/>
        <v>1.1000000000000001</v>
      </c>
      <c r="AU499" s="31"/>
      <c r="AV499" s="31"/>
      <c r="AW499" s="31"/>
      <c r="AX499" s="16">
        <f t="shared" si="72"/>
        <v>0.13750000000000001</v>
      </c>
      <c r="AY499" s="156">
        <v>1</v>
      </c>
      <c r="AZ499" s="76">
        <v>0.1</v>
      </c>
      <c r="BA499" s="31"/>
      <c r="BB499" s="31"/>
      <c r="BC499" s="31"/>
      <c r="BD499" s="16">
        <f t="shared" si="78"/>
        <v>0.1</v>
      </c>
      <c r="BE499" s="31"/>
      <c r="BF499" s="31"/>
      <c r="BG499" s="31"/>
      <c r="BH499" s="31"/>
      <c r="BI499" s="16"/>
      <c r="BJ499" s="16"/>
      <c r="BK499" s="31"/>
      <c r="BL499" s="31"/>
      <c r="BM499" s="31"/>
      <c r="BN499" s="31"/>
      <c r="BO499" s="16"/>
      <c r="BP499" s="31"/>
      <c r="BQ499" s="31"/>
      <c r="BR499" s="31"/>
      <c r="BS499" s="31"/>
      <c r="BT499" s="16"/>
      <c r="BU499" s="16"/>
      <c r="BV499" s="16"/>
      <c r="BW499" s="16"/>
      <c r="BX499" s="16"/>
      <c r="BY499" s="16"/>
      <c r="BZ499" s="16"/>
      <c r="CA499" s="1"/>
      <c r="CB499" s="1"/>
      <c r="CC499" s="1"/>
    </row>
    <row r="500" spans="1:81" s="52" customFormat="1" ht="175.5" customHeight="1" x14ac:dyDescent="0.25">
      <c r="A500" s="1">
        <v>6</v>
      </c>
      <c r="B500" s="13" t="s">
        <v>1751</v>
      </c>
      <c r="C500" s="572"/>
      <c r="D500" s="573"/>
      <c r="E500" s="10" t="s">
        <v>1569</v>
      </c>
      <c r="F500" s="13" t="s">
        <v>1818</v>
      </c>
      <c r="G500" s="572"/>
      <c r="H500" s="573"/>
      <c r="I500" s="10" t="s">
        <v>1586</v>
      </c>
      <c r="J500" s="24" t="s">
        <v>1888</v>
      </c>
      <c r="K500" s="574">
        <f>AVERAGE(AX500:AX506)</f>
        <v>0</v>
      </c>
      <c r="L500" s="577">
        <f>IFERROR(AVERAGE(BD500:BD506),"NP")</f>
        <v>0</v>
      </c>
      <c r="M500" s="40"/>
      <c r="N500" s="23" t="s">
        <v>1587</v>
      </c>
      <c r="O500" s="13" t="s">
        <v>1587</v>
      </c>
      <c r="P500" s="10" t="s">
        <v>1373</v>
      </c>
      <c r="Q500" s="1">
        <v>100</v>
      </c>
      <c r="R500" s="1"/>
      <c r="S500" s="13" t="s">
        <v>1588</v>
      </c>
      <c r="T500" s="13" t="s">
        <v>1588</v>
      </c>
      <c r="U500" s="1" t="s">
        <v>55</v>
      </c>
      <c r="V500" s="1">
        <v>4</v>
      </c>
      <c r="W500" s="1" t="s">
        <v>49</v>
      </c>
      <c r="X500" s="1"/>
      <c r="Y500" s="1"/>
      <c r="Z500" s="1"/>
      <c r="AA500" s="24"/>
      <c r="AB500" s="1" t="s">
        <v>768</v>
      </c>
      <c r="AC500" s="371"/>
      <c r="AD500" s="156">
        <v>1</v>
      </c>
      <c r="AE500" s="371"/>
      <c r="AF500" s="371"/>
      <c r="AG500" s="377">
        <f t="shared" si="79"/>
        <v>1</v>
      </c>
      <c r="AH500" s="377" t="b">
        <f t="shared" si="75"/>
        <v>0</v>
      </c>
      <c r="AI500" s="1"/>
      <c r="AJ500" s="1"/>
      <c r="AK500" s="1"/>
      <c r="AL500" s="1"/>
      <c r="AM500" s="16">
        <f t="shared" si="76"/>
        <v>0</v>
      </c>
      <c r="AN500" s="156"/>
      <c r="AO500" s="1"/>
      <c r="AP500" s="1"/>
      <c r="AQ500" s="1"/>
      <c r="AR500" s="1"/>
      <c r="AS500" s="21" t="s">
        <v>310</v>
      </c>
      <c r="AT500" s="1">
        <f t="shared" si="77"/>
        <v>0</v>
      </c>
      <c r="AU500" s="31"/>
      <c r="AV500" s="31"/>
      <c r="AW500" s="31"/>
      <c r="AX500" s="16">
        <f t="shared" si="72"/>
        <v>0</v>
      </c>
      <c r="AY500" s="156">
        <v>1</v>
      </c>
      <c r="AZ500" s="76">
        <v>0</v>
      </c>
      <c r="BA500" s="31"/>
      <c r="BB500" s="31"/>
      <c r="BC500" s="31"/>
      <c r="BD500" s="16">
        <f t="shared" si="78"/>
        <v>0</v>
      </c>
      <c r="BE500" s="31"/>
      <c r="BF500" s="31"/>
      <c r="BG500" s="31"/>
      <c r="BH500" s="31"/>
      <c r="BI500" s="16"/>
      <c r="BJ500" s="16"/>
      <c r="BK500" s="31"/>
      <c r="BL500" s="31"/>
      <c r="BM500" s="31"/>
      <c r="BN500" s="31"/>
      <c r="BO500" s="16"/>
      <c r="BP500" s="31"/>
      <c r="BQ500" s="31"/>
      <c r="BR500" s="31"/>
      <c r="BS500" s="31"/>
      <c r="BT500" s="16"/>
      <c r="BU500" s="16"/>
      <c r="BV500" s="16"/>
      <c r="BW500" s="16"/>
      <c r="BX500" s="16"/>
      <c r="BY500" s="16"/>
      <c r="BZ500" s="16"/>
      <c r="CA500" s="1"/>
      <c r="CB500" s="1"/>
      <c r="CC500" s="1"/>
    </row>
    <row r="501" spans="1:81" s="52" customFormat="1" ht="117.75" customHeight="1" x14ac:dyDescent="0.25">
      <c r="A501" s="1">
        <v>6</v>
      </c>
      <c r="B501" s="13" t="s">
        <v>1751</v>
      </c>
      <c r="C501" s="572"/>
      <c r="D501" s="573"/>
      <c r="E501" s="10" t="s">
        <v>1569</v>
      </c>
      <c r="F501" s="13" t="s">
        <v>1818</v>
      </c>
      <c r="G501" s="572"/>
      <c r="H501" s="573"/>
      <c r="I501" s="10" t="s">
        <v>1586</v>
      </c>
      <c r="J501" s="24" t="s">
        <v>1888</v>
      </c>
      <c r="K501" s="575"/>
      <c r="L501" s="578"/>
      <c r="M501" s="40"/>
      <c r="N501" s="23" t="s">
        <v>1587</v>
      </c>
      <c r="O501" s="13" t="s">
        <v>1587</v>
      </c>
      <c r="P501" s="10" t="s">
        <v>1373</v>
      </c>
      <c r="Q501" s="1">
        <v>100</v>
      </c>
      <c r="R501" s="1"/>
      <c r="S501" s="13" t="s">
        <v>1589</v>
      </c>
      <c r="T501" s="13" t="s">
        <v>1589</v>
      </c>
      <c r="U501" s="1" t="s">
        <v>1373</v>
      </c>
      <c r="V501" s="1">
        <v>100</v>
      </c>
      <c r="W501" s="1" t="s">
        <v>49</v>
      </c>
      <c r="X501" s="1"/>
      <c r="Y501" s="1"/>
      <c r="Z501" s="1"/>
      <c r="AA501" s="24"/>
      <c r="AB501" s="1" t="s">
        <v>768</v>
      </c>
      <c r="AC501" s="371"/>
      <c r="AD501" s="156">
        <v>0.25</v>
      </c>
      <c r="AE501" s="371"/>
      <c r="AF501" s="371"/>
      <c r="AG501" s="377">
        <f t="shared" si="79"/>
        <v>0.25</v>
      </c>
      <c r="AH501" s="377" t="b">
        <f t="shared" si="75"/>
        <v>0</v>
      </c>
      <c r="AI501" s="1"/>
      <c r="AJ501" s="1"/>
      <c r="AK501" s="1"/>
      <c r="AL501" s="1"/>
      <c r="AM501" s="16">
        <f t="shared" si="76"/>
        <v>0</v>
      </c>
      <c r="AN501" s="156"/>
      <c r="AO501" s="1"/>
      <c r="AP501" s="1"/>
      <c r="AQ501" s="1"/>
      <c r="AR501" s="1"/>
      <c r="AS501" s="21" t="s">
        <v>310</v>
      </c>
      <c r="AT501" s="1">
        <f t="shared" si="77"/>
        <v>0</v>
      </c>
      <c r="AU501" s="31"/>
      <c r="AV501" s="31"/>
      <c r="AW501" s="31"/>
      <c r="AX501" s="16">
        <f t="shared" si="72"/>
        <v>0</v>
      </c>
      <c r="AY501" s="156">
        <v>0.25</v>
      </c>
      <c r="AZ501" s="76">
        <v>0</v>
      </c>
      <c r="BA501" s="31"/>
      <c r="BB501" s="31"/>
      <c r="BC501" s="31"/>
      <c r="BD501" s="16">
        <f t="shared" si="78"/>
        <v>0</v>
      </c>
      <c r="BE501" s="31"/>
      <c r="BF501" s="31"/>
      <c r="BG501" s="31"/>
      <c r="BH501" s="31"/>
      <c r="BI501" s="16"/>
      <c r="BJ501" s="16"/>
      <c r="BK501" s="31"/>
      <c r="BL501" s="31"/>
      <c r="BM501" s="31"/>
      <c r="BN501" s="31"/>
      <c r="BO501" s="16"/>
      <c r="BP501" s="31"/>
      <c r="BQ501" s="31"/>
      <c r="BR501" s="31"/>
      <c r="BS501" s="31"/>
      <c r="BT501" s="16"/>
      <c r="BU501" s="16"/>
      <c r="BV501" s="16"/>
      <c r="BW501" s="16"/>
      <c r="BX501" s="16"/>
      <c r="BY501" s="16"/>
      <c r="BZ501" s="16"/>
      <c r="CA501" s="1"/>
      <c r="CB501" s="1"/>
      <c r="CC501" s="1"/>
    </row>
    <row r="502" spans="1:81" s="52" customFormat="1" ht="134.25" customHeight="1" x14ac:dyDescent="0.25">
      <c r="A502" s="1">
        <v>6</v>
      </c>
      <c r="B502" s="13" t="s">
        <v>1751</v>
      </c>
      <c r="C502" s="572"/>
      <c r="D502" s="573"/>
      <c r="E502" s="10" t="s">
        <v>1569</v>
      </c>
      <c r="F502" s="13" t="s">
        <v>1818</v>
      </c>
      <c r="G502" s="572"/>
      <c r="H502" s="573"/>
      <c r="I502" s="10" t="s">
        <v>1586</v>
      </c>
      <c r="J502" s="24" t="s">
        <v>1888</v>
      </c>
      <c r="K502" s="575"/>
      <c r="L502" s="578"/>
      <c r="M502" s="40"/>
      <c r="N502" s="23" t="s">
        <v>1587</v>
      </c>
      <c r="O502" s="13" t="s">
        <v>1587</v>
      </c>
      <c r="P502" s="10" t="s">
        <v>1373</v>
      </c>
      <c r="Q502" s="1">
        <v>100</v>
      </c>
      <c r="R502" s="1"/>
      <c r="S502" s="13" t="s">
        <v>1590</v>
      </c>
      <c r="T502" s="13" t="s">
        <v>1590</v>
      </c>
      <c r="U502" s="1" t="s">
        <v>55</v>
      </c>
      <c r="V502" s="1">
        <v>4</v>
      </c>
      <c r="W502" s="1" t="s">
        <v>49</v>
      </c>
      <c r="X502" s="1"/>
      <c r="Y502" s="1"/>
      <c r="Z502" s="1"/>
      <c r="AA502" s="24"/>
      <c r="AB502" s="1" t="s">
        <v>768</v>
      </c>
      <c r="AC502" s="371"/>
      <c r="AD502" s="156">
        <v>1</v>
      </c>
      <c r="AE502" s="371"/>
      <c r="AF502" s="371"/>
      <c r="AG502" s="377">
        <f t="shared" si="79"/>
        <v>1</v>
      </c>
      <c r="AH502" s="377" t="b">
        <f t="shared" si="75"/>
        <v>0</v>
      </c>
      <c r="AI502" s="1"/>
      <c r="AJ502" s="1"/>
      <c r="AK502" s="1"/>
      <c r="AL502" s="1"/>
      <c r="AM502" s="16">
        <f t="shared" si="76"/>
        <v>0</v>
      </c>
      <c r="AN502" s="156"/>
      <c r="AO502" s="1"/>
      <c r="AP502" s="1"/>
      <c r="AQ502" s="1"/>
      <c r="AR502" s="1"/>
      <c r="AS502" s="21" t="s">
        <v>310</v>
      </c>
      <c r="AT502" s="1">
        <f t="shared" si="77"/>
        <v>0</v>
      </c>
      <c r="AU502" s="31"/>
      <c r="AV502" s="31"/>
      <c r="AW502" s="31"/>
      <c r="AX502" s="16">
        <f t="shared" si="72"/>
        <v>0</v>
      </c>
      <c r="AY502" s="156">
        <v>1</v>
      </c>
      <c r="AZ502" s="76">
        <v>0</v>
      </c>
      <c r="BA502" s="31"/>
      <c r="BB502" s="31"/>
      <c r="BC502" s="31"/>
      <c r="BD502" s="16">
        <f t="shared" si="78"/>
        <v>0</v>
      </c>
      <c r="BE502" s="31"/>
      <c r="BF502" s="31"/>
      <c r="BG502" s="31"/>
      <c r="BH502" s="31"/>
      <c r="BI502" s="16"/>
      <c r="BJ502" s="16"/>
      <c r="BK502" s="31"/>
      <c r="BL502" s="31"/>
      <c r="BM502" s="31"/>
      <c r="BN502" s="31"/>
      <c r="BO502" s="16"/>
      <c r="BP502" s="31"/>
      <c r="BQ502" s="31"/>
      <c r="BR502" s="31"/>
      <c r="BS502" s="31"/>
      <c r="BT502" s="16"/>
      <c r="BU502" s="16"/>
      <c r="BV502" s="16"/>
      <c r="BW502" s="16"/>
      <c r="BX502" s="16"/>
      <c r="BY502" s="16"/>
      <c r="BZ502" s="16"/>
      <c r="CA502" s="1"/>
      <c r="CB502" s="1"/>
      <c r="CC502" s="1"/>
    </row>
    <row r="503" spans="1:81" s="52" customFormat="1" ht="189" x14ac:dyDescent="0.25">
      <c r="A503" s="1">
        <v>6</v>
      </c>
      <c r="B503" s="13" t="s">
        <v>1751</v>
      </c>
      <c r="C503" s="572"/>
      <c r="D503" s="573"/>
      <c r="E503" s="10" t="s">
        <v>1569</v>
      </c>
      <c r="F503" s="13" t="s">
        <v>1818</v>
      </c>
      <c r="G503" s="572"/>
      <c r="H503" s="573"/>
      <c r="I503" s="10" t="s">
        <v>1586</v>
      </c>
      <c r="J503" s="24" t="s">
        <v>1888</v>
      </c>
      <c r="K503" s="575"/>
      <c r="L503" s="578"/>
      <c r="M503" s="40"/>
      <c r="N503" s="23" t="s">
        <v>1587</v>
      </c>
      <c r="O503" s="13" t="s">
        <v>1587</v>
      </c>
      <c r="P503" s="10" t="s">
        <v>1373</v>
      </c>
      <c r="Q503" s="1">
        <v>100</v>
      </c>
      <c r="R503" s="1"/>
      <c r="S503" s="13" t="s">
        <v>1591</v>
      </c>
      <c r="T503" s="13" t="s">
        <v>1591</v>
      </c>
      <c r="U503" s="1" t="s">
        <v>1592</v>
      </c>
      <c r="V503" s="1">
        <v>2</v>
      </c>
      <c r="W503" s="1" t="s">
        <v>49</v>
      </c>
      <c r="X503" s="1"/>
      <c r="Y503" s="1"/>
      <c r="Z503" s="1"/>
      <c r="AA503" s="24"/>
      <c r="AB503" s="10" t="s">
        <v>1312</v>
      </c>
      <c r="AC503" s="156"/>
      <c r="AD503" s="156"/>
      <c r="AE503" s="156"/>
      <c r="AF503" s="156"/>
      <c r="AG503" s="377">
        <f t="shared" si="79"/>
        <v>0</v>
      </c>
      <c r="AH503" s="377" t="b">
        <f t="shared" si="75"/>
        <v>0</v>
      </c>
      <c r="AI503" s="1"/>
      <c r="AJ503" s="1"/>
      <c r="AK503" s="1"/>
      <c r="AL503" s="1"/>
      <c r="AM503" s="16">
        <f t="shared" si="76"/>
        <v>0</v>
      </c>
      <c r="AN503" s="156"/>
      <c r="AO503" s="1"/>
      <c r="AP503" s="1"/>
      <c r="AQ503" s="1"/>
      <c r="AR503" s="1"/>
      <c r="AS503" s="21" t="s">
        <v>310</v>
      </c>
      <c r="AT503" s="1">
        <f t="shared" si="77"/>
        <v>0</v>
      </c>
      <c r="AU503" s="31"/>
      <c r="AV503" s="31"/>
      <c r="AW503" s="31"/>
      <c r="AX503" s="16">
        <f t="shared" si="72"/>
        <v>0</v>
      </c>
      <c r="AY503" s="156" t="s">
        <v>310</v>
      </c>
      <c r="AZ503" s="76"/>
      <c r="BA503" s="31"/>
      <c r="BB503" s="31"/>
      <c r="BC503" s="31"/>
      <c r="BD503" s="16" t="str">
        <f t="shared" si="78"/>
        <v>NP</v>
      </c>
      <c r="BE503" s="31"/>
      <c r="BF503" s="31"/>
      <c r="BG503" s="31"/>
      <c r="BH503" s="31"/>
      <c r="BI503" s="16"/>
      <c r="BJ503" s="16"/>
      <c r="BK503" s="31"/>
      <c r="BL503" s="31"/>
      <c r="BM503" s="31"/>
      <c r="BN503" s="31"/>
      <c r="BO503" s="16"/>
      <c r="BP503" s="31"/>
      <c r="BQ503" s="31"/>
      <c r="BR503" s="31"/>
      <c r="BS503" s="31"/>
      <c r="BT503" s="16"/>
      <c r="BU503" s="16"/>
      <c r="BV503" s="16"/>
      <c r="BW503" s="16"/>
      <c r="BX503" s="16"/>
      <c r="BY503" s="16"/>
      <c r="BZ503" s="16"/>
      <c r="CA503" s="1"/>
      <c r="CB503" s="1"/>
      <c r="CC503" s="1"/>
    </row>
    <row r="504" spans="1:81" s="52" customFormat="1" ht="110.25" customHeight="1" x14ac:dyDescent="0.25">
      <c r="A504" s="1">
        <v>6</v>
      </c>
      <c r="B504" s="13" t="s">
        <v>1751</v>
      </c>
      <c r="C504" s="572"/>
      <c r="D504" s="573"/>
      <c r="E504" s="10" t="s">
        <v>1569</v>
      </c>
      <c r="F504" s="13" t="s">
        <v>1818</v>
      </c>
      <c r="G504" s="572"/>
      <c r="H504" s="573"/>
      <c r="I504" s="10" t="s">
        <v>1586</v>
      </c>
      <c r="J504" s="24" t="s">
        <v>1888</v>
      </c>
      <c r="K504" s="575"/>
      <c r="L504" s="578"/>
      <c r="M504" s="40"/>
      <c r="N504" s="23" t="s">
        <v>1587</v>
      </c>
      <c r="O504" s="13" t="s">
        <v>1587</v>
      </c>
      <c r="P504" s="10" t="s">
        <v>1373</v>
      </c>
      <c r="Q504" s="1">
        <v>100</v>
      </c>
      <c r="R504" s="1"/>
      <c r="S504" s="13" t="s">
        <v>1593</v>
      </c>
      <c r="T504" s="13" t="s">
        <v>1593</v>
      </c>
      <c r="U504" s="1" t="s">
        <v>1592</v>
      </c>
      <c r="V504" s="1">
        <v>2</v>
      </c>
      <c r="W504" s="1" t="s">
        <v>49</v>
      </c>
      <c r="X504" s="1"/>
      <c r="Y504" s="1"/>
      <c r="Z504" s="1"/>
      <c r="AA504" s="24"/>
      <c r="AB504" s="1" t="s">
        <v>768</v>
      </c>
      <c r="AC504" s="371"/>
      <c r="AD504" s="156">
        <v>1</v>
      </c>
      <c r="AE504" s="371"/>
      <c r="AF504" s="371"/>
      <c r="AG504" s="377">
        <f t="shared" si="79"/>
        <v>1</v>
      </c>
      <c r="AH504" s="377" t="b">
        <f t="shared" si="75"/>
        <v>0</v>
      </c>
      <c r="AI504" s="1"/>
      <c r="AJ504" s="1"/>
      <c r="AK504" s="1"/>
      <c r="AL504" s="1"/>
      <c r="AM504" s="16">
        <f t="shared" si="76"/>
        <v>0</v>
      </c>
      <c r="AN504" s="156"/>
      <c r="AO504" s="1"/>
      <c r="AP504" s="1"/>
      <c r="AQ504" s="1"/>
      <c r="AR504" s="1"/>
      <c r="AS504" s="21" t="s">
        <v>310</v>
      </c>
      <c r="AT504" s="1">
        <f t="shared" si="77"/>
        <v>0</v>
      </c>
      <c r="AU504" s="31"/>
      <c r="AV504" s="31"/>
      <c r="AW504" s="31"/>
      <c r="AX504" s="16">
        <f t="shared" si="72"/>
        <v>0</v>
      </c>
      <c r="AY504" s="156">
        <v>1</v>
      </c>
      <c r="AZ504" s="76">
        <v>0</v>
      </c>
      <c r="BA504" s="31"/>
      <c r="BB504" s="31"/>
      <c r="BC504" s="31"/>
      <c r="BD504" s="16">
        <f t="shared" si="78"/>
        <v>0</v>
      </c>
      <c r="BE504" s="31"/>
      <c r="BF504" s="31"/>
      <c r="BG504" s="31"/>
      <c r="BH504" s="31"/>
      <c r="BI504" s="16"/>
      <c r="BJ504" s="16"/>
      <c r="BK504" s="31"/>
      <c r="BL504" s="31"/>
      <c r="BM504" s="31"/>
      <c r="BN504" s="31"/>
      <c r="BO504" s="16"/>
      <c r="BP504" s="31"/>
      <c r="BQ504" s="31"/>
      <c r="BR504" s="31"/>
      <c r="BS504" s="31"/>
      <c r="BT504" s="16"/>
      <c r="BU504" s="16"/>
      <c r="BV504" s="16"/>
      <c r="BW504" s="16"/>
      <c r="BX504" s="16"/>
      <c r="BY504" s="16"/>
      <c r="BZ504" s="16"/>
      <c r="CA504" s="1"/>
      <c r="CB504" s="1"/>
      <c r="CC504" s="1"/>
    </row>
    <row r="505" spans="1:81" s="52" customFormat="1" ht="134.25" customHeight="1" x14ac:dyDescent="0.25">
      <c r="A505" s="1">
        <v>6</v>
      </c>
      <c r="B505" s="13" t="s">
        <v>1751</v>
      </c>
      <c r="C505" s="572"/>
      <c r="D505" s="573"/>
      <c r="E505" s="10" t="s">
        <v>1569</v>
      </c>
      <c r="F505" s="13" t="s">
        <v>1818</v>
      </c>
      <c r="G505" s="572"/>
      <c r="H505" s="573"/>
      <c r="I505" s="10" t="s">
        <v>1586</v>
      </c>
      <c r="J505" s="24" t="s">
        <v>1888</v>
      </c>
      <c r="K505" s="575"/>
      <c r="L505" s="578"/>
      <c r="M505" s="40"/>
      <c r="N505" s="23" t="s">
        <v>1587</v>
      </c>
      <c r="O505" s="13" t="s">
        <v>1587</v>
      </c>
      <c r="P505" s="10" t="s">
        <v>1373</v>
      </c>
      <c r="Q505" s="1">
        <v>100</v>
      </c>
      <c r="R505" s="1"/>
      <c r="S505" s="13" t="s">
        <v>1594</v>
      </c>
      <c r="T505" s="13" t="s">
        <v>1594</v>
      </c>
      <c r="U505" s="1" t="s">
        <v>55</v>
      </c>
      <c r="V505" s="1">
        <v>8</v>
      </c>
      <c r="W505" s="1" t="s">
        <v>49</v>
      </c>
      <c r="X505" s="1"/>
      <c r="Y505" s="1"/>
      <c r="Z505" s="1"/>
      <c r="AA505" s="24"/>
      <c r="AB505" s="1" t="s">
        <v>768</v>
      </c>
      <c r="AC505" s="371"/>
      <c r="AD505" s="156">
        <v>2</v>
      </c>
      <c r="AE505" s="371"/>
      <c r="AF505" s="371"/>
      <c r="AG505" s="377">
        <f t="shared" si="79"/>
        <v>2</v>
      </c>
      <c r="AH505" s="377" t="b">
        <f t="shared" si="75"/>
        <v>0</v>
      </c>
      <c r="AI505" s="1"/>
      <c r="AJ505" s="1"/>
      <c r="AK505" s="1"/>
      <c r="AL505" s="1"/>
      <c r="AM505" s="16">
        <f t="shared" si="76"/>
        <v>0</v>
      </c>
      <c r="AN505" s="156"/>
      <c r="AO505" s="1"/>
      <c r="AP505" s="1"/>
      <c r="AQ505" s="1"/>
      <c r="AR505" s="1"/>
      <c r="AS505" s="21" t="s">
        <v>310</v>
      </c>
      <c r="AT505" s="1">
        <f t="shared" si="77"/>
        <v>0</v>
      </c>
      <c r="AU505" s="31"/>
      <c r="AV505" s="31"/>
      <c r="AW505" s="31"/>
      <c r="AX505" s="16">
        <f t="shared" si="72"/>
        <v>0</v>
      </c>
      <c r="AY505" s="156">
        <v>2</v>
      </c>
      <c r="AZ505" s="76">
        <v>0</v>
      </c>
      <c r="BA505" s="31"/>
      <c r="BB505" s="31"/>
      <c r="BC505" s="31"/>
      <c r="BD505" s="16">
        <f t="shared" si="78"/>
        <v>0</v>
      </c>
      <c r="BE505" s="31"/>
      <c r="BF505" s="31"/>
      <c r="BG505" s="31"/>
      <c r="BH505" s="31"/>
      <c r="BI505" s="16"/>
      <c r="BJ505" s="16"/>
      <c r="BK505" s="31"/>
      <c r="BL505" s="31"/>
      <c r="BM505" s="31"/>
      <c r="BN505" s="31"/>
      <c r="BO505" s="16"/>
      <c r="BP505" s="31"/>
      <c r="BQ505" s="31"/>
      <c r="BR505" s="31"/>
      <c r="BS505" s="31"/>
      <c r="BT505" s="16"/>
      <c r="BU505" s="16"/>
      <c r="BV505" s="16"/>
      <c r="BW505" s="16"/>
      <c r="BX505" s="16"/>
      <c r="BY505" s="16"/>
      <c r="BZ505" s="16"/>
      <c r="CA505" s="1"/>
      <c r="CB505" s="1"/>
      <c r="CC505" s="1"/>
    </row>
    <row r="506" spans="1:81" s="52" customFormat="1" ht="91.5" customHeight="1" x14ac:dyDescent="0.25">
      <c r="A506" s="1">
        <v>6</v>
      </c>
      <c r="B506" s="13" t="s">
        <v>1751</v>
      </c>
      <c r="C506" s="572"/>
      <c r="D506" s="573"/>
      <c r="E506" s="10" t="s">
        <v>1569</v>
      </c>
      <c r="F506" s="13" t="s">
        <v>1818</v>
      </c>
      <c r="G506" s="572"/>
      <c r="H506" s="573"/>
      <c r="I506" s="10" t="s">
        <v>1586</v>
      </c>
      <c r="J506" s="24" t="s">
        <v>1888</v>
      </c>
      <c r="K506" s="576"/>
      <c r="L506" s="579"/>
      <c r="M506" s="40"/>
      <c r="N506" s="23" t="s">
        <v>1587</v>
      </c>
      <c r="O506" s="13" t="s">
        <v>1587</v>
      </c>
      <c r="P506" s="10" t="s">
        <v>1373</v>
      </c>
      <c r="Q506" s="1">
        <v>100</v>
      </c>
      <c r="R506" s="1"/>
      <c r="S506" s="13" t="s">
        <v>1595</v>
      </c>
      <c r="T506" s="13" t="s">
        <v>1595</v>
      </c>
      <c r="U506" s="1" t="s">
        <v>55</v>
      </c>
      <c r="V506" s="1">
        <v>100</v>
      </c>
      <c r="W506" s="1" t="s">
        <v>49</v>
      </c>
      <c r="X506" s="1"/>
      <c r="Y506" s="1"/>
      <c r="Z506" s="1"/>
      <c r="AA506" s="24"/>
      <c r="AB506" s="1" t="s">
        <v>768</v>
      </c>
      <c r="AC506" s="371"/>
      <c r="AD506" s="156">
        <v>20</v>
      </c>
      <c r="AE506" s="371"/>
      <c r="AF506" s="371"/>
      <c r="AG506" s="377">
        <f t="shared" si="79"/>
        <v>20</v>
      </c>
      <c r="AH506" s="377" t="b">
        <f t="shared" si="75"/>
        <v>0</v>
      </c>
      <c r="AI506" s="1"/>
      <c r="AJ506" s="1"/>
      <c r="AK506" s="1"/>
      <c r="AL506" s="1"/>
      <c r="AM506" s="16">
        <f t="shared" si="76"/>
        <v>0</v>
      </c>
      <c r="AN506" s="156"/>
      <c r="AO506" s="1"/>
      <c r="AP506" s="1"/>
      <c r="AQ506" s="1"/>
      <c r="AR506" s="1"/>
      <c r="AS506" s="21" t="s">
        <v>310</v>
      </c>
      <c r="AT506" s="1">
        <f t="shared" si="77"/>
        <v>0</v>
      </c>
      <c r="AU506" s="31"/>
      <c r="AV506" s="31"/>
      <c r="AW506" s="31"/>
      <c r="AX506" s="16">
        <f t="shared" si="72"/>
        <v>0</v>
      </c>
      <c r="AY506" s="156">
        <v>20</v>
      </c>
      <c r="AZ506" s="76">
        <v>0</v>
      </c>
      <c r="BA506" s="31"/>
      <c r="BB506" s="31"/>
      <c r="BC506" s="31"/>
      <c r="BD506" s="16">
        <f t="shared" si="78"/>
        <v>0</v>
      </c>
      <c r="BE506" s="31"/>
      <c r="BF506" s="31"/>
      <c r="BG506" s="31"/>
      <c r="BH506" s="31"/>
      <c r="BI506" s="16"/>
      <c r="BJ506" s="16"/>
      <c r="BK506" s="31"/>
      <c r="BL506" s="31"/>
      <c r="BM506" s="31"/>
      <c r="BN506" s="31"/>
      <c r="BO506" s="16"/>
      <c r="BP506" s="31"/>
      <c r="BQ506" s="31"/>
      <c r="BR506" s="31"/>
      <c r="BS506" s="31"/>
      <c r="BT506" s="16"/>
      <c r="BU506" s="16"/>
      <c r="BV506" s="16"/>
      <c r="BW506" s="16"/>
      <c r="BX506" s="16"/>
      <c r="BY506" s="16"/>
      <c r="BZ506" s="16"/>
      <c r="CA506" s="1"/>
      <c r="CB506" s="1"/>
      <c r="CC506" s="1"/>
    </row>
    <row r="507" spans="1:81" s="52" customFormat="1" ht="189" x14ac:dyDescent="0.25">
      <c r="A507" s="1">
        <v>6</v>
      </c>
      <c r="B507" s="13" t="s">
        <v>1751</v>
      </c>
      <c r="C507" s="572"/>
      <c r="D507" s="573"/>
      <c r="E507" s="10" t="s">
        <v>1569</v>
      </c>
      <c r="F507" s="13" t="s">
        <v>1818</v>
      </c>
      <c r="G507" s="572"/>
      <c r="H507" s="573"/>
      <c r="I507" s="10" t="s">
        <v>1981</v>
      </c>
      <c r="J507" s="13" t="s">
        <v>1889</v>
      </c>
      <c r="K507" s="143">
        <f>AVERAGE(AX507)</f>
        <v>0</v>
      </c>
      <c r="L507" s="144">
        <f>IFERROR(AVERAGE(BD507),"NP")</f>
        <v>0</v>
      </c>
      <c r="M507" s="23"/>
      <c r="N507" s="23" t="s">
        <v>1597</v>
      </c>
      <c r="O507" s="13" t="s">
        <v>1598</v>
      </c>
      <c r="P507" s="1" t="s">
        <v>55</v>
      </c>
      <c r="Q507" s="10">
        <v>100</v>
      </c>
      <c r="R507" s="13"/>
      <c r="S507" s="13" t="s">
        <v>1599</v>
      </c>
      <c r="T507" s="13" t="s">
        <v>1600</v>
      </c>
      <c r="U507" s="1" t="s">
        <v>55</v>
      </c>
      <c r="V507" s="1">
        <v>4</v>
      </c>
      <c r="W507" s="1" t="s">
        <v>412</v>
      </c>
      <c r="X507" s="10" t="s">
        <v>720</v>
      </c>
      <c r="Y507" s="10" t="s">
        <v>659</v>
      </c>
      <c r="Z507" s="1" t="s">
        <v>613</v>
      </c>
      <c r="AA507" s="13" t="s">
        <v>660</v>
      </c>
      <c r="AB507" s="133" t="s">
        <v>1810</v>
      </c>
      <c r="AC507" s="156"/>
      <c r="AD507" s="156">
        <v>1</v>
      </c>
      <c r="AE507" s="156"/>
      <c r="AF507" s="156"/>
      <c r="AG507" s="377">
        <f t="shared" si="79"/>
        <v>1</v>
      </c>
      <c r="AH507" s="377" t="b">
        <f t="shared" si="75"/>
        <v>0</v>
      </c>
      <c r="AI507" s="1"/>
      <c r="AJ507" s="1"/>
      <c r="AK507" s="1"/>
      <c r="AL507" s="1"/>
      <c r="AM507" s="16">
        <f t="shared" si="76"/>
        <v>0</v>
      </c>
      <c r="AN507" s="156"/>
      <c r="AO507" s="1"/>
      <c r="AP507" s="1"/>
      <c r="AQ507" s="1"/>
      <c r="AR507" s="1"/>
      <c r="AS507" s="21" t="s">
        <v>310</v>
      </c>
      <c r="AT507" s="1">
        <f t="shared" si="77"/>
        <v>0</v>
      </c>
      <c r="AU507" s="31"/>
      <c r="AV507" s="31"/>
      <c r="AW507" s="31"/>
      <c r="AX507" s="16">
        <f t="shared" ref="AX507:AX567" si="82">IF(AT507/V507&gt;100%,100%,(AT507/V507))</f>
        <v>0</v>
      </c>
      <c r="AY507" s="156">
        <v>1</v>
      </c>
      <c r="AZ507" s="76"/>
      <c r="BA507" s="31"/>
      <c r="BB507" s="31"/>
      <c r="BC507" s="31"/>
      <c r="BD507" s="16">
        <f t="shared" si="78"/>
        <v>0</v>
      </c>
      <c r="BE507" s="31"/>
      <c r="BF507" s="31"/>
      <c r="BG507" s="31"/>
      <c r="BH507" s="31"/>
      <c r="BI507" s="16"/>
      <c r="BJ507" s="16"/>
      <c r="BK507" s="31"/>
      <c r="BL507" s="31"/>
      <c r="BM507" s="31"/>
      <c r="BN507" s="31"/>
      <c r="BO507" s="16"/>
      <c r="BP507" s="31"/>
      <c r="BQ507" s="31"/>
      <c r="BR507" s="31"/>
      <c r="BS507" s="31"/>
      <c r="BT507" s="16"/>
      <c r="BU507" s="16"/>
      <c r="BV507" s="16"/>
      <c r="BW507" s="16"/>
      <c r="BX507" s="16"/>
      <c r="BY507" s="16"/>
      <c r="BZ507" s="16"/>
      <c r="CA507" s="1"/>
      <c r="CB507" s="1"/>
      <c r="CC507" s="1"/>
    </row>
    <row r="508" spans="1:81" s="52" customFormat="1" ht="112.9" customHeight="1" x14ac:dyDescent="0.25">
      <c r="A508" s="1">
        <v>6</v>
      </c>
      <c r="B508" s="13" t="s">
        <v>1751</v>
      </c>
      <c r="C508" s="572"/>
      <c r="D508" s="573"/>
      <c r="E508" s="10" t="s">
        <v>1569</v>
      </c>
      <c r="F508" s="13" t="s">
        <v>1818</v>
      </c>
      <c r="G508" s="572"/>
      <c r="H508" s="573"/>
      <c r="I508" s="10" t="s">
        <v>1982</v>
      </c>
      <c r="J508" s="13" t="s">
        <v>1890</v>
      </c>
      <c r="K508" s="567">
        <f>AVERAGE(AX508:AX514)</f>
        <v>7.1428571428571425E-2</v>
      </c>
      <c r="L508" s="569">
        <f>AVERAGE(BD508:BD514)</f>
        <v>0.16666666666666666</v>
      </c>
      <c r="M508" s="13"/>
      <c r="N508" s="13" t="s">
        <v>1602</v>
      </c>
      <c r="O508" s="13" t="s">
        <v>1602</v>
      </c>
      <c r="P508" s="1" t="s">
        <v>55</v>
      </c>
      <c r="Q508" s="26">
        <v>1</v>
      </c>
      <c r="R508" s="14"/>
      <c r="S508" s="13" t="s">
        <v>1603</v>
      </c>
      <c r="T508" s="13" t="s">
        <v>1603</v>
      </c>
      <c r="U508" s="1" t="s">
        <v>55</v>
      </c>
      <c r="V508" s="1">
        <v>4</v>
      </c>
      <c r="W508" s="1" t="s">
        <v>203</v>
      </c>
      <c r="X508" s="1"/>
      <c r="Y508" s="10" t="s">
        <v>67</v>
      </c>
      <c r="Z508" s="1" t="s">
        <v>68</v>
      </c>
      <c r="AA508" s="13" t="s">
        <v>895</v>
      </c>
      <c r="AB508" s="10" t="s">
        <v>1763</v>
      </c>
      <c r="AC508" s="371">
        <v>1</v>
      </c>
      <c r="AD508" s="156"/>
      <c r="AE508" s="371"/>
      <c r="AF508" s="371"/>
      <c r="AG508" s="377">
        <f t="shared" si="79"/>
        <v>1</v>
      </c>
      <c r="AH508" s="377" t="b">
        <f t="shared" si="75"/>
        <v>0</v>
      </c>
      <c r="AI508" s="1">
        <v>1</v>
      </c>
      <c r="AJ508" s="1">
        <v>1</v>
      </c>
      <c r="AK508" s="1">
        <v>1</v>
      </c>
      <c r="AL508" s="1">
        <v>1</v>
      </c>
      <c r="AM508" s="16">
        <f t="shared" si="76"/>
        <v>0.25</v>
      </c>
      <c r="AN508" s="156">
        <v>1</v>
      </c>
      <c r="AO508" s="1">
        <v>1</v>
      </c>
      <c r="AP508" s="1">
        <v>1</v>
      </c>
      <c r="AQ508" s="1"/>
      <c r="AR508" s="1">
        <f>AL508</f>
        <v>1</v>
      </c>
      <c r="AS508" s="21">
        <f>IFERROR(+AR508/AN508,0)</f>
        <v>1</v>
      </c>
      <c r="AT508" s="1">
        <f t="shared" si="77"/>
        <v>1</v>
      </c>
      <c r="AU508" s="31"/>
      <c r="AV508" s="31"/>
      <c r="AW508" s="31"/>
      <c r="AX508" s="16">
        <f t="shared" si="82"/>
        <v>0.25</v>
      </c>
      <c r="AY508" s="156" t="s">
        <v>310</v>
      </c>
      <c r="AZ508" s="76"/>
      <c r="BA508" s="31"/>
      <c r="BB508" s="31"/>
      <c r="BC508" s="31"/>
      <c r="BD508" s="16" t="str">
        <f t="shared" si="78"/>
        <v>NP</v>
      </c>
      <c r="BE508" s="31"/>
      <c r="BF508" s="31"/>
      <c r="BG508" s="31"/>
      <c r="BH508" s="31"/>
      <c r="BI508" s="16"/>
      <c r="BJ508" s="16"/>
      <c r="BK508" s="31"/>
      <c r="BL508" s="31"/>
      <c r="BM508" s="31"/>
      <c r="BN508" s="31"/>
      <c r="BO508" s="16"/>
      <c r="BP508" s="31"/>
      <c r="BQ508" s="31"/>
      <c r="BR508" s="31"/>
      <c r="BS508" s="31"/>
      <c r="BT508" s="16"/>
      <c r="BU508" s="16"/>
      <c r="BV508" s="16"/>
      <c r="BW508" s="16"/>
      <c r="BX508" s="16"/>
      <c r="BY508" s="16"/>
      <c r="BZ508" s="16"/>
      <c r="CA508" s="1"/>
      <c r="CB508" s="1"/>
      <c r="CC508" s="1"/>
    </row>
    <row r="509" spans="1:81" s="52" customFormat="1" ht="78" customHeight="1" x14ac:dyDescent="0.25">
      <c r="A509" s="1">
        <v>6</v>
      </c>
      <c r="B509" s="13" t="s">
        <v>1751</v>
      </c>
      <c r="C509" s="572"/>
      <c r="D509" s="573"/>
      <c r="E509" s="10" t="s">
        <v>1569</v>
      </c>
      <c r="F509" s="13" t="s">
        <v>1818</v>
      </c>
      <c r="G509" s="572"/>
      <c r="H509" s="573"/>
      <c r="I509" s="10" t="s">
        <v>1982</v>
      </c>
      <c r="J509" s="13" t="s">
        <v>1890</v>
      </c>
      <c r="K509" s="572"/>
      <c r="L509" s="573"/>
      <c r="M509" s="23"/>
      <c r="N509" s="23" t="s">
        <v>1602</v>
      </c>
      <c r="O509" s="13" t="s">
        <v>1602</v>
      </c>
      <c r="P509" s="1" t="s">
        <v>55</v>
      </c>
      <c r="Q509" s="26">
        <v>1</v>
      </c>
      <c r="R509" s="14"/>
      <c r="S509" s="13" t="s">
        <v>1604</v>
      </c>
      <c r="T509" s="13" t="s">
        <v>1605</v>
      </c>
      <c r="U509" s="1" t="s">
        <v>55</v>
      </c>
      <c r="V509" s="1">
        <v>4</v>
      </c>
      <c r="W509" s="1" t="s">
        <v>49</v>
      </c>
      <c r="X509" s="1">
        <v>1</v>
      </c>
      <c r="Y509" s="10" t="s">
        <v>1606</v>
      </c>
      <c r="Z509" s="1" t="s">
        <v>68</v>
      </c>
      <c r="AA509" s="13" t="s">
        <v>895</v>
      </c>
      <c r="AB509" s="10" t="s">
        <v>1763</v>
      </c>
      <c r="AC509" s="156"/>
      <c r="AD509" s="156">
        <v>1</v>
      </c>
      <c r="AE509" s="156">
        <v>2</v>
      </c>
      <c r="AF509" s="156">
        <v>1</v>
      </c>
      <c r="AG509" s="377">
        <f t="shared" si="79"/>
        <v>4</v>
      </c>
      <c r="AH509" s="377" t="b">
        <f t="shared" si="75"/>
        <v>1</v>
      </c>
      <c r="AI509" s="1"/>
      <c r="AJ509" s="1"/>
      <c r="AK509" s="1"/>
      <c r="AL509" s="1"/>
      <c r="AM509" s="16">
        <f t="shared" si="76"/>
        <v>0</v>
      </c>
      <c r="AN509" s="156"/>
      <c r="AO509" s="1"/>
      <c r="AP509" s="1"/>
      <c r="AQ509" s="1"/>
      <c r="AR509" s="1"/>
      <c r="AS509" s="21" t="s">
        <v>310</v>
      </c>
      <c r="AT509" s="1">
        <f t="shared" si="77"/>
        <v>0</v>
      </c>
      <c r="AU509" s="31"/>
      <c r="AV509" s="31"/>
      <c r="AW509" s="31"/>
      <c r="AX509" s="16">
        <f t="shared" si="82"/>
        <v>0</v>
      </c>
      <c r="AY509" s="156">
        <v>1</v>
      </c>
      <c r="AZ509" s="76"/>
      <c r="BA509" s="31"/>
      <c r="BB509" s="31"/>
      <c r="BC509" s="31"/>
      <c r="BD509" s="16">
        <f t="shared" si="78"/>
        <v>0</v>
      </c>
      <c r="BE509" s="31"/>
      <c r="BF509" s="31"/>
      <c r="BG509" s="31"/>
      <c r="BH509" s="31"/>
      <c r="BI509" s="16"/>
      <c r="BJ509" s="16"/>
      <c r="BK509" s="31"/>
      <c r="BL509" s="31"/>
      <c r="BM509" s="31"/>
      <c r="BN509" s="31"/>
      <c r="BO509" s="16"/>
      <c r="BP509" s="31"/>
      <c r="BQ509" s="31"/>
      <c r="BR509" s="31"/>
      <c r="BS509" s="31"/>
      <c r="BT509" s="16"/>
      <c r="BU509" s="16"/>
      <c r="BV509" s="16"/>
      <c r="BW509" s="16"/>
      <c r="BX509" s="16"/>
      <c r="BY509" s="16"/>
      <c r="BZ509" s="16"/>
      <c r="CA509" s="1"/>
      <c r="CB509" s="1"/>
      <c r="CC509" s="1"/>
    </row>
    <row r="510" spans="1:81" s="52" customFormat="1" ht="78" customHeight="1" x14ac:dyDescent="0.25">
      <c r="A510" s="1">
        <v>6</v>
      </c>
      <c r="B510" s="13" t="s">
        <v>1751</v>
      </c>
      <c r="C510" s="572"/>
      <c r="D510" s="573"/>
      <c r="E510" s="10" t="s">
        <v>1569</v>
      </c>
      <c r="F510" s="13" t="s">
        <v>1818</v>
      </c>
      <c r="G510" s="572"/>
      <c r="H510" s="573"/>
      <c r="I510" s="10" t="s">
        <v>1982</v>
      </c>
      <c r="J510" s="13" t="s">
        <v>1890</v>
      </c>
      <c r="K510" s="572"/>
      <c r="L510" s="573"/>
      <c r="M510" s="23"/>
      <c r="N510" s="23" t="s">
        <v>1602</v>
      </c>
      <c r="O510" s="13" t="s">
        <v>1602</v>
      </c>
      <c r="P510" s="1" t="s">
        <v>55</v>
      </c>
      <c r="Q510" s="26">
        <v>1</v>
      </c>
      <c r="R510" s="14"/>
      <c r="S510" s="312" t="s">
        <v>1607</v>
      </c>
      <c r="T510" s="13" t="s">
        <v>1607</v>
      </c>
      <c r="U510" s="108" t="s">
        <v>55</v>
      </c>
      <c r="V510" s="108">
        <v>4</v>
      </c>
      <c r="W510" s="108" t="s">
        <v>49</v>
      </c>
      <c r="X510" s="1">
        <v>1</v>
      </c>
      <c r="Y510" s="10" t="s">
        <v>1606</v>
      </c>
      <c r="Z510" s="1" t="s">
        <v>68</v>
      </c>
      <c r="AA510" s="13" t="s">
        <v>895</v>
      </c>
      <c r="AB510" s="133" t="s">
        <v>1763</v>
      </c>
      <c r="AC510" s="156"/>
      <c r="AD510" s="108">
        <v>1</v>
      </c>
      <c r="AE510" s="156">
        <v>2</v>
      </c>
      <c r="AF510" s="156">
        <v>1</v>
      </c>
      <c r="AG510" s="377">
        <f t="shared" si="79"/>
        <v>4</v>
      </c>
      <c r="AH510" s="377" t="b">
        <f t="shared" si="75"/>
        <v>1</v>
      </c>
      <c r="AI510" s="1"/>
      <c r="AJ510" s="1"/>
      <c r="AK510" s="1"/>
      <c r="AL510" s="1"/>
      <c r="AM510" s="16">
        <f t="shared" si="76"/>
        <v>0</v>
      </c>
      <c r="AN510" s="156"/>
      <c r="AO510" s="1"/>
      <c r="AP510" s="1"/>
      <c r="AQ510" s="1"/>
      <c r="AR510" s="108"/>
      <c r="AS510" s="191" t="s">
        <v>310</v>
      </c>
      <c r="AT510" s="1">
        <f t="shared" si="77"/>
        <v>0</v>
      </c>
      <c r="AU510" s="31"/>
      <c r="AV510" s="31"/>
      <c r="AW510" s="31"/>
      <c r="AX510" s="16">
        <f t="shared" si="82"/>
        <v>0</v>
      </c>
      <c r="AY510" s="108">
        <v>1</v>
      </c>
      <c r="AZ510" s="108"/>
      <c r="BA510" s="191"/>
      <c r="BB510" s="191"/>
      <c r="BC510" s="31"/>
      <c r="BD510" s="16">
        <f t="shared" si="78"/>
        <v>0</v>
      </c>
      <c r="BE510" s="31"/>
      <c r="BF510" s="31"/>
      <c r="BG510" s="31"/>
      <c r="BH510" s="31"/>
      <c r="BI510" s="16"/>
      <c r="BJ510" s="16"/>
      <c r="BK510" s="31"/>
      <c r="BL510" s="31"/>
      <c r="BM510" s="31"/>
      <c r="BN510" s="31"/>
      <c r="BO510" s="16"/>
      <c r="BP510" s="31"/>
      <c r="BQ510" s="31"/>
      <c r="BR510" s="31"/>
      <c r="BS510" s="31"/>
      <c r="BT510" s="16"/>
      <c r="BU510" s="16"/>
      <c r="BV510" s="16"/>
      <c r="BW510" s="16"/>
      <c r="BX510" s="16"/>
      <c r="BY510" s="16"/>
      <c r="BZ510" s="16"/>
      <c r="CA510" s="1"/>
      <c r="CB510" s="1"/>
      <c r="CC510" s="1"/>
    </row>
    <row r="511" spans="1:81" s="52" customFormat="1" ht="78" customHeight="1" x14ac:dyDescent="0.25">
      <c r="A511" s="1">
        <v>6</v>
      </c>
      <c r="B511" s="13" t="s">
        <v>1751</v>
      </c>
      <c r="C511" s="572"/>
      <c r="D511" s="573"/>
      <c r="E511" s="10" t="s">
        <v>1569</v>
      </c>
      <c r="F511" s="13" t="s">
        <v>1818</v>
      </c>
      <c r="G511" s="572"/>
      <c r="H511" s="573"/>
      <c r="I511" s="10" t="s">
        <v>1982</v>
      </c>
      <c r="J511" s="13" t="s">
        <v>1890</v>
      </c>
      <c r="K511" s="572"/>
      <c r="L511" s="573"/>
      <c r="M511" s="23"/>
      <c r="N511" s="23" t="s">
        <v>1602</v>
      </c>
      <c r="O511" s="13" t="s">
        <v>1602</v>
      </c>
      <c r="P511" s="1" t="s">
        <v>55</v>
      </c>
      <c r="Q511" s="26">
        <v>1</v>
      </c>
      <c r="R511" s="14"/>
      <c r="S511" s="13" t="s">
        <v>1608</v>
      </c>
      <c r="T511" s="13" t="s">
        <v>1609</v>
      </c>
      <c r="U511" s="1" t="s">
        <v>55</v>
      </c>
      <c r="V511" s="1">
        <v>4</v>
      </c>
      <c r="W511" s="1" t="s">
        <v>49</v>
      </c>
      <c r="X511" s="1">
        <v>1</v>
      </c>
      <c r="Y511" s="10" t="s">
        <v>1606</v>
      </c>
      <c r="Z511" s="1" t="s">
        <v>68</v>
      </c>
      <c r="AA511" s="13" t="s">
        <v>895</v>
      </c>
      <c r="AB511" s="10" t="s">
        <v>1763</v>
      </c>
      <c r="AC511" s="156"/>
      <c r="AD511" s="156">
        <v>1</v>
      </c>
      <c r="AE511" s="156">
        <v>2</v>
      </c>
      <c r="AF511" s="156">
        <v>1</v>
      </c>
      <c r="AG511" s="377">
        <f t="shared" si="79"/>
        <v>4</v>
      </c>
      <c r="AH511" s="377" t="b">
        <f t="shared" si="75"/>
        <v>1</v>
      </c>
      <c r="AI511" s="1"/>
      <c r="AJ511" s="1"/>
      <c r="AK511" s="1"/>
      <c r="AL511" s="1"/>
      <c r="AM511" s="16">
        <f t="shared" si="76"/>
        <v>0</v>
      </c>
      <c r="AN511" s="156"/>
      <c r="AO511" s="1"/>
      <c r="AP511" s="1"/>
      <c r="AQ511" s="1"/>
      <c r="AR511" s="1"/>
      <c r="AS511" s="21" t="s">
        <v>310</v>
      </c>
      <c r="AT511" s="1">
        <f t="shared" si="77"/>
        <v>1</v>
      </c>
      <c r="AU511" s="31"/>
      <c r="AV511" s="31"/>
      <c r="AW511" s="31"/>
      <c r="AX511" s="16">
        <f t="shared" si="82"/>
        <v>0.25</v>
      </c>
      <c r="AY511" s="156">
        <v>1</v>
      </c>
      <c r="AZ511" s="76">
        <v>1</v>
      </c>
      <c r="BA511" s="31"/>
      <c r="BB511" s="31"/>
      <c r="BC511" s="31"/>
      <c r="BD511" s="16">
        <f t="shared" si="78"/>
        <v>1</v>
      </c>
      <c r="BE511" s="31"/>
      <c r="BF511" s="31"/>
      <c r="BG511" s="31"/>
      <c r="BH511" s="31"/>
      <c r="BI511" s="16"/>
      <c r="BJ511" s="16"/>
      <c r="BK511" s="31"/>
      <c r="BL511" s="31"/>
      <c r="BM511" s="31"/>
      <c r="BN511" s="31"/>
      <c r="BO511" s="16"/>
      <c r="BP511" s="31"/>
      <c r="BQ511" s="31"/>
      <c r="BR511" s="31"/>
      <c r="BS511" s="31"/>
      <c r="BT511" s="16"/>
      <c r="BU511" s="16"/>
      <c r="BV511" s="16"/>
      <c r="BW511" s="16"/>
      <c r="BX511" s="16"/>
      <c r="BY511" s="16"/>
      <c r="BZ511" s="16"/>
      <c r="CA511" s="1"/>
      <c r="CB511" s="1"/>
      <c r="CC511" s="1"/>
    </row>
    <row r="512" spans="1:81" s="52" customFormat="1" ht="157.5" x14ac:dyDescent="0.25">
      <c r="A512" s="1">
        <v>6</v>
      </c>
      <c r="B512" s="13" t="s">
        <v>1751</v>
      </c>
      <c r="C512" s="572"/>
      <c r="D512" s="573"/>
      <c r="E512" s="10" t="s">
        <v>1569</v>
      </c>
      <c r="F512" s="13" t="s">
        <v>1818</v>
      </c>
      <c r="G512" s="572"/>
      <c r="H512" s="573"/>
      <c r="I512" s="10" t="s">
        <v>1982</v>
      </c>
      <c r="J512" s="13" t="s">
        <v>1890</v>
      </c>
      <c r="K512" s="572"/>
      <c r="L512" s="573"/>
      <c r="M512" s="23"/>
      <c r="N512" s="23" t="s">
        <v>1602</v>
      </c>
      <c r="O512" s="13" t="s">
        <v>1602</v>
      </c>
      <c r="P512" s="1" t="s">
        <v>55</v>
      </c>
      <c r="Q512" s="26">
        <v>1</v>
      </c>
      <c r="R512" s="14"/>
      <c r="S512" s="13" t="s">
        <v>1610</v>
      </c>
      <c r="T512" s="13" t="s">
        <v>1611</v>
      </c>
      <c r="U512" s="1" t="s">
        <v>55</v>
      </c>
      <c r="V512" s="31">
        <v>1</v>
      </c>
      <c r="W512" s="1" t="s">
        <v>49</v>
      </c>
      <c r="X512" s="1">
        <v>10</v>
      </c>
      <c r="Y512" s="10" t="s">
        <v>1606</v>
      </c>
      <c r="Z512" s="1" t="s">
        <v>68</v>
      </c>
      <c r="AA512" s="13" t="s">
        <v>895</v>
      </c>
      <c r="AB512" s="10" t="s">
        <v>1763</v>
      </c>
      <c r="AC512" s="156"/>
      <c r="AD512" s="156">
        <v>10</v>
      </c>
      <c r="AE512" s="156">
        <v>70</v>
      </c>
      <c r="AF512" s="156">
        <v>20</v>
      </c>
      <c r="AG512" s="377">
        <f t="shared" si="79"/>
        <v>100</v>
      </c>
      <c r="AH512" s="377" t="b">
        <f t="shared" si="75"/>
        <v>0</v>
      </c>
      <c r="AI512" s="1"/>
      <c r="AJ512" s="1"/>
      <c r="AK512" s="1"/>
      <c r="AL512" s="1"/>
      <c r="AM512" s="16">
        <f t="shared" si="76"/>
        <v>0</v>
      </c>
      <c r="AN512" s="156"/>
      <c r="AO512" s="1"/>
      <c r="AP512" s="1"/>
      <c r="AQ512" s="1"/>
      <c r="AR512" s="1"/>
      <c r="AS512" s="21" t="s">
        <v>310</v>
      </c>
      <c r="AT512" s="1">
        <f t="shared" si="77"/>
        <v>0</v>
      </c>
      <c r="AU512" s="31"/>
      <c r="AV512" s="31"/>
      <c r="AW512" s="31"/>
      <c r="AX512" s="16">
        <f t="shared" si="82"/>
        <v>0</v>
      </c>
      <c r="AY512" s="156">
        <v>10</v>
      </c>
      <c r="AZ512" s="76"/>
      <c r="BA512" s="31"/>
      <c r="BB512" s="31"/>
      <c r="BC512" s="31"/>
      <c r="BD512" s="16">
        <f t="shared" si="78"/>
        <v>0</v>
      </c>
      <c r="BE512" s="31"/>
      <c r="BF512" s="31"/>
      <c r="BG512" s="31"/>
      <c r="BH512" s="31"/>
      <c r="BI512" s="16"/>
      <c r="BJ512" s="16"/>
      <c r="BK512" s="31"/>
      <c r="BL512" s="31"/>
      <c r="BM512" s="31"/>
      <c r="BN512" s="31"/>
      <c r="BO512" s="16"/>
      <c r="BP512" s="31"/>
      <c r="BQ512" s="31"/>
      <c r="BR512" s="31"/>
      <c r="BS512" s="31"/>
      <c r="BT512" s="16"/>
      <c r="BU512" s="16"/>
      <c r="BV512" s="16"/>
      <c r="BW512" s="16"/>
      <c r="BX512" s="16"/>
      <c r="BY512" s="16"/>
      <c r="BZ512" s="16"/>
      <c r="CA512" s="1"/>
      <c r="CB512" s="1"/>
      <c r="CC512" s="1"/>
    </row>
    <row r="513" spans="1:81" s="52" customFormat="1" ht="116.25" customHeight="1" x14ac:dyDescent="0.25">
      <c r="A513" s="1">
        <v>6</v>
      </c>
      <c r="B513" s="13" t="s">
        <v>1751</v>
      </c>
      <c r="C513" s="572"/>
      <c r="D513" s="573"/>
      <c r="E513" s="10" t="s">
        <v>1569</v>
      </c>
      <c r="F513" s="13" t="s">
        <v>1818</v>
      </c>
      <c r="G513" s="572"/>
      <c r="H513" s="573"/>
      <c r="I513" s="10" t="s">
        <v>1982</v>
      </c>
      <c r="J513" s="13" t="s">
        <v>1890</v>
      </c>
      <c r="K513" s="572"/>
      <c r="L513" s="573"/>
      <c r="M513" s="23"/>
      <c r="N513" s="23" t="s">
        <v>1602</v>
      </c>
      <c r="O513" s="13" t="s">
        <v>1602</v>
      </c>
      <c r="P513" s="1" t="s">
        <v>55</v>
      </c>
      <c r="Q513" s="26">
        <v>1</v>
      </c>
      <c r="R513" s="14"/>
      <c r="S513" s="13" t="s">
        <v>1612</v>
      </c>
      <c r="T513" s="13" t="s">
        <v>1612</v>
      </c>
      <c r="U513" s="1" t="s">
        <v>55</v>
      </c>
      <c r="V513" s="1">
        <v>40</v>
      </c>
      <c r="W513" s="1" t="s">
        <v>49</v>
      </c>
      <c r="X513" s="1">
        <v>10</v>
      </c>
      <c r="Y513" s="10" t="s">
        <v>1606</v>
      </c>
      <c r="Z513" s="1" t="s">
        <v>68</v>
      </c>
      <c r="AA513" s="13" t="s">
        <v>895</v>
      </c>
      <c r="AB513" s="10" t="s">
        <v>1763</v>
      </c>
      <c r="AC513" s="156"/>
      <c r="AD513" s="156">
        <v>10</v>
      </c>
      <c r="AE513" s="156">
        <v>20</v>
      </c>
      <c r="AF513" s="156">
        <v>10</v>
      </c>
      <c r="AG513" s="377">
        <f t="shared" si="79"/>
        <v>40</v>
      </c>
      <c r="AH513" s="377" t="b">
        <f t="shared" si="75"/>
        <v>1</v>
      </c>
      <c r="AI513" s="1"/>
      <c r="AJ513" s="1"/>
      <c r="AK513" s="1"/>
      <c r="AL513" s="1"/>
      <c r="AM513" s="16">
        <f t="shared" si="76"/>
        <v>0</v>
      </c>
      <c r="AN513" s="156"/>
      <c r="AO513" s="1"/>
      <c r="AP513" s="1"/>
      <c r="AQ513" s="1"/>
      <c r="AR513" s="1"/>
      <c r="AS513" s="21" t="s">
        <v>310</v>
      </c>
      <c r="AT513" s="1">
        <f t="shared" si="77"/>
        <v>0</v>
      </c>
      <c r="AU513" s="31"/>
      <c r="AV513" s="31"/>
      <c r="AW513" s="31"/>
      <c r="AX513" s="16">
        <f t="shared" si="82"/>
        <v>0</v>
      </c>
      <c r="AY513" s="156">
        <v>10</v>
      </c>
      <c r="AZ513" s="76"/>
      <c r="BA513" s="31"/>
      <c r="BB513" s="31"/>
      <c r="BC513" s="31"/>
      <c r="BD513" s="16">
        <f t="shared" si="78"/>
        <v>0</v>
      </c>
      <c r="BE513" s="31"/>
      <c r="BF513" s="31"/>
      <c r="BG513" s="31"/>
      <c r="BH513" s="31"/>
      <c r="BI513" s="16"/>
      <c r="BJ513" s="16"/>
      <c r="BK513" s="31"/>
      <c r="BL513" s="31"/>
      <c r="BM513" s="31"/>
      <c r="BN513" s="31"/>
      <c r="BO513" s="16"/>
      <c r="BP513" s="31"/>
      <c r="BQ513" s="31"/>
      <c r="BR513" s="31"/>
      <c r="BS513" s="31"/>
      <c r="BT513" s="16"/>
      <c r="BU513" s="16"/>
      <c r="BV513" s="16"/>
      <c r="BW513" s="16"/>
      <c r="BX513" s="16"/>
      <c r="BY513" s="16"/>
      <c r="BZ513" s="16"/>
      <c r="CA513" s="1"/>
      <c r="CB513" s="1"/>
      <c r="CC513" s="1"/>
    </row>
    <row r="514" spans="1:81" s="52" customFormat="1" ht="130.5" customHeight="1" x14ac:dyDescent="0.25">
      <c r="A514" s="1">
        <v>6</v>
      </c>
      <c r="B514" s="13" t="s">
        <v>1751</v>
      </c>
      <c r="C514" s="572"/>
      <c r="D514" s="573"/>
      <c r="E514" s="10" t="s">
        <v>1569</v>
      </c>
      <c r="F514" s="13" t="s">
        <v>1818</v>
      </c>
      <c r="G514" s="572"/>
      <c r="H514" s="573"/>
      <c r="I514" s="10" t="s">
        <v>1982</v>
      </c>
      <c r="J514" s="13" t="s">
        <v>1890</v>
      </c>
      <c r="K514" s="568"/>
      <c r="L514" s="570"/>
      <c r="M514" s="23"/>
      <c r="N514" s="23" t="s">
        <v>1602</v>
      </c>
      <c r="O514" s="13" t="s">
        <v>1602</v>
      </c>
      <c r="P514" s="1" t="s">
        <v>55</v>
      </c>
      <c r="Q514" s="26">
        <v>1</v>
      </c>
      <c r="R514" s="14"/>
      <c r="S514" s="312" t="s">
        <v>1603</v>
      </c>
      <c r="T514" s="13" t="s">
        <v>1603</v>
      </c>
      <c r="U514" s="108" t="s">
        <v>55</v>
      </c>
      <c r="V514" s="108">
        <v>4</v>
      </c>
      <c r="W514" s="108" t="s">
        <v>49</v>
      </c>
      <c r="X514" s="1">
        <v>1</v>
      </c>
      <c r="Y514" s="10" t="s">
        <v>1606</v>
      </c>
      <c r="Z514" s="1" t="s">
        <v>68</v>
      </c>
      <c r="AA514" s="13" t="s">
        <v>895</v>
      </c>
      <c r="AB514" s="133" t="s">
        <v>1763</v>
      </c>
      <c r="AC514" s="371"/>
      <c r="AD514" s="108">
        <v>1</v>
      </c>
      <c r="AE514" s="371">
        <v>2</v>
      </c>
      <c r="AF514" s="371">
        <v>1</v>
      </c>
      <c r="AG514" s="377">
        <f t="shared" si="79"/>
        <v>4</v>
      </c>
      <c r="AH514" s="377" t="b">
        <f t="shared" si="75"/>
        <v>1</v>
      </c>
      <c r="AI514" s="1"/>
      <c r="AJ514" s="1"/>
      <c r="AK514" s="1"/>
      <c r="AL514" s="1"/>
      <c r="AM514" s="16">
        <f t="shared" si="76"/>
        <v>0</v>
      </c>
      <c r="AN514" s="156"/>
      <c r="AO514" s="1"/>
      <c r="AP514" s="1"/>
      <c r="AQ514" s="1"/>
      <c r="AR514" s="108"/>
      <c r="AS514" s="191" t="s">
        <v>310</v>
      </c>
      <c r="AT514" s="1">
        <f t="shared" si="77"/>
        <v>0</v>
      </c>
      <c r="AU514" s="31"/>
      <c r="AV514" s="31"/>
      <c r="AW514" s="31"/>
      <c r="AX514" s="16">
        <f t="shared" si="82"/>
        <v>0</v>
      </c>
      <c r="AY514" s="108">
        <v>1</v>
      </c>
      <c r="AZ514" s="108"/>
      <c r="BA514" s="191"/>
      <c r="BB514" s="191"/>
      <c r="BC514" s="31"/>
      <c r="BD514" s="16">
        <f t="shared" si="78"/>
        <v>0</v>
      </c>
      <c r="BE514" s="31"/>
      <c r="BF514" s="31"/>
      <c r="BG514" s="31"/>
      <c r="BH514" s="31"/>
      <c r="BI514" s="16"/>
      <c r="BJ514" s="16"/>
      <c r="BK514" s="31"/>
      <c r="BL514" s="31"/>
      <c r="BM514" s="31"/>
      <c r="BN514" s="31"/>
      <c r="BO514" s="16"/>
      <c r="BP514" s="31"/>
      <c r="BQ514" s="31"/>
      <c r="BR514" s="31"/>
      <c r="BS514" s="31"/>
      <c r="BT514" s="16"/>
      <c r="BU514" s="16"/>
      <c r="BV514" s="16"/>
      <c r="BW514" s="16"/>
      <c r="BX514" s="16"/>
      <c r="BY514" s="16"/>
      <c r="BZ514" s="16"/>
      <c r="CA514" s="1"/>
      <c r="CB514" s="1"/>
      <c r="CC514" s="1"/>
    </row>
    <row r="515" spans="1:81" s="52" customFormat="1" ht="103.9" customHeight="1" x14ac:dyDescent="0.25">
      <c r="A515" s="1">
        <v>6</v>
      </c>
      <c r="B515" s="13" t="s">
        <v>1751</v>
      </c>
      <c r="C515" s="572"/>
      <c r="D515" s="573"/>
      <c r="E515" s="10" t="s">
        <v>1569</v>
      </c>
      <c r="F515" s="13" t="s">
        <v>1818</v>
      </c>
      <c r="G515" s="572"/>
      <c r="H515" s="573"/>
      <c r="I515" s="10" t="s">
        <v>1613</v>
      </c>
      <c r="J515" s="13" t="s">
        <v>1891</v>
      </c>
      <c r="K515" s="567">
        <f>AVERAGE(AX515:AX520)</f>
        <v>0</v>
      </c>
      <c r="L515" s="569">
        <f>IFERROR(AVERAGE(BD515:BD520),"NP")</f>
        <v>0</v>
      </c>
      <c r="M515" s="23"/>
      <c r="N515" s="23" t="s">
        <v>1614</v>
      </c>
      <c r="O515" s="13" t="s">
        <v>1614</v>
      </c>
      <c r="P515" s="1" t="s">
        <v>55</v>
      </c>
      <c r="Q515" s="26">
        <v>1</v>
      </c>
      <c r="R515" s="14"/>
      <c r="S515" s="13" t="s">
        <v>1615</v>
      </c>
      <c r="T515" s="13" t="s">
        <v>1615</v>
      </c>
      <c r="U515" s="1" t="s">
        <v>55</v>
      </c>
      <c r="V515" s="1">
        <v>4</v>
      </c>
      <c r="W515" s="1" t="s">
        <v>412</v>
      </c>
      <c r="X515" s="1"/>
      <c r="Y515" s="1"/>
      <c r="Z515" s="1"/>
      <c r="AA515" s="24"/>
      <c r="AB515" s="42" t="s">
        <v>1753</v>
      </c>
      <c r="AC515" s="156">
        <v>0</v>
      </c>
      <c r="AD515" s="156">
        <v>1</v>
      </c>
      <c r="AE515" s="156">
        <v>2</v>
      </c>
      <c r="AF515" s="156">
        <v>1</v>
      </c>
      <c r="AG515" s="377">
        <f t="shared" si="79"/>
        <v>4</v>
      </c>
      <c r="AH515" s="377" t="b">
        <f t="shared" si="75"/>
        <v>1</v>
      </c>
      <c r="AI515" s="1"/>
      <c r="AJ515" s="1">
        <v>0</v>
      </c>
      <c r="AK515" s="1"/>
      <c r="AL515" s="1"/>
      <c r="AM515" s="16">
        <f t="shared" si="76"/>
        <v>0</v>
      </c>
      <c r="AN515" s="156"/>
      <c r="AO515" s="1"/>
      <c r="AP515" s="1"/>
      <c r="AQ515" s="1"/>
      <c r="AR515" s="65"/>
      <c r="AS515" s="21" t="s">
        <v>310</v>
      </c>
      <c r="AT515" s="1">
        <f t="shared" si="77"/>
        <v>0</v>
      </c>
      <c r="AU515" s="31"/>
      <c r="AV515" s="31"/>
      <c r="AW515" s="31"/>
      <c r="AX515" s="16">
        <f t="shared" si="82"/>
        <v>0</v>
      </c>
      <c r="AY515" s="156">
        <v>1</v>
      </c>
      <c r="AZ515" s="76">
        <v>0</v>
      </c>
      <c r="BA515" s="31"/>
      <c r="BB515" s="31"/>
      <c r="BC515" s="31"/>
      <c r="BD515" s="16">
        <f t="shared" si="78"/>
        <v>0</v>
      </c>
      <c r="BE515" s="31"/>
      <c r="BF515" s="31"/>
      <c r="BG515" s="31"/>
      <c r="BH515" s="31"/>
      <c r="BI515" s="16"/>
      <c r="BJ515" s="16"/>
      <c r="BK515" s="31"/>
      <c r="BL515" s="31"/>
      <c r="BM515" s="31"/>
      <c r="BN515" s="31"/>
      <c r="BO515" s="16"/>
      <c r="BP515" s="31"/>
      <c r="BQ515" s="31"/>
      <c r="BR515" s="31"/>
      <c r="BS515" s="31"/>
      <c r="BT515" s="16"/>
      <c r="BU515" s="16"/>
      <c r="BV515" s="16"/>
      <c r="BW515" s="16"/>
      <c r="BX515" s="16"/>
      <c r="BY515" s="16"/>
      <c r="BZ515" s="16"/>
      <c r="CA515" s="1"/>
      <c r="CB515" s="1"/>
      <c r="CC515" s="1"/>
    </row>
    <row r="516" spans="1:81" s="52" customFormat="1" ht="82.5" customHeight="1" x14ac:dyDescent="0.25">
      <c r="A516" s="1">
        <v>6</v>
      </c>
      <c r="B516" s="13" t="s">
        <v>1751</v>
      </c>
      <c r="C516" s="572"/>
      <c r="D516" s="573"/>
      <c r="E516" s="10" t="s">
        <v>1569</v>
      </c>
      <c r="F516" s="13" t="s">
        <v>1818</v>
      </c>
      <c r="G516" s="572"/>
      <c r="H516" s="573"/>
      <c r="I516" s="10" t="s">
        <v>1613</v>
      </c>
      <c r="J516" s="13" t="s">
        <v>1891</v>
      </c>
      <c r="K516" s="572"/>
      <c r="L516" s="573"/>
      <c r="M516" s="23"/>
      <c r="N516" s="23" t="s">
        <v>1614</v>
      </c>
      <c r="O516" s="13" t="s">
        <v>1614</v>
      </c>
      <c r="P516" s="1" t="s">
        <v>55</v>
      </c>
      <c r="Q516" s="26">
        <v>1</v>
      </c>
      <c r="R516" s="14"/>
      <c r="S516" s="13" t="s">
        <v>1616</v>
      </c>
      <c r="T516" s="13" t="s">
        <v>1616</v>
      </c>
      <c r="U516" s="1" t="s">
        <v>55</v>
      </c>
      <c r="V516" s="1">
        <v>4</v>
      </c>
      <c r="W516" s="1" t="s">
        <v>412</v>
      </c>
      <c r="X516" s="1"/>
      <c r="Y516" s="1"/>
      <c r="Z516" s="1"/>
      <c r="AA516" s="24"/>
      <c r="AB516" s="42" t="s">
        <v>1753</v>
      </c>
      <c r="AC516" s="156">
        <v>1</v>
      </c>
      <c r="AD516" s="156">
        <v>1</v>
      </c>
      <c r="AE516" s="156">
        <v>1</v>
      </c>
      <c r="AF516" s="156">
        <v>1</v>
      </c>
      <c r="AG516" s="377">
        <f t="shared" si="79"/>
        <v>4</v>
      </c>
      <c r="AH516" s="377" t="b">
        <f t="shared" si="75"/>
        <v>1</v>
      </c>
      <c r="AI516" s="1"/>
      <c r="AJ516" s="1"/>
      <c r="AK516" s="1"/>
      <c r="AL516" s="1"/>
      <c r="AM516" s="16">
        <f t="shared" si="76"/>
        <v>0</v>
      </c>
      <c r="AN516" s="156"/>
      <c r="AO516" s="1"/>
      <c r="AP516" s="1"/>
      <c r="AQ516" s="1"/>
      <c r="AR516" s="65"/>
      <c r="AS516" s="21" t="s">
        <v>310</v>
      </c>
      <c r="AT516" s="1">
        <f t="shared" si="77"/>
        <v>0</v>
      </c>
      <c r="AU516" s="31"/>
      <c r="AV516" s="31"/>
      <c r="AW516" s="31"/>
      <c r="AX516" s="16">
        <f t="shared" si="82"/>
        <v>0</v>
      </c>
      <c r="AY516" s="156">
        <v>1</v>
      </c>
      <c r="AZ516" s="76">
        <v>0</v>
      </c>
      <c r="BA516" s="31"/>
      <c r="BB516" s="31"/>
      <c r="BC516" s="31"/>
      <c r="BD516" s="16">
        <f t="shared" si="78"/>
        <v>0</v>
      </c>
      <c r="BE516" s="31"/>
      <c r="BF516" s="31"/>
      <c r="BG516" s="31"/>
      <c r="BH516" s="31"/>
      <c r="BI516" s="16"/>
      <c r="BJ516" s="16"/>
      <c r="BK516" s="31"/>
      <c r="BL516" s="31"/>
      <c r="BM516" s="31"/>
      <c r="BN516" s="31"/>
      <c r="BO516" s="16"/>
      <c r="BP516" s="31"/>
      <c r="BQ516" s="31"/>
      <c r="BR516" s="31"/>
      <c r="BS516" s="31"/>
      <c r="BT516" s="16"/>
      <c r="BU516" s="16"/>
      <c r="BV516" s="16"/>
      <c r="BW516" s="16"/>
      <c r="BX516" s="16"/>
      <c r="BY516" s="16"/>
      <c r="BZ516" s="16"/>
      <c r="CA516" s="1"/>
      <c r="CB516" s="1"/>
      <c r="CC516" s="1"/>
    </row>
    <row r="517" spans="1:81" s="52" customFormat="1" ht="126.4" customHeight="1" x14ac:dyDescent="0.25">
      <c r="A517" s="1">
        <v>6</v>
      </c>
      <c r="B517" s="13" t="s">
        <v>1751</v>
      </c>
      <c r="C517" s="572"/>
      <c r="D517" s="573"/>
      <c r="E517" s="10" t="s">
        <v>1569</v>
      </c>
      <c r="F517" s="13" t="s">
        <v>1818</v>
      </c>
      <c r="G517" s="572"/>
      <c r="H517" s="573"/>
      <c r="I517" s="10" t="s">
        <v>1613</v>
      </c>
      <c r="J517" s="13" t="s">
        <v>1891</v>
      </c>
      <c r="K517" s="572"/>
      <c r="L517" s="573"/>
      <c r="M517" s="23"/>
      <c r="N517" s="23" t="s">
        <v>1614</v>
      </c>
      <c r="O517" s="13" t="s">
        <v>1614</v>
      </c>
      <c r="P517" s="1" t="s">
        <v>55</v>
      </c>
      <c r="Q517" s="26">
        <v>1</v>
      </c>
      <c r="R517" s="14"/>
      <c r="S517" s="13" t="s">
        <v>1617</v>
      </c>
      <c r="T517" s="13" t="s">
        <v>1617</v>
      </c>
      <c r="U517" s="1" t="s">
        <v>55</v>
      </c>
      <c r="V517" s="1">
        <v>30</v>
      </c>
      <c r="W517" s="1" t="s">
        <v>412</v>
      </c>
      <c r="X517" s="1"/>
      <c r="Y517" s="1"/>
      <c r="Z517" s="1"/>
      <c r="AA517" s="24"/>
      <c r="AB517" s="42" t="s">
        <v>1753</v>
      </c>
      <c r="AC517" s="156"/>
      <c r="AD517" s="156">
        <v>20</v>
      </c>
      <c r="AE517" s="156">
        <v>10</v>
      </c>
      <c r="AF517" s="156"/>
      <c r="AG517" s="377">
        <f t="shared" si="79"/>
        <v>30</v>
      </c>
      <c r="AH517" s="377" t="b">
        <f t="shared" si="75"/>
        <v>1</v>
      </c>
      <c r="AI517" s="1"/>
      <c r="AJ517" s="1"/>
      <c r="AK517" s="1"/>
      <c r="AL517" s="1"/>
      <c r="AM517" s="16">
        <f t="shared" si="76"/>
        <v>0</v>
      </c>
      <c r="AN517" s="156"/>
      <c r="AO517" s="1"/>
      <c r="AP517" s="1"/>
      <c r="AQ517" s="1"/>
      <c r="AR517" s="65"/>
      <c r="AS517" s="21" t="s">
        <v>310</v>
      </c>
      <c r="AT517" s="1">
        <f t="shared" si="77"/>
        <v>0</v>
      </c>
      <c r="AU517" s="31"/>
      <c r="AV517" s="31"/>
      <c r="AW517" s="31"/>
      <c r="AX517" s="16">
        <f t="shared" si="82"/>
        <v>0</v>
      </c>
      <c r="AY517" s="156">
        <v>20</v>
      </c>
      <c r="AZ517" s="76">
        <v>0</v>
      </c>
      <c r="BA517" s="31"/>
      <c r="BB517" s="31"/>
      <c r="BC517" s="31"/>
      <c r="BD517" s="16">
        <f t="shared" si="78"/>
        <v>0</v>
      </c>
      <c r="BE517" s="31"/>
      <c r="BF517" s="31"/>
      <c r="BG517" s="31"/>
      <c r="BH517" s="31"/>
      <c r="BI517" s="16"/>
      <c r="BJ517" s="16"/>
      <c r="BK517" s="31"/>
      <c r="BL517" s="31"/>
      <c r="BM517" s="31"/>
      <c r="BN517" s="31"/>
      <c r="BO517" s="16"/>
      <c r="BP517" s="31"/>
      <c r="BQ517" s="31"/>
      <c r="BR517" s="31"/>
      <c r="BS517" s="31"/>
      <c r="BT517" s="16"/>
      <c r="BU517" s="16"/>
      <c r="BV517" s="16"/>
      <c r="BW517" s="16"/>
      <c r="BX517" s="16"/>
      <c r="BY517" s="16"/>
      <c r="BZ517" s="16"/>
      <c r="CA517" s="1"/>
      <c r="CB517" s="1"/>
      <c r="CC517" s="1"/>
    </row>
    <row r="518" spans="1:81" s="52" customFormat="1" ht="105" customHeight="1" x14ac:dyDescent="0.25">
      <c r="A518" s="1">
        <v>6</v>
      </c>
      <c r="B518" s="13" t="s">
        <v>1751</v>
      </c>
      <c r="C518" s="572"/>
      <c r="D518" s="573"/>
      <c r="E518" s="10" t="s">
        <v>1569</v>
      </c>
      <c r="F518" s="13" t="s">
        <v>1818</v>
      </c>
      <c r="G518" s="572"/>
      <c r="H518" s="573"/>
      <c r="I518" s="10" t="s">
        <v>1613</v>
      </c>
      <c r="J518" s="13" t="s">
        <v>1891</v>
      </c>
      <c r="K518" s="572"/>
      <c r="L518" s="573"/>
      <c r="M518" s="23"/>
      <c r="N518" s="23" t="s">
        <v>1614</v>
      </c>
      <c r="O518" s="13" t="s">
        <v>1614</v>
      </c>
      <c r="P518" s="1" t="s">
        <v>55</v>
      </c>
      <c r="Q518" s="26">
        <v>1</v>
      </c>
      <c r="R518" s="14"/>
      <c r="S518" s="13" t="s">
        <v>1618</v>
      </c>
      <c r="T518" s="13" t="s">
        <v>1618</v>
      </c>
      <c r="U518" s="1">
        <v>1</v>
      </c>
      <c r="V518" s="1">
        <v>1</v>
      </c>
      <c r="W518" s="1" t="s">
        <v>420</v>
      </c>
      <c r="X518" s="1"/>
      <c r="Y518" s="1"/>
      <c r="Z518" s="1"/>
      <c r="AA518" s="24"/>
      <c r="AB518" s="42" t="s">
        <v>1753</v>
      </c>
      <c r="AC518" s="156"/>
      <c r="AD518" s="156">
        <v>1</v>
      </c>
      <c r="AE518" s="156"/>
      <c r="AF518" s="156"/>
      <c r="AG518" s="377">
        <f t="shared" si="79"/>
        <v>1</v>
      </c>
      <c r="AH518" s="377" t="b">
        <f t="shared" si="75"/>
        <v>1</v>
      </c>
      <c r="AI518" s="1"/>
      <c r="AJ518" s="1"/>
      <c r="AK518" s="1"/>
      <c r="AL518" s="1"/>
      <c r="AM518" s="16">
        <f t="shared" si="76"/>
        <v>0</v>
      </c>
      <c r="AN518" s="156"/>
      <c r="AO518" s="1"/>
      <c r="AP518" s="1"/>
      <c r="AQ518" s="1"/>
      <c r="AR518" s="65"/>
      <c r="AS518" s="21" t="s">
        <v>310</v>
      </c>
      <c r="AT518" s="1">
        <f t="shared" si="77"/>
        <v>0</v>
      </c>
      <c r="AU518" s="31"/>
      <c r="AV518" s="31"/>
      <c r="AW518" s="31"/>
      <c r="AX518" s="16">
        <f t="shared" si="82"/>
        <v>0</v>
      </c>
      <c r="AY518" s="156">
        <v>1</v>
      </c>
      <c r="AZ518" s="76">
        <v>0</v>
      </c>
      <c r="BA518" s="31"/>
      <c r="BB518" s="31"/>
      <c r="BC518" s="31"/>
      <c r="BD518" s="16">
        <f t="shared" si="78"/>
        <v>0</v>
      </c>
      <c r="BE518" s="31"/>
      <c r="BF518" s="31"/>
      <c r="BG518" s="31"/>
      <c r="BH518" s="31"/>
      <c r="BI518" s="16"/>
      <c r="BJ518" s="16"/>
      <c r="BK518" s="31"/>
      <c r="BL518" s="31"/>
      <c r="BM518" s="31"/>
      <c r="BN518" s="31"/>
      <c r="BO518" s="16"/>
      <c r="BP518" s="31"/>
      <c r="BQ518" s="31"/>
      <c r="BR518" s="31"/>
      <c r="BS518" s="31"/>
      <c r="BT518" s="16"/>
      <c r="BU518" s="16"/>
      <c r="BV518" s="16"/>
      <c r="BW518" s="16"/>
      <c r="BX518" s="16"/>
      <c r="BY518" s="16"/>
      <c r="BZ518" s="16"/>
      <c r="CA518" s="1"/>
      <c r="CB518" s="1"/>
      <c r="CC518" s="1"/>
    </row>
    <row r="519" spans="1:81" s="52" customFormat="1" ht="114.4" customHeight="1" x14ac:dyDescent="0.25">
      <c r="A519" s="1">
        <v>6</v>
      </c>
      <c r="B519" s="13" t="s">
        <v>1751</v>
      </c>
      <c r="C519" s="572"/>
      <c r="D519" s="573"/>
      <c r="E519" s="10" t="s">
        <v>1569</v>
      </c>
      <c r="F519" s="13" t="s">
        <v>1818</v>
      </c>
      <c r="G519" s="572"/>
      <c r="H519" s="573"/>
      <c r="I519" s="10" t="s">
        <v>1613</v>
      </c>
      <c r="J519" s="13" t="s">
        <v>1891</v>
      </c>
      <c r="K519" s="572"/>
      <c r="L519" s="573"/>
      <c r="M519" s="23"/>
      <c r="N519" s="23" t="s">
        <v>1614</v>
      </c>
      <c r="O519" s="13" t="s">
        <v>1614</v>
      </c>
      <c r="P519" s="1" t="s">
        <v>55</v>
      </c>
      <c r="Q519" s="26">
        <v>1</v>
      </c>
      <c r="R519" s="14"/>
      <c r="S519" s="13" t="s">
        <v>1619</v>
      </c>
      <c r="T519" s="13" t="s">
        <v>1619</v>
      </c>
      <c r="U519" s="1" t="s">
        <v>1592</v>
      </c>
      <c r="V519" s="1">
        <v>200</v>
      </c>
      <c r="W519" s="1" t="s">
        <v>412</v>
      </c>
      <c r="X519" s="1"/>
      <c r="Y519" s="1"/>
      <c r="Z519" s="1"/>
      <c r="AA519" s="24"/>
      <c r="AB519" s="42" t="s">
        <v>1753</v>
      </c>
      <c r="AC519" s="156"/>
      <c r="AD519" s="156">
        <v>40</v>
      </c>
      <c r="AE519" s="156">
        <v>80</v>
      </c>
      <c r="AF519" s="156">
        <v>80</v>
      </c>
      <c r="AG519" s="377">
        <f t="shared" si="79"/>
        <v>200</v>
      </c>
      <c r="AH519" s="377" t="b">
        <f t="shared" si="75"/>
        <v>1</v>
      </c>
      <c r="AI519" s="1"/>
      <c r="AJ519" s="1"/>
      <c r="AK519" s="1"/>
      <c r="AL519" s="1"/>
      <c r="AM519" s="16">
        <f t="shared" si="76"/>
        <v>0</v>
      </c>
      <c r="AN519" s="156"/>
      <c r="AO519" s="1"/>
      <c r="AP519" s="1"/>
      <c r="AQ519" s="1"/>
      <c r="AR519" s="65"/>
      <c r="AS519" s="21" t="s">
        <v>310</v>
      </c>
      <c r="AT519" s="1">
        <f t="shared" si="77"/>
        <v>0</v>
      </c>
      <c r="AU519" s="31"/>
      <c r="AV519" s="31"/>
      <c r="AW519" s="31"/>
      <c r="AX519" s="16">
        <f t="shared" si="82"/>
        <v>0</v>
      </c>
      <c r="AY519" s="156">
        <v>40</v>
      </c>
      <c r="AZ519" s="76">
        <v>0</v>
      </c>
      <c r="BA519" s="31"/>
      <c r="BB519" s="31"/>
      <c r="BC519" s="31"/>
      <c r="BD519" s="16">
        <f t="shared" si="78"/>
        <v>0</v>
      </c>
      <c r="BE519" s="31"/>
      <c r="BF519" s="31"/>
      <c r="BG519" s="31"/>
      <c r="BH519" s="31"/>
      <c r="BI519" s="16"/>
      <c r="BJ519" s="16"/>
      <c r="BK519" s="31"/>
      <c r="BL519" s="31"/>
      <c r="BM519" s="31"/>
      <c r="BN519" s="31"/>
      <c r="BO519" s="16"/>
      <c r="BP519" s="31"/>
      <c r="BQ519" s="31"/>
      <c r="BR519" s="31"/>
      <c r="BS519" s="31"/>
      <c r="BT519" s="16"/>
      <c r="BU519" s="16"/>
      <c r="BV519" s="16"/>
      <c r="BW519" s="16"/>
      <c r="BX519" s="16"/>
      <c r="BY519" s="16"/>
      <c r="BZ519" s="16"/>
      <c r="CA519" s="1"/>
      <c r="CB519" s="1"/>
      <c r="CC519" s="1"/>
    </row>
    <row r="520" spans="1:81" s="52" customFormat="1" ht="140.65" customHeight="1" x14ac:dyDescent="0.25">
      <c r="A520" s="1">
        <v>6</v>
      </c>
      <c r="B520" s="13" t="s">
        <v>1751</v>
      </c>
      <c r="C520" s="572"/>
      <c r="D520" s="573"/>
      <c r="E520" s="10" t="s">
        <v>1569</v>
      </c>
      <c r="F520" s="13" t="s">
        <v>1818</v>
      </c>
      <c r="G520" s="572"/>
      <c r="H520" s="573"/>
      <c r="I520" s="10" t="s">
        <v>1613</v>
      </c>
      <c r="J520" s="13" t="s">
        <v>1891</v>
      </c>
      <c r="K520" s="568"/>
      <c r="L520" s="570"/>
      <c r="M520" s="23"/>
      <c r="N520" s="23" t="s">
        <v>1620</v>
      </c>
      <c r="O520" s="13" t="s">
        <v>1620</v>
      </c>
      <c r="P520" s="1" t="s">
        <v>55</v>
      </c>
      <c r="Q520" s="26">
        <v>1</v>
      </c>
      <c r="R520" s="14"/>
      <c r="S520" s="13" t="s">
        <v>1621</v>
      </c>
      <c r="T520" s="13" t="s">
        <v>1621</v>
      </c>
      <c r="U520" s="108" t="s">
        <v>1373</v>
      </c>
      <c r="V520" s="170">
        <v>0.2</v>
      </c>
      <c r="W520" s="1" t="s">
        <v>49</v>
      </c>
      <c r="X520" s="1"/>
      <c r="Y520" s="1"/>
      <c r="Z520" s="1"/>
      <c r="AA520" s="24"/>
      <c r="AB520" s="42" t="s">
        <v>1753</v>
      </c>
      <c r="AC520" s="156"/>
      <c r="AD520" s="156"/>
      <c r="AE520" s="156"/>
      <c r="AF520" s="156"/>
      <c r="AG520" s="377">
        <f t="shared" si="79"/>
        <v>0</v>
      </c>
      <c r="AH520" s="377" t="b">
        <f t="shared" si="75"/>
        <v>0</v>
      </c>
      <c r="AI520" s="1"/>
      <c r="AJ520" s="1"/>
      <c r="AK520" s="1"/>
      <c r="AL520" s="1"/>
      <c r="AM520" s="16">
        <f t="shared" si="76"/>
        <v>0</v>
      </c>
      <c r="AN520" s="156"/>
      <c r="AO520" s="1"/>
      <c r="AP520" s="1"/>
      <c r="AQ520" s="1"/>
      <c r="AR520" s="65"/>
      <c r="AS520" s="21" t="s">
        <v>310</v>
      </c>
      <c r="AT520" s="1">
        <f t="shared" si="77"/>
        <v>0</v>
      </c>
      <c r="AU520" s="31"/>
      <c r="AV520" s="31"/>
      <c r="AW520" s="31"/>
      <c r="AX520" s="16">
        <f t="shared" si="82"/>
        <v>0</v>
      </c>
      <c r="AY520" s="156" t="s">
        <v>310</v>
      </c>
      <c r="AZ520" s="76">
        <v>0</v>
      </c>
      <c r="BA520" s="31"/>
      <c r="BB520" s="31"/>
      <c r="BC520" s="31"/>
      <c r="BD520" s="16" t="str">
        <f t="shared" si="78"/>
        <v>NP</v>
      </c>
      <c r="BE520" s="31"/>
      <c r="BF520" s="31"/>
      <c r="BG520" s="31"/>
      <c r="BH520" s="31"/>
      <c r="BI520" s="16"/>
      <c r="BJ520" s="16"/>
      <c r="BK520" s="31"/>
      <c r="BL520" s="31"/>
      <c r="BM520" s="31"/>
      <c r="BN520" s="31"/>
      <c r="BO520" s="16"/>
      <c r="BP520" s="31"/>
      <c r="BQ520" s="31"/>
      <c r="BR520" s="31"/>
      <c r="BS520" s="31"/>
      <c r="BT520" s="16"/>
      <c r="BU520" s="16"/>
      <c r="BV520" s="16"/>
      <c r="BW520" s="16"/>
      <c r="BX520" s="16"/>
      <c r="BY520" s="16"/>
      <c r="BZ520" s="16"/>
      <c r="CA520" s="1"/>
      <c r="CB520" s="1"/>
      <c r="CC520" s="1"/>
    </row>
    <row r="521" spans="1:81" s="52" customFormat="1" ht="124.9" customHeight="1" x14ac:dyDescent="0.25">
      <c r="A521" s="1">
        <v>6</v>
      </c>
      <c r="B521" s="13" t="s">
        <v>1751</v>
      </c>
      <c r="C521" s="572"/>
      <c r="D521" s="573"/>
      <c r="E521" s="10" t="s">
        <v>1569</v>
      </c>
      <c r="F521" s="13" t="s">
        <v>1818</v>
      </c>
      <c r="G521" s="572"/>
      <c r="H521" s="573"/>
      <c r="I521" s="10" t="s">
        <v>1622</v>
      </c>
      <c r="J521" s="13" t="s">
        <v>1892</v>
      </c>
      <c r="K521" s="567">
        <f>AVERAGE(AX521:AX523)</f>
        <v>0.16666666666666666</v>
      </c>
      <c r="L521" s="569">
        <f>AVERAGE(BD521:BD523)</f>
        <v>0</v>
      </c>
      <c r="M521" s="23"/>
      <c r="N521" s="23" t="s">
        <v>1623</v>
      </c>
      <c r="O521" s="23" t="s">
        <v>1623</v>
      </c>
      <c r="P521" s="1" t="s">
        <v>55</v>
      </c>
      <c r="Q521" s="26">
        <v>1</v>
      </c>
      <c r="R521" s="14"/>
      <c r="S521" s="13" t="s">
        <v>1624</v>
      </c>
      <c r="T521" s="13" t="s">
        <v>1624</v>
      </c>
      <c r="U521" s="1" t="s">
        <v>1373</v>
      </c>
      <c r="V521" s="1">
        <v>8</v>
      </c>
      <c r="W521" s="1" t="s">
        <v>49</v>
      </c>
      <c r="X521" s="1"/>
      <c r="Y521" s="1"/>
      <c r="Z521" s="1"/>
      <c r="AA521" s="24"/>
      <c r="AB521" s="10" t="s">
        <v>1774</v>
      </c>
      <c r="AC521" s="371"/>
      <c r="AD521" s="156"/>
      <c r="AE521" s="371"/>
      <c r="AF521" s="371"/>
      <c r="AG521" s="377">
        <f t="shared" si="79"/>
        <v>0</v>
      </c>
      <c r="AH521" s="379" t="b">
        <f t="shared" ref="AH521:AH567" si="83">V521=AG521</f>
        <v>0</v>
      </c>
      <c r="AI521" s="1"/>
      <c r="AJ521" s="1"/>
      <c r="AK521" s="1"/>
      <c r="AL521" s="1"/>
      <c r="AM521" s="16">
        <f t="shared" ref="AM521:AM567" si="84">+AL521/V521</f>
        <v>0</v>
      </c>
      <c r="AN521" s="156"/>
      <c r="AO521" s="1"/>
      <c r="AP521" s="1"/>
      <c r="AQ521" s="1"/>
      <c r="AR521" s="1"/>
      <c r="AS521" s="21" t="s">
        <v>310</v>
      </c>
      <c r="AT521" s="1">
        <f t="shared" si="77"/>
        <v>0</v>
      </c>
      <c r="AU521" s="31"/>
      <c r="AV521" s="31"/>
      <c r="AW521" s="31"/>
      <c r="AX521" s="16">
        <f t="shared" si="82"/>
        <v>0</v>
      </c>
      <c r="AY521" s="156" t="s">
        <v>310</v>
      </c>
      <c r="AZ521" s="108"/>
      <c r="BA521" s="31"/>
      <c r="BB521" s="31"/>
      <c r="BC521" s="31"/>
      <c r="BD521" s="16" t="str">
        <f t="shared" si="78"/>
        <v>NP</v>
      </c>
      <c r="BE521" s="31"/>
      <c r="BF521" s="31"/>
      <c r="BG521" s="31"/>
      <c r="BH521" s="31"/>
      <c r="BI521" s="16"/>
      <c r="BJ521" s="16"/>
      <c r="BK521" s="31"/>
      <c r="BL521" s="31"/>
      <c r="BM521" s="31"/>
      <c r="BN521" s="31"/>
      <c r="BO521" s="16"/>
      <c r="BP521" s="31"/>
      <c r="BQ521" s="31"/>
      <c r="BR521" s="31"/>
      <c r="BS521" s="31"/>
      <c r="BT521" s="16"/>
      <c r="BU521" s="16"/>
      <c r="BV521" s="16"/>
      <c r="BW521" s="16"/>
      <c r="BX521" s="16"/>
      <c r="BY521" s="16"/>
      <c r="BZ521" s="16"/>
      <c r="CA521" s="1"/>
      <c r="CB521" s="1"/>
      <c r="CC521" s="1"/>
    </row>
    <row r="522" spans="1:81" s="52" customFormat="1" ht="124.9" customHeight="1" x14ac:dyDescent="0.25">
      <c r="A522" s="1">
        <v>6</v>
      </c>
      <c r="B522" s="13" t="s">
        <v>1751</v>
      </c>
      <c r="C522" s="572"/>
      <c r="D522" s="573"/>
      <c r="E522" s="10" t="s">
        <v>1569</v>
      </c>
      <c r="F522" s="13" t="s">
        <v>1818</v>
      </c>
      <c r="G522" s="572"/>
      <c r="H522" s="573"/>
      <c r="I522" s="10" t="s">
        <v>1622</v>
      </c>
      <c r="J522" s="13" t="s">
        <v>1892</v>
      </c>
      <c r="K522" s="572"/>
      <c r="L522" s="573"/>
      <c r="M522" s="23"/>
      <c r="N522" s="23" t="s">
        <v>1623</v>
      </c>
      <c r="O522" s="23" t="s">
        <v>1623</v>
      </c>
      <c r="P522" s="1" t="s">
        <v>55</v>
      </c>
      <c r="Q522" s="26">
        <v>1</v>
      </c>
      <c r="R522" s="14"/>
      <c r="S522" s="13" t="s">
        <v>1625</v>
      </c>
      <c r="T522" s="13" t="s">
        <v>1625</v>
      </c>
      <c r="U522" s="1" t="s">
        <v>1592</v>
      </c>
      <c r="V522" s="1">
        <v>4</v>
      </c>
      <c r="W522" s="1" t="s">
        <v>412</v>
      </c>
      <c r="X522" s="1"/>
      <c r="Y522" s="1"/>
      <c r="Z522" s="1"/>
      <c r="AA522" s="24"/>
      <c r="AB522" s="10" t="s">
        <v>1333</v>
      </c>
      <c r="AC522" s="156"/>
      <c r="AD522" s="156"/>
      <c r="AE522" s="156"/>
      <c r="AF522" s="156"/>
      <c r="AG522" s="377">
        <f t="shared" si="79"/>
        <v>0</v>
      </c>
      <c r="AH522" s="377" t="b">
        <f t="shared" si="83"/>
        <v>0</v>
      </c>
      <c r="AI522" s="108"/>
      <c r="AJ522" s="1"/>
      <c r="AK522" s="1"/>
      <c r="AL522" s="1"/>
      <c r="AM522" s="16">
        <f t="shared" si="84"/>
        <v>0</v>
      </c>
      <c r="AN522" s="156"/>
      <c r="AO522" s="1"/>
      <c r="AP522" s="1"/>
      <c r="AQ522" s="1"/>
      <c r="AR522" s="1"/>
      <c r="AS522" s="21" t="s">
        <v>310</v>
      </c>
      <c r="AT522" s="1">
        <f t="shared" si="77"/>
        <v>0</v>
      </c>
      <c r="AU522" s="31"/>
      <c r="AV522" s="31"/>
      <c r="AW522" s="31"/>
      <c r="AX522" s="16">
        <f t="shared" si="82"/>
        <v>0</v>
      </c>
      <c r="AY522" s="156" t="s">
        <v>310</v>
      </c>
      <c r="AZ522" s="108"/>
      <c r="BA522" s="31"/>
      <c r="BB522" s="31"/>
      <c r="BC522" s="31"/>
      <c r="BD522" s="16" t="str">
        <f t="shared" si="78"/>
        <v>NP</v>
      </c>
      <c r="BE522" s="31"/>
      <c r="BF522" s="31"/>
      <c r="BG522" s="31"/>
      <c r="BH522" s="31"/>
      <c r="BI522" s="16"/>
      <c r="BJ522" s="16"/>
      <c r="BK522" s="31"/>
      <c r="BL522" s="31"/>
      <c r="BM522" s="31"/>
      <c r="BN522" s="31"/>
      <c r="BO522" s="16"/>
      <c r="BP522" s="31"/>
      <c r="BQ522" s="31"/>
      <c r="BR522" s="31"/>
      <c r="BS522" s="31"/>
      <c r="BT522" s="16"/>
      <c r="BU522" s="16"/>
      <c r="BV522" s="16"/>
      <c r="BW522" s="16"/>
      <c r="BX522" s="16"/>
      <c r="BY522" s="16"/>
      <c r="BZ522" s="16"/>
      <c r="CA522" s="1"/>
      <c r="CB522" s="1"/>
      <c r="CC522" s="1"/>
    </row>
    <row r="523" spans="1:81" s="52" customFormat="1" ht="141.75" x14ac:dyDescent="0.25">
      <c r="A523" s="1">
        <v>6</v>
      </c>
      <c r="B523" s="13" t="s">
        <v>1751</v>
      </c>
      <c r="C523" s="572"/>
      <c r="D523" s="573"/>
      <c r="E523" s="10" t="s">
        <v>1569</v>
      </c>
      <c r="F523" s="13" t="s">
        <v>1818</v>
      </c>
      <c r="G523" s="572"/>
      <c r="H523" s="573"/>
      <c r="I523" s="10" t="s">
        <v>1622</v>
      </c>
      <c r="J523" s="13" t="s">
        <v>1892</v>
      </c>
      <c r="K523" s="568"/>
      <c r="L523" s="570"/>
      <c r="M523" s="10"/>
      <c r="N523" s="10" t="s">
        <v>1623</v>
      </c>
      <c r="O523" s="24" t="s">
        <v>1626</v>
      </c>
      <c r="P523" s="1" t="s">
        <v>55</v>
      </c>
      <c r="Q523" s="1">
        <v>100</v>
      </c>
      <c r="R523" s="24"/>
      <c r="S523" s="13" t="s">
        <v>1627</v>
      </c>
      <c r="T523" s="13" t="s">
        <v>1627</v>
      </c>
      <c r="U523" s="1" t="s">
        <v>55</v>
      </c>
      <c r="V523" s="10">
        <v>1</v>
      </c>
      <c r="W523" s="10" t="s">
        <v>412</v>
      </c>
      <c r="X523" s="1"/>
      <c r="Y523" s="10" t="s">
        <v>1212</v>
      </c>
      <c r="Z523" s="1">
        <v>45</v>
      </c>
      <c r="AA523" s="24">
        <v>16</v>
      </c>
      <c r="AB523" s="10" t="s">
        <v>1333</v>
      </c>
      <c r="AC523" s="157">
        <v>0.5</v>
      </c>
      <c r="AD523" s="156">
        <v>1</v>
      </c>
      <c r="AE523" s="156"/>
      <c r="AF523" s="156"/>
      <c r="AG523" s="377">
        <f t="shared" si="79"/>
        <v>1.5</v>
      </c>
      <c r="AH523" s="377" t="b">
        <f t="shared" si="83"/>
        <v>0</v>
      </c>
      <c r="AI523" s="10">
        <v>0</v>
      </c>
      <c r="AJ523" s="10">
        <v>0.5</v>
      </c>
      <c r="AK523" s="10">
        <v>0.5</v>
      </c>
      <c r="AL523" s="10">
        <v>0.5</v>
      </c>
      <c r="AM523" s="16">
        <f t="shared" si="84"/>
        <v>0.5</v>
      </c>
      <c r="AN523" s="157">
        <v>0.5</v>
      </c>
      <c r="AO523" s="10">
        <v>0</v>
      </c>
      <c r="AP523" s="10">
        <v>0.5</v>
      </c>
      <c r="AQ523" s="10"/>
      <c r="AR523" s="326">
        <f>AL523</f>
        <v>0.5</v>
      </c>
      <c r="AS523" s="21">
        <f>IFERROR(+AR523/AN523,0)</f>
        <v>1</v>
      </c>
      <c r="AT523" s="1">
        <f t="shared" si="77"/>
        <v>0.5</v>
      </c>
      <c r="AU523" s="31"/>
      <c r="AV523" s="31"/>
      <c r="AW523" s="31"/>
      <c r="AX523" s="16">
        <f t="shared" si="82"/>
        <v>0.5</v>
      </c>
      <c r="AY523" s="156">
        <v>1</v>
      </c>
      <c r="AZ523" s="76">
        <v>0</v>
      </c>
      <c r="BA523" s="31"/>
      <c r="BB523" s="31"/>
      <c r="BC523" s="31"/>
      <c r="BD523" s="16">
        <f t="shared" si="78"/>
        <v>0</v>
      </c>
      <c r="BE523" s="31"/>
      <c r="BF523" s="31"/>
      <c r="BG523" s="31"/>
      <c r="BH523" s="31"/>
      <c r="BI523" s="16"/>
      <c r="BJ523" s="16"/>
      <c r="BK523" s="31"/>
      <c r="BL523" s="31"/>
      <c r="BM523" s="31"/>
      <c r="BN523" s="31"/>
      <c r="BO523" s="16"/>
      <c r="BP523" s="31"/>
      <c r="BQ523" s="31"/>
      <c r="BR523" s="31"/>
      <c r="BS523" s="31"/>
      <c r="BT523" s="16"/>
      <c r="BU523" s="16"/>
      <c r="BV523" s="16"/>
      <c r="BW523" s="16"/>
      <c r="BX523" s="16"/>
      <c r="BY523" s="16"/>
      <c r="BZ523" s="16"/>
      <c r="CA523" s="1"/>
      <c r="CB523" s="1"/>
      <c r="CC523" s="1"/>
    </row>
    <row r="524" spans="1:81" s="52" customFormat="1" ht="94.5" x14ac:dyDescent="0.25">
      <c r="A524" s="1">
        <v>6</v>
      </c>
      <c r="B524" s="13" t="s">
        <v>1751</v>
      </c>
      <c r="C524" s="572"/>
      <c r="D524" s="573"/>
      <c r="E524" s="10" t="s">
        <v>1569</v>
      </c>
      <c r="F524" s="13" t="s">
        <v>1818</v>
      </c>
      <c r="G524" s="572"/>
      <c r="H524" s="573"/>
      <c r="I524" s="10" t="s">
        <v>1628</v>
      </c>
      <c r="J524" s="13" t="s">
        <v>1893</v>
      </c>
      <c r="K524" s="567">
        <f>AVERAGE(AX524:AX528)</f>
        <v>0.25</v>
      </c>
      <c r="L524" s="569">
        <f>AVERAGE(BD524:BD528)</f>
        <v>0.33333333333333331</v>
      </c>
      <c r="M524" s="10"/>
      <c r="N524" s="10" t="s">
        <v>1629</v>
      </c>
      <c r="O524" s="24" t="s">
        <v>1211</v>
      </c>
      <c r="P524" s="1" t="s">
        <v>55</v>
      </c>
      <c r="Q524" s="1">
        <v>100</v>
      </c>
      <c r="R524" s="24"/>
      <c r="S524" s="13" t="s">
        <v>1630</v>
      </c>
      <c r="T524" s="13" t="s">
        <v>1630</v>
      </c>
      <c r="U524" s="1" t="s">
        <v>55</v>
      </c>
      <c r="V524" s="1">
        <v>1</v>
      </c>
      <c r="W524" s="1" t="s">
        <v>412</v>
      </c>
      <c r="X524" s="1"/>
      <c r="Y524" s="10" t="s">
        <v>1212</v>
      </c>
      <c r="Z524" s="1">
        <v>45</v>
      </c>
      <c r="AA524" s="24">
        <v>10</v>
      </c>
      <c r="AB524" s="10" t="s">
        <v>1333</v>
      </c>
      <c r="AC524" s="157">
        <v>0.5</v>
      </c>
      <c r="AD524" s="156">
        <v>1</v>
      </c>
      <c r="AE524" s="156"/>
      <c r="AF524" s="156"/>
      <c r="AG524" s="377">
        <f t="shared" si="79"/>
        <v>1.5</v>
      </c>
      <c r="AH524" s="377" t="b">
        <f t="shared" si="83"/>
        <v>0</v>
      </c>
      <c r="AI524" s="1">
        <v>0</v>
      </c>
      <c r="AJ524" s="1">
        <v>0.5</v>
      </c>
      <c r="AK524" s="1">
        <v>0.5</v>
      </c>
      <c r="AL524" s="1">
        <v>0.5</v>
      </c>
      <c r="AM524" s="16">
        <f t="shared" si="84"/>
        <v>0.5</v>
      </c>
      <c r="AN524" s="157">
        <v>0.5</v>
      </c>
      <c r="AO524" s="10">
        <v>0</v>
      </c>
      <c r="AP524" s="10">
        <v>0.5</v>
      </c>
      <c r="AQ524" s="10"/>
      <c r="AR524" s="326">
        <f>AL524</f>
        <v>0.5</v>
      </c>
      <c r="AS524" s="21">
        <f>IFERROR(+AR524/AN524,0)</f>
        <v>1</v>
      </c>
      <c r="AT524" s="1">
        <f t="shared" si="77"/>
        <v>1</v>
      </c>
      <c r="AU524" s="31"/>
      <c r="AV524" s="31"/>
      <c r="AW524" s="31"/>
      <c r="AX524" s="16">
        <f t="shared" si="82"/>
        <v>1</v>
      </c>
      <c r="AY524" s="156">
        <v>1</v>
      </c>
      <c r="AZ524" s="76">
        <v>0.5</v>
      </c>
      <c r="BA524" s="31"/>
      <c r="BB524" s="31"/>
      <c r="BC524" s="31"/>
      <c r="BD524" s="16">
        <f t="shared" si="78"/>
        <v>0.5</v>
      </c>
      <c r="BE524" s="31"/>
      <c r="BF524" s="31"/>
      <c r="BG524" s="31"/>
      <c r="BH524" s="31"/>
      <c r="BI524" s="16"/>
      <c r="BJ524" s="16"/>
      <c r="BK524" s="31"/>
      <c r="BL524" s="31"/>
      <c r="BM524" s="31"/>
      <c r="BN524" s="31"/>
      <c r="BO524" s="16"/>
      <c r="BP524" s="31"/>
      <c r="BQ524" s="31"/>
      <c r="BR524" s="31"/>
      <c r="BS524" s="31"/>
      <c r="BT524" s="16"/>
      <c r="BU524" s="16"/>
      <c r="BV524" s="16"/>
      <c r="BW524" s="16"/>
      <c r="BX524" s="16"/>
      <c r="BY524" s="16"/>
      <c r="BZ524" s="16"/>
      <c r="CA524" s="1"/>
      <c r="CB524" s="1"/>
      <c r="CC524" s="1"/>
    </row>
    <row r="525" spans="1:81" s="52" customFormat="1" ht="142.9" customHeight="1" x14ac:dyDescent="0.25">
      <c r="A525" s="1">
        <v>6</v>
      </c>
      <c r="B525" s="13" t="s">
        <v>1751</v>
      </c>
      <c r="C525" s="572"/>
      <c r="D525" s="573"/>
      <c r="E525" s="10" t="s">
        <v>1569</v>
      </c>
      <c r="F525" s="13" t="s">
        <v>1818</v>
      </c>
      <c r="G525" s="572"/>
      <c r="H525" s="573"/>
      <c r="I525" s="10" t="s">
        <v>1628</v>
      </c>
      <c r="J525" s="13" t="s">
        <v>1893</v>
      </c>
      <c r="K525" s="572"/>
      <c r="L525" s="573"/>
      <c r="M525" s="10"/>
      <c r="N525" s="10" t="s">
        <v>1629</v>
      </c>
      <c r="O525" s="10" t="s">
        <v>1629</v>
      </c>
      <c r="P525" s="1" t="s">
        <v>55</v>
      </c>
      <c r="Q525" s="1">
        <v>100</v>
      </c>
      <c r="R525" s="24"/>
      <c r="S525" s="13" t="s">
        <v>1631</v>
      </c>
      <c r="T525" s="13" t="s">
        <v>1631</v>
      </c>
      <c r="U525" s="1" t="s">
        <v>55</v>
      </c>
      <c r="V525" s="1">
        <v>8</v>
      </c>
      <c r="W525" s="1" t="s">
        <v>412</v>
      </c>
      <c r="X525" s="1"/>
      <c r="Y525" s="10" t="s">
        <v>1212</v>
      </c>
      <c r="Z525" s="1">
        <v>45</v>
      </c>
      <c r="AA525" s="24">
        <v>10</v>
      </c>
      <c r="AB525" s="10" t="s">
        <v>1333</v>
      </c>
      <c r="AC525" s="157">
        <v>1</v>
      </c>
      <c r="AD525" s="156">
        <v>2</v>
      </c>
      <c r="AE525" s="156"/>
      <c r="AF525" s="156"/>
      <c r="AG525" s="377">
        <f t="shared" si="79"/>
        <v>3</v>
      </c>
      <c r="AH525" s="377" t="b">
        <f t="shared" si="83"/>
        <v>0</v>
      </c>
      <c r="AI525" s="1">
        <v>0</v>
      </c>
      <c r="AJ525" s="1">
        <v>1</v>
      </c>
      <c r="AK525" s="1">
        <v>1</v>
      </c>
      <c r="AL525" s="1">
        <v>1</v>
      </c>
      <c r="AM525" s="16">
        <f t="shared" si="84"/>
        <v>0.125</v>
      </c>
      <c r="AN525" s="157">
        <v>1</v>
      </c>
      <c r="AO525" s="10">
        <v>0</v>
      </c>
      <c r="AP525" s="36">
        <v>1</v>
      </c>
      <c r="AQ525" s="36"/>
      <c r="AR525" s="27">
        <f>AL525</f>
        <v>1</v>
      </c>
      <c r="AS525" s="21">
        <f>IFERROR(+AR525/AN525,0)</f>
        <v>1</v>
      </c>
      <c r="AT525" s="1">
        <f t="shared" si="77"/>
        <v>2</v>
      </c>
      <c r="AU525" s="31"/>
      <c r="AV525" s="31"/>
      <c r="AW525" s="31"/>
      <c r="AX525" s="16">
        <f t="shared" si="82"/>
        <v>0.25</v>
      </c>
      <c r="AY525" s="156">
        <v>2</v>
      </c>
      <c r="AZ525" s="76">
        <v>1</v>
      </c>
      <c r="BA525" s="31"/>
      <c r="BB525" s="31"/>
      <c r="BC525" s="31"/>
      <c r="BD525" s="16">
        <f t="shared" si="78"/>
        <v>0.5</v>
      </c>
      <c r="BE525" s="31"/>
      <c r="BF525" s="31"/>
      <c r="BG525" s="31"/>
      <c r="BH525" s="31"/>
      <c r="BI525" s="16"/>
      <c r="BJ525" s="16"/>
      <c r="BK525" s="31"/>
      <c r="BL525" s="31"/>
      <c r="BM525" s="31"/>
      <c r="BN525" s="31"/>
      <c r="BO525" s="16"/>
      <c r="BP525" s="31"/>
      <c r="BQ525" s="31"/>
      <c r="BR525" s="31"/>
      <c r="BS525" s="31"/>
      <c r="BT525" s="16"/>
      <c r="BU525" s="16"/>
      <c r="BV525" s="16"/>
      <c r="BW525" s="16"/>
      <c r="BX525" s="16"/>
      <c r="BY525" s="16"/>
      <c r="BZ525" s="16"/>
      <c r="CA525" s="1"/>
      <c r="CB525" s="1"/>
      <c r="CC525" s="1"/>
    </row>
    <row r="526" spans="1:81" s="52" customFormat="1" ht="54.75" customHeight="1" x14ac:dyDescent="0.25">
      <c r="A526" s="1">
        <v>6</v>
      </c>
      <c r="B526" s="13" t="s">
        <v>1751</v>
      </c>
      <c r="C526" s="572"/>
      <c r="D526" s="573"/>
      <c r="E526" s="10" t="s">
        <v>1569</v>
      </c>
      <c r="F526" s="13" t="s">
        <v>1818</v>
      </c>
      <c r="G526" s="572"/>
      <c r="H526" s="573"/>
      <c r="I526" s="10" t="s">
        <v>1628</v>
      </c>
      <c r="J526" s="13" t="s">
        <v>1893</v>
      </c>
      <c r="K526" s="572"/>
      <c r="L526" s="573"/>
      <c r="M526" s="10"/>
      <c r="N526" s="10" t="s">
        <v>1629</v>
      </c>
      <c r="O526" s="10" t="s">
        <v>1629</v>
      </c>
      <c r="P526" s="1" t="s">
        <v>55</v>
      </c>
      <c r="Q526" s="1">
        <v>100</v>
      </c>
      <c r="R526" s="24"/>
      <c r="S526" s="13" t="s">
        <v>1632</v>
      </c>
      <c r="T526" s="13" t="s">
        <v>1632</v>
      </c>
      <c r="U526" s="1" t="s">
        <v>55</v>
      </c>
      <c r="V526" s="1">
        <v>16</v>
      </c>
      <c r="W526" s="1" t="s">
        <v>412</v>
      </c>
      <c r="X526" s="1"/>
      <c r="Y526" s="10" t="s">
        <v>1212</v>
      </c>
      <c r="Z526" s="1">
        <v>45</v>
      </c>
      <c r="AA526" s="24">
        <v>10</v>
      </c>
      <c r="AB526" s="10" t="s">
        <v>1333</v>
      </c>
      <c r="AC526" s="370"/>
      <c r="AD526" s="156"/>
      <c r="AE526" s="371"/>
      <c r="AF526" s="371"/>
      <c r="AG526" s="377">
        <f t="shared" si="79"/>
        <v>0</v>
      </c>
      <c r="AH526" s="377" t="b">
        <f t="shared" si="83"/>
        <v>0</v>
      </c>
      <c r="AI526" s="1"/>
      <c r="AJ526" s="1"/>
      <c r="AK526" s="1"/>
      <c r="AL526" s="1"/>
      <c r="AM526" s="16">
        <f t="shared" si="84"/>
        <v>0</v>
      </c>
      <c r="AN526" s="157"/>
      <c r="AO526" s="10"/>
      <c r="AP526" s="36"/>
      <c r="AQ526" s="36"/>
      <c r="AR526" s="36"/>
      <c r="AS526" s="21" t="s">
        <v>310</v>
      </c>
      <c r="AT526" s="1">
        <f t="shared" ref="AT526:AT563" si="85">IF(W526="Mantenimiento",(AL526+AZ526)/4*100%,AL526+AZ526)</f>
        <v>0</v>
      </c>
      <c r="AU526" s="31"/>
      <c r="AV526" s="31"/>
      <c r="AW526" s="31"/>
      <c r="AX526" s="16">
        <f t="shared" si="82"/>
        <v>0</v>
      </c>
      <c r="AY526" s="156" t="s">
        <v>310</v>
      </c>
      <c r="AZ526" s="76"/>
      <c r="BA526" s="31"/>
      <c r="BB526" s="31"/>
      <c r="BC526" s="31"/>
      <c r="BD526" s="16" t="str">
        <f t="shared" ref="BD526:BD567" si="86">IFERROR(IF((+AZ526/AY526)&gt;100%,100%,(+AZ526/AY526)),"NP")</f>
        <v>NP</v>
      </c>
      <c r="BE526" s="31"/>
      <c r="BF526" s="31"/>
      <c r="BG526" s="31"/>
      <c r="BH526" s="31"/>
      <c r="BI526" s="16"/>
      <c r="BJ526" s="16"/>
      <c r="BK526" s="31"/>
      <c r="BL526" s="31"/>
      <c r="BM526" s="31"/>
      <c r="BN526" s="31"/>
      <c r="BO526" s="16"/>
      <c r="BP526" s="31"/>
      <c r="BQ526" s="31"/>
      <c r="BR526" s="31"/>
      <c r="BS526" s="31"/>
      <c r="BT526" s="16"/>
      <c r="BU526" s="16"/>
      <c r="BV526" s="16"/>
      <c r="BW526" s="16"/>
      <c r="BX526" s="16"/>
      <c r="BY526" s="16"/>
      <c r="BZ526" s="16"/>
      <c r="CA526" s="1"/>
      <c r="CB526" s="1"/>
      <c r="CC526" s="1"/>
    </row>
    <row r="527" spans="1:81" s="52" customFormat="1" ht="94.5" x14ac:dyDescent="0.25">
      <c r="A527" s="1">
        <v>6</v>
      </c>
      <c r="B527" s="13" t="s">
        <v>1751</v>
      </c>
      <c r="C527" s="572"/>
      <c r="D527" s="573"/>
      <c r="E527" s="10" t="s">
        <v>1569</v>
      </c>
      <c r="F527" s="13" t="s">
        <v>1818</v>
      </c>
      <c r="G527" s="572"/>
      <c r="H527" s="573"/>
      <c r="I527" s="10" t="s">
        <v>1628</v>
      </c>
      <c r="J527" s="13" t="s">
        <v>1893</v>
      </c>
      <c r="K527" s="572"/>
      <c r="L527" s="573"/>
      <c r="M527" s="10"/>
      <c r="N527" s="10" t="s">
        <v>1629</v>
      </c>
      <c r="O527" s="10" t="s">
        <v>1629</v>
      </c>
      <c r="P527" s="1" t="s">
        <v>55</v>
      </c>
      <c r="Q527" s="1">
        <v>100</v>
      </c>
      <c r="R527" s="24"/>
      <c r="S527" s="13" t="s">
        <v>1633</v>
      </c>
      <c r="T527" s="13" t="s">
        <v>1633</v>
      </c>
      <c r="U527" s="1" t="s">
        <v>55</v>
      </c>
      <c r="V527" s="1">
        <v>20</v>
      </c>
      <c r="W527" s="1" t="s">
        <v>412</v>
      </c>
      <c r="X527" s="1"/>
      <c r="Y527" s="1"/>
      <c r="Z527" s="1"/>
      <c r="AA527" s="24"/>
      <c r="AB527" s="10" t="s">
        <v>1333</v>
      </c>
      <c r="AC527" s="371"/>
      <c r="AD527" s="156"/>
      <c r="AE527" s="371"/>
      <c r="AF527" s="371"/>
      <c r="AG527" s="377">
        <f t="shared" ref="AG527:AG567" si="87">SUBTOTAL(9,AC527:AF527)</f>
        <v>0</v>
      </c>
      <c r="AH527" s="377" t="b">
        <f t="shared" si="83"/>
        <v>0</v>
      </c>
      <c r="AI527" s="108"/>
      <c r="AJ527" s="1"/>
      <c r="AK527" s="1"/>
      <c r="AL527" s="1"/>
      <c r="AM527" s="16">
        <f t="shared" si="84"/>
        <v>0</v>
      </c>
      <c r="AN527" s="156"/>
      <c r="AO527" s="1"/>
      <c r="AP527" s="1"/>
      <c r="AQ527" s="1"/>
      <c r="AR527" s="1"/>
      <c r="AS527" s="21" t="s">
        <v>310</v>
      </c>
      <c r="AT527" s="1">
        <f t="shared" si="85"/>
        <v>0</v>
      </c>
      <c r="AU527" s="31"/>
      <c r="AV527" s="31"/>
      <c r="AW527" s="31"/>
      <c r="AX527" s="16">
        <f t="shared" si="82"/>
        <v>0</v>
      </c>
      <c r="AY527" s="156" t="s">
        <v>310</v>
      </c>
      <c r="AZ527" s="108"/>
      <c r="BA527" s="31"/>
      <c r="BB527" s="31"/>
      <c r="BC527" s="31"/>
      <c r="BD527" s="16" t="str">
        <f t="shared" si="86"/>
        <v>NP</v>
      </c>
      <c r="BE527" s="31"/>
      <c r="BF527" s="31"/>
      <c r="BG527" s="31"/>
      <c r="BH527" s="31"/>
      <c r="BI527" s="16"/>
      <c r="BJ527" s="16"/>
      <c r="BK527" s="31"/>
      <c r="BL527" s="31"/>
      <c r="BM527" s="31"/>
      <c r="BN527" s="31"/>
      <c r="BO527" s="16"/>
      <c r="BP527" s="31"/>
      <c r="BQ527" s="31"/>
      <c r="BR527" s="31"/>
      <c r="BS527" s="31"/>
      <c r="BT527" s="16"/>
      <c r="BU527" s="16"/>
      <c r="BV527" s="16"/>
      <c r="BW527" s="16"/>
      <c r="BX527" s="16"/>
      <c r="BY527" s="16"/>
      <c r="BZ527" s="16"/>
      <c r="CA527" s="1"/>
      <c r="CB527" s="1"/>
      <c r="CC527" s="1"/>
    </row>
    <row r="528" spans="1:81" s="52" customFormat="1" ht="108" customHeight="1" x14ac:dyDescent="0.25">
      <c r="A528" s="1">
        <v>6</v>
      </c>
      <c r="B528" s="13" t="s">
        <v>1751</v>
      </c>
      <c r="C528" s="572"/>
      <c r="D528" s="573"/>
      <c r="E528" s="10" t="s">
        <v>1569</v>
      </c>
      <c r="F528" s="13" t="s">
        <v>1818</v>
      </c>
      <c r="G528" s="568"/>
      <c r="H528" s="570"/>
      <c r="I528" s="10" t="s">
        <v>1628</v>
      </c>
      <c r="J528" s="13" t="s">
        <v>1893</v>
      </c>
      <c r="K528" s="568"/>
      <c r="L528" s="570"/>
      <c r="M528" s="10"/>
      <c r="N528" s="10" t="s">
        <v>1629</v>
      </c>
      <c r="O528" s="10" t="s">
        <v>1629</v>
      </c>
      <c r="P528" s="1" t="s">
        <v>55</v>
      </c>
      <c r="Q528" s="1">
        <v>100</v>
      </c>
      <c r="R528" s="1"/>
      <c r="S528" s="13" t="s">
        <v>1634</v>
      </c>
      <c r="T528" s="13" t="s">
        <v>1634</v>
      </c>
      <c r="U528" s="1" t="s">
        <v>55</v>
      </c>
      <c r="V528" s="1">
        <v>8</v>
      </c>
      <c r="W528" s="1" t="s">
        <v>49</v>
      </c>
      <c r="X528" s="1"/>
      <c r="Y528" s="1"/>
      <c r="Z528" s="1"/>
      <c r="AA528" s="24"/>
      <c r="AB528" s="10" t="s">
        <v>768</v>
      </c>
      <c r="AC528" s="371"/>
      <c r="AD528" s="156">
        <v>2</v>
      </c>
      <c r="AE528" s="371"/>
      <c r="AF528" s="371"/>
      <c r="AG528" s="377">
        <f t="shared" si="87"/>
        <v>2</v>
      </c>
      <c r="AH528" s="377" t="b">
        <f t="shared" si="83"/>
        <v>0</v>
      </c>
      <c r="AI528" s="1"/>
      <c r="AJ528" s="1"/>
      <c r="AK528" s="1"/>
      <c r="AL528" s="1"/>
      <c r="AM528" s="442">
        <v>0.02</v>
      </c>
      <c r="AN528" s="371"/>
      <c r="AO528" s="371"/>
      <c r="AP528" s="371"/>
      <c r="AQ528" s="371"/>
      <c r="AR528" s="371"/>
      <c r="AS528" s="426" t="s">
        <v>310</v>
      </c>
      <c r="AT528" s="1">
        <f t="shared" si="85"/>
        <v>0</v>
      </c>
      <c r="AU528" s="31"/>
      <c r="AV528" s="31"/>
      <c r="AW528" s="31"/>
      <c r="AX528" s="16">
        <f t="shared" si="82"/>
        <v>0</v>
      </c>
      <c r="AY528" s="156">
        <v>2</v>
      </c>
      <c r="AZ528" s="76">
        <v>0</v>
      </c>
      <c r="BA528" s="31"/>
      <c r="BB528" s="31"/>
      <c r="BC528" s="31"/>
      <c r="BD528" s="16">
        <f t="shared" si="86"/>
        <v>0</v>
      </c>
      <c r="BE528" s="31"/>
      <c r="BF528" s="31"/>
      <c r="BG528" s="31"/>
      <c r="BH528" s="31"/>
      <c r="BI528" s="16"/>
      <c r="BJ528" s="16"/>
      <c r="BK528" s="31"/>
      <c r="BL528" s="31"/>
      <c r="BM528" s="31"/>
      <c r="BN528" s="31"/>
      <c r="BO528" s="16"/>
      <c r="BP528" s="31"/>
      <c r="BQ528" s="31"/>
      <c r="BR528" s="31"/>
      <c r="BS528" s="31"/>
      <c r="BT528" s="16"/>
      <c r="BU528" s="16"/>
      <c r="BV528" s="16"/>
      <c r="BW528" s="16"/>
      <c r="BX528" s="16"/>
      <c r="BY528" s="16"/>
      <c r="BZ528" s="16"/>
      <c r="CA528" s="1"/>
      <c r="CB528" s="1"/>
      <c r="CC528" s="1"/>
    </row>
    <row r="529" spans="1:81" s="52" customFormat="1" ht="71.25" customHeight="1" x14ac:dyDescent="0.25">
      <c r="A529" s="1">
        <v>6</v>
      </c>
      <c r="B529" s="13" t="s">
        <v>1751</v>
      </c>
      <c r="C529" s="572"/>
      <c r="D529" s="573"/>
      <c r="E529" s="10" t="s">
        <v>1635</v>
      </c>
      <c r="F529" s="13" t="s">
        <v>1819</v>
      </c>
      <c r="G529" s="567">
        <f>+AVERAGEIF(F14:F567,F529,AX14:AX567)</f>
        <v>0.53456790123456799</v>
      </c>
      <c r="H529" s="569">
        <f>+AVERAGEIF(F14:F567,F529,BD14:BD567)</f>
        <v>0.25</v>
      </c>
      <c r="I529" s="10" t="s">
        <v>1636</v>
      </c>
      <c r="J529" s="13" t="s">
        <v>1894</v>
      </c>
      <c r="K529" s="567">
        <f>AVERAGE(AX529:AX537)</f>
        <v>0.53456790123456799</v>
      </c>
      <c r="L529" s="569">
        <f>AVERAGE(BD529:BD537)</f>
        <v>0.25</v>
      </c>
      <c r="M529" s="11"/>
      <c r="N529" s="12" t="s">
        <v>1637</v>
      </c>
      <c r="O529" s="13" t="s">
        <v>1638</v>
      </c>
      <c r="P529" s="26">
        <v>0.1</v>
      </c>
      <c r="Q529" s="26">
        <v>0.15</v>
      </c>
      <c r="R529" s="14"/>
      <c r="S529" s="13" t="s">
        <v>1639</v>
      </c>
      <c r="T529" s="13" t="s">
        <v>1640</v>
      </c>
      <c r="U529" s="25">
        <v>30000</v>
      </c>
      <c r="V529" s="25">
        <v>50000</v>
      </c>
      <c r="W529" s="1" t="s">
        <v>412</v>
      </c>
      <c r="X529" s="1" t="s">
        <v>88</v>
      </c>
      <c r="Y529" s="1" t="s">
        <v>89</v>
      </c>
      <c r="Z529" s="1">
        <v>41</v>
      </c>
      <c r="AA529" s="24" t="s">
        <v>1641</v>
      </c>
      <c r="AB529" s="10" t="s">
        <v>1761</v>
      </c>
      <c r="AC529" s="156">
        <v>5000</v>
      </c>
      <c r="AD529" s="156">
        <v>5000</v>
      </c>
      <c r="AE529" s="156">
        <v>20000</v>
      </c>
      <c r="AF529" s="156">
        <v>20000</v>
      </c>
      <c r="AG529" s="377">
        <f t="shared" si="87"/>
        <v>50000</v>
      </c>
      <c r="AH529" s="377" t="b">
        <f t="shared" si="83"/>
        <v>1</v>
      </c>
      <c r="AI529" s="1">
        <v>5000</v>
      </c>
      <c r="AJ529" s="25">
        <v>5000</v>
      </c>
      <c r="AK529" s="25">
        <v>5000</v>
      </c>
      <c r="AL529" s="25">
        <v>5000</v>
      </c>
      <c r="AM529" s="16">
        <f t="shared" si="84"/>
        <v>0.1</v>
      </c>
      <c r="AN529" s="156">
        <v>5000</v>
      </c>
      <c r="AO529" s="1">
        <v>5000</v>
      </c>
      <c r="AP529" s="1">
        <v>5000</v>
      </c>
      <c r="AQ529" s="1"/>
      <c r="AR529" s="1">
        <f>AL529</f>
        <v>5000</v>
      </c>
      <c r="AS529" s="21">
        <f>IFERROR(+AR529/AN529,0)</f>
        <v>1</v>
      </c>
      <c r="AT529" s="1">
        <f t="shared" si="85"/>
        <v>10000</v>
      </c>
      <c r="AU529" s="31"/>
      <c r="AV529" s="31"/>
      <c r="AW529" s="31"/>
      <c r="AX529" s="16">
        <f t="shared" si="82"/>
        <v>0.2</v>
      </c>
      <c r="AY529" s="156">
        <v>5000</v>
      </c>
      <c r="AZ529" s="76">
        <v>5000</v>
      </c>
      <c r="BA529" s="31"/>
      <c r="BB529" s="31"/>
      <c r="BC529" s="31"/>
      <c r="BD529" s="16">
        <f t="shared" si="86"/>
        <v>1</v>
      </c>
      <c r="BE529" s="31"/>
      <c r="BF529" s="31"/>
      <c r="BG529" s="31"/>
      <c r="BH529" s="31"/>
      <c r="BI529" s="16"/>
      <c r="BJ529" s="16"/>
      <c r="BK529" s="31"/>
      <c r="BL529" s="31"/>
      <c r="BM529" s="31"/>
      <c r="BN529" s="31"/>
      <c r="BO529" s="16"/>
      <c r="BP529" s="31"/>
      <c r="BQ529" s="31"/>
      <c r="BR529" s="31"/>
      <c r="BS529" s="31"/>
      <c r="BT529" s="16"/>
      <c r="BU529" s="16"/>
      <c r="BV529" s="16"/>
      <c r="BW529" s="16"/>
      <c r="BX529" s="16"/>
      <c r="BY529" s="16"/>
      <c r="BZ529" s="16"/>
      <c r="CA529" s="1"/>
      <c r="CB529" s="1"/>
      <c r="CC529" s="1"/>
    </row>
    <row r="530" spans="1:81" s="52" customFormat="1" ht="71.25" customHeight="1" x14ac:dyDescent="0.25">
      <c r="A530" s="1">
        <v>6</v>
      </c>
      <c r="B530" s="13" t="s">
        <v>1751</v>
      </c>
      <c r="C530" s="572"/>
      <c r="D530" s="573"/>
      <c r="E530" s="10" t="s">
        <v>1635</v>
      </c>
      <c r="F530" s="13" t="s">
        <v>1819</v>
      </c>
      <c r="G530" s="572"/>
      <c r="H530" s="573"/>
      <c r="I530" s="10" t="s">
        <v>1636</v>
      </c>
      <c r="J530" s="13" t="s">
        <v>1894</v>
      </c>
      <c r="K530" s="572"/>
      <c r="L530" s="573"/>
      <c r="M530" s="11"/>
      <c r="N530" s="12" t="s">
        <v>1637</v>
      </c>
      <c r="O530" s="13" t="s">
        <v>1638</v>
      </c>
      <c r="P530" s="26">
        <v>0.1</v>
      </c>
      <c r="Q530" s="26">
        <v>0.15</v>
      </c>
      <c r="R530" s="14"/>
      <c r="S530" s="13" t="s">
        <v>2001</v>
      </c>
      <c r="T530" s="13" t="s">
        <v>1642</v>
      </c>
      <c r="U530" s="1">
        <v>0</v>
      </c>
      <c r="V530" s="1">
        <v>1</v>
      </c>
      <c r="W530" s="1" t="s">
        <v>412</v>
      </c>
      <c r="X530" s="1" t="s">
        <v>73</v>
      </c>
      <c r="Y530" s="1" t="s">
        <v>50</v>
      </c>
      <c r="Z530" s="1">
        <v>41</v>
      </c>
      <c r="AA530" s="24" t="s">
        <v>1641</v>
      </c>
      <c r="AB530" s="10" t="s">
        <v>1761</v>
      </c>
      <c r="AC530" s="156">
        <v>1</v>
      </c>
      <c r="AD530" s="108">
        <v>1</v>
      </c>
      <c r="AE530" s="156"/>
      <c r="AF530" s="156"/>
      <c r="AG530" s="377">
        <f t="shared" si="87"/>
        <v>2</v>
      </c>
      <c r="AH530" s="377" t="b">
        <f t="shared" si="83"/>
        <v>0</v>
      </c>
      <c r="AI530" s="1">
        <v>1</v>
      </c>
      <c r="AJ530" s="1">
        <v>1</v>
      </c>
      <c r="AK530" s="1">
        <v>1</v>
      </c>
      <c r="AL530" s="1">
        <v>1</v>
      </c>
      <c r="AM530" s="16">
        <f t="shared" si="84"/>
        <v>1</v>
      </c>
      <c r="AN530" s="156">
        <v>1</v>
      </c>
      <c r="AO530" s="1">
        <v>1</v>
      </c>
      <c r="AP530" s="1">
        <v>1</v>
      </c>
      <c r="AQ530" s="1"/>
      <c r="AR530" s="1">
        <f>AL530</f>
        <v>1</v>
      </c>
      <c r="AS530" s="21">
        <f>IFERROR(+AR530/AN530,0)</f>
        <v>1</v>
      </c>
      <c r="AT530" s="1">
        <f t="shared" si="85"/>
        <v>1</v>
      </c>
      <c r="AU530" s="31"/>
      <c r="AV530" s="31"/>
      <c r="AW530" s="31"/>
      <c r="AX530" s="16">
        <f t="shared" si="82"/>
        <v>1</v>
      </c>
      <c r="AY530" s="108">
        <v>1</v>
      </c>
      <c r="AZ530" s="76">
        <v>0</v>
      </c>
      <c r="BA530" s="31"/>
      <c r="BB530" s="31"/>
      <c r="BC530" s="31"/>
      <c r="BD530" s="16">
        <f t="shared" si="86"/>
        <v>0</v>
      </c>
      <c r="BE530" s="31"/>
      <c r="BF530" s="31"/>
      <c r="BG530" s="31"/>
      <c r="BH530" s="31"/>
      <c r="BI530" s="16"/>
      <c r="BJ530" s="16"/>
      <c r="BK530" s="31"/>
      <c r="BL530" s="31"/>
      <c r="BM530" s="31"/>
      <c r="BN530" s="31"/>
      <c r="BO530" s="16"/>
      <c r="BP530" s="31"/>
      <c r="BQ530" s="31"/>
      <c r="BR530" s="31"/>
      <c r="BS530" s="31"/>
      <c r="BT530" s="16"/>
      <c r="BU530" s="16"/>
      <c r="BV530" s="16"/>
      <c r="BW530" s="16"/>
      <c r="BX530" s="16"/>
      <c r="BY530" s="16"/>
      <c r="BZ530" s="16"/>
      <c r="CA530" s="1"/>
      <c r="CB530" s="1"/>
      <c r="CC530" s="22"/>
    </row>
    <row r="531" spans="1:81" s="52" customFormat="1" ht="71.25" customHeight="1" x14ac:dyDescent="0.25">
      <c r="A531" s="1">
        <v>6</v>
      </c>
      <c r="B531" s="13" t="s">
        <v>1751</v>
      </c>
      <c r="C531" s="572"/>
      <c r="D531" s="573"/>
      <c r="E531" s="10" t="s">
        <v>1635</v>
      </c>
      <c r="F531" s="13" t="s">
        <v>1819</v>
      </c>
      <c r="G531" s="572"/>
      <c r="H531" s="573"/>
      <c r="I531" s="10" t="s">
        <v>1636</v>
      </c>
      <c r="J531" s="13" t="s">
        <v>1894</v>
      </c>
      <c r="K531" s="572"/>
      <c r="L531" s="573"/>
      <c r="M531" s="11"/>
      <c r="N531" s="12" t="s">
        <v>1637</v>
      </c>
      <c r="O531" s="13" t="s">
        <v>1638</v>
      </c>
      <c r="P531" s="26">
        <v>0.1</v>
      </c>
      <c r="Q531" s="26">
        <v>0.15</v>
      </c>
      <c r="R531" s="14"/>
      <c r="S531" s="13" t="s">
        <v>1643</v>
      </c>
      <c r="T531" s="13" t="s">
        <v>1644</v>
      </c>
      <c r="U531" s="1">
        <v>5</v>
      </c>
      <c r="V531" s="1">
        <v>8</v>
      </c>
      <c r="W531" s="1" t="s">
        <v>412</v>
      </c>
      <c r="X531" s="1" t="s">
        <v>50</v>
      </c>
      <c r="Y531" s="1" t="s">
        <v>50</v>
      </c>
      <c r="Z531" s="1">
        <v>41</v>
      </c>
      <c r="AA531" s="24" t="s">
        <v>1641</v>
      </c>
      <c r="AB531" s="10" t="s">
        <v>1761</v>
      </c>
      <c r="AC531" s="156"/>
      <c r="AD531" s="156"/>
      <c r="AE531" s="156">
        <v>4</v>
      </c>
      <c r="AF531" s="156">
        <v>4</v>
      </c>
      <c r="AG531" s="377">
        <f t="shared" si="87"/>
        <v>8</v>
      </c>
      <c r="AH531" s="377" t="b">
        <f t="shared" si="83"/>
        <v>1</v>
      </c>
      <c r="AI531" s="1"/>
      <c r="AJ531" s="1"/>
      <c r="AK531" s="1"/>
      <c r="AL531" s="1"/>
      <c r="AM531" s="16">
        <f t="shared" si="84"/>
        <v>0</v>
      </c>
      <c r="AN531" s="156"/>
      <c r="AO531" s="1"/>
      <c r="AP531" s="1"/>
      <c r="AQ531" s="1"/>
      <c r="AR531" s="1"/>
      <c r="AS531" s="21" t="s">
        <v>310</v>
      </c>
      <c r="AT531" s="1">
        <f t="shared" si="85"/>
        <v>0</v>
      </c>
      <c r="AU531" s="31"/>
      <c r="AV531" s="31"/>
      <c r="AW531" s="31"/>
      <c r="AX531" s="16">
        <f t="shared" si="82"/>
        <v>0</v>
      </c>
      <c r="AY531" s="156" t="s">
        <v>310</v>
      </c>
      <c r="AZ531" s="76">
        <v>0</v>
      </c>
      <c r="BA531" s="31"/>
      <c r="BB531" s="31"/>
      <c r="BC531" s="31"/>
      <c r="BD531" s="16" t="str">
        <f t="shared" si="86"/>
        <v>NP</v>
      </c>
      <c r="BE531" s="31"/>
      <c r="BF531" s="31"/>
      <c r="BG531" s="31"/>
      <c r="BH531" s="31"/>
      <c r="BI531" s="16"/>
      <c r="BJ531" s="16"/>
      <c r="BK531" s="31"/>
      <c r="BL531" s="31"/>
      <c r="BM531" s="31"/>
      <c r="BN531" s="31"/>
      <c r="BO531" s="16"/>
      <c r="BP531" s="31"/>
      <c r="BQ531" s="31"/>
      <c r="BR531" s="31"/>
      <c r="BS531" s="31"/>
      <c r="BT531" s="16"/>
      <c r="BU531" s="16"/>
      <c r="BV531" s="16"/>
      <c r="BW531" s="16"/>
      <c r="BX531" s="16"/>
      <c r="BY531" s="16"/>
      <c r="BZ531" s="16"/>
      <c r="CA531" s="1"/>
      <c r="CB531" s="1"/>
      <c r="CC531" s="1"/>
    </row>
    <row r="532" spans="1:81" s="52" customFormat="1" ht="71.25" customHeight="1" x14ac:dyDescent="0.25">
      <c r="A532" s="1">
        <v>6</v>
      </c>
      <c r="B532" s="13" t="s">
        <v>1751</v>
      </c>
      <c r="C532" s="572"/>
      <c r="D532" s="573"/>
      <c r="E532" s="10" t="s">
        <v>1635</v>
      </c>
      <c r="F532" s="13" t="s">
        <v>1819</v>
      </c>
      <c r="G532" s="572"/>
      <c r="H532" s="573"/>
      <c r="I532" s="10" t="s">
        <v>1636</v>
      </c>
      <c r="J532" s="13" t="s">
        <v>1894</v>
      </c>
      <c r="K532" s="572"/>
      <c r="L532" s="573"/>
      <c r="M532" s="11"/>
      <c r="N532" s="23" t="s">
        <v>1645</v>
      </c>
      <c r="O532" s="24" t="s">
        <v>1646</v>
      </c>
      <c r="P532" s="25">
        <v>24000</v>
      </c>
      <c r="Q532" s="25">
        <v>26000</v>
      </c>
      <c r="R532" s="50"/>
      <c r="S532" s="13" t="s">
        <v>1647</v>
      </c>
      <c r="T532" s="13" t="s">
        <v>1648</v>
      </c>
      <c r="U532" s="1">
        <v>12</v>
      </c>
      <c r="V532" s="1">
        <v>18</v>
      </c>
      <c r="W532" s="1" t="s">
        <v>412</v>
      </c>
      <c r="X532" s="1" t="s">
        <v>88</v>
      </c>
      <c r="Y532" s="1"/>
      <c r="Z532" s="1">
        <v>41</v>
      </c>
      <c r="AA532" s="24" t="s">
        <v>1641</v>
      </c>
      <c r="AB532" s="10" t="s">
        <v>1761</v>
      </c>
      <c r="AC532" s="156">
        <v>5</v>
      </c>
      <c r="AD532" s="156">
        <v>5</v>
      </c>
      <c r="AE532" s="156">
        <v>2</v>
      </c>
      <c r="AF532" s="156"/>
      <c r="AG532" s="377">
        <f t="shared" si="87"/>
        <v>12</v>
      </c>
      <c r="AH532" s="377" t="b">
        <f t="shared" si="83"/>
        <v>0</v>
      </c>
      <c r="AI532" s="1">
        <v>0</v>
      </c>
      <c r="AJ532" s="1">
        <v>0</v>
      </c>
      <c r="AK532" s="108">
        <v>18</v>
      </c>
      <c r="AL532" s="108">
        <v>18</v>
      </c>
      <c r="AM532" s="16">
        <f t="shared" si="84"/>
        <v>1</v>
      </c>
      <c r="AN532" s="156">
        <v>5</v>
      </c>
      <c r="AO532" s="1">
        <v>0</v>
      </c>
      <c r="AP532" s="1">
        <v>0</v>
      </c>
      <c r="AQ532" s="1"/>
      <c r="AR532" s="1">
        <f>AL532</f>
        <v>18</v>
      </c>
      <c r="AS532" s="21">
        <v>1</v>
      </c>
      <c r="AT532" s="1">
        <f t="shared" si="85"/>
        <v>18</v>
      </c>
      <c r="AU532" s="31"/>
      <c r="AV532" s="31"/>
      <c r="AW532" s="31"/>
      <c r="AX532" s="16">
        <f t="shared" si="82"/>
        <v>1</v>
      </c>
      <c r="AY532" s="156">
        <v>5</v>
      </c>
      <c r="AZ532" s="76">
        <v>0</v>
      </c>
      <c r="BA532" s="31"/>
      <c r="BB532" s="31"/>
      <c r="BC532" s="31"/>
      <c r="BD532" s="16">
        <f t="shared" si="86"/>
        <v>0</v>
      </c>
      <c r="BE532" s="31"/>
      <c r="BF532" s="31"/>
      <c r="BG532" s="31"/>
      <c r="BH532" s="31"/>
      <c r="BI532" s="16"/>
      <c r="BJ532" s="16"/>
      <c r="BK532" s="31"/>
      <c r="BL532" s="31"/>
      <c r="BM532" s="31"/>
      <c r="BN532" s="31"/>
      <c r="BO532" s="16"/>
      <c r="BP532" s="31"/>
      <c r="BQ532" s="31"/>
      <c r="BR532" s="31"/>
      <c r="BS532" s="31"/>
      <c r="BT532" s="16"/>
      <c r="BU532" s="16"/>
      <c r="BV532" s="16"/>
      <c r="BW532" s="16"/>
      <c r="BX532" s="16"/>
      <c r="BY532" s="16"/>
      <c r="BZ532" s="16"/>
      <c r="CA532" s="1"/>
      <c r="CB532" s="1"/>
      <c r="CC532" s="1"/>
    </row>
    <row r="533" spans="1:81" s="52" customFormat="1" ht="71.25" customHeight="1" x14ac:dyDescent="0.25">
      <c r="A533" s="1">
        <v>6</v>
      </c>
      <c r="B533" s="13" t="s">
        <v>1751</v>
      </c>
      <c r="C533" s="572"/>
      <c r="D533" s="573"/>
      <c r="E533" s="10" t="s">
        <v>1635</v>
      </c>
      <c r="F533" s="13" t="s">
        <v>1819</v>
      </c>
      <c r="G533" s="572"/>
      <c r="H533" s="573"/>
      <c r="I533" s="10" t="s">
        <v>1636</v>
      </c>
      <c r="J533" s="13" t="s">
        <v>1894</v>
      </c>
      <c r="K533" s="572"/>
      <c r="L533" s="573"/>
      <c r="M533" s="11"/>
      <c r="N533" s="12" t="s">
        <v>1637</v>
      </c>
      <c r="O533" s="13" t="s">
        <v>1638</v>
      </c>
      <c r="P533" s="25">
        <v>24000</v>
      </c>
      <c r="Q533" s="25">
        <v>26000</v>
      </c>
      <c r="R533" s="50"/>
      <c r="S533" s="13" t="s">
        <v>1649</v>
      </c>
      <c r="T533" s="13" t="s">
        <v>1650</v>
      </c>
      <c r="U533" s="1">
        <v>5</v>
      </c>
      <c r="V533" s="1">
        <v>8</v>
      </c>
      <c r="W533" s="1" t="s">
        <v>412</v>
      </c>
      <c r="X533" s="1" t="s">
        <v>1651</v>
      </c>
      <c r="Y533" s="1"/>
      <c r="Z533" s="1">
        <v>41</v>
      </c>
      <c r="AA533" s="24" t="s">
        <v>1652</v>
      </c>
      <c r="AB533" s="10" t="s">
        <v>1761</v>
      </c>
      <c r="AC533" s="156"/>
      <c r="AD533" s="108">
        <v>3</v>
      </c>
      <c r="AE533" s="156">
        <v>4</v>
      </c>
      <c r="AF533" s="156">
        <v>4</v>
      </c>
      <c r="AG533" s="377">
        <f t="shared" si="87"/>
        <v>11</v>
      </c>
      <c r="AH533" s="377" t="b">
        <f t="shared" si="83"/>
        <v>0</v>
      </c>
      <c r="AI533" s="1"/>
      <c r="AJ533" s="1"/>
      <c r="AK533" s="1"/>
      <c r="AL533" s="1"/>
      <c r="AM533" s="16">
        <f t="shared" si="84"/>
        <v>0</v>
      </c>
      <c r="AN533" s="156"/>
      <c r="AO533" s="1"/>
      <c r="AP533" s="1"/>
      <c r="AQ533" s="1"/>
      <c r="AR533" s="1"/>
      <c r="AS533" s="21" t="s">
        <v>310</v>
      </c>
      <c r="AT533" s="1">
        <f t="shared" si="85"/>
        <v>0</v>
      </c>
      <c r="AU533" s="31"/>
      <c r="AV533" s="31"/>
      <c r="AW533" s="31"/>
      <c r="AX533" s="16">
        <f t="shared" si="82"/>
        <v>0</v>
      </c>
      <c r="AY533" s="108">
        <v>3</v>
      </c>
      <c r="AZ533" s="76">
        <v>0</v>
      </c>
      <c r="BA533" s="31"/>
      <c r="BB533" s="31"/>
      <c r="BC533" s="31"/>
      <c r="BD533" s="16">
        <f t="shared" si="86"/>
        <v>0</v>
      </c>
      <c r="BE533" s="31"/>
      <c r="BF533" s="31"/>
      <c r="BG533" s="31"/>
      <c r="BH533" s="31"/>
      <c r="BI533" s="16"/>
      <c r="BJ533" s="16"/>
      <c r="BK533" s="31"/>
      <c r="BL533" s="31"/>
      <c r="BM533" s="31"/>
      <c r="BN533" s="31"/>
      <c r="BO533" s="16"/>
      <c r="BP533" s="31"/>
      <c r="BQ533" s="31"/>
      <c r="BR533" s="31"/>
      <c r="BS533" s="31"/>
      <c r="BT533" s="16"/>
      <c r="BU533" s="16"/>
      <c r="BV533" s="16"/>
      <c r="BW533" s="16"/>
      <c r="BX533" s="16"/>
      <c r="BY533" s="16"/>
      <c r="BZ533" s="16"/>
      <c r="CA533" s="1"/>
      <c r="CB533" s="1"/>
      <c r="CC533" s="22"/>
    </row>
    <row r="534" spans="1:81" s="52" customFormat="1" ht="71.25" customHeight="1" x14ac:dyDescent="0.25">
      <c r="A534" s="1">
        <v>6</v>
      </c>
      <c r="B534" s="13" t="s">
        <v>1751</v>
      </c>
      <c r="C534" s="572"/>
      <c r="D534" s="573"/>
      <c r="E534" s="10" t="s">
        <v>1635</v>
      </c>
      <c r="F534" s="13" t="s">
        <v>1819</v>
      </c>
      <c r="G534" s="572"/>
      <c r="H534" s="573"/>
      <c r="I534" s="10" t="s">
        <v>1636</v>
      </c>
      <c r="J534" s="13" t="s">
        <v>1894</v>
      </c>
      <c r="K534" s="572"/>
      <c r="L534" s="573"/>
      <c r="M534" s="11"/>
      <c r="N534" s="51" t="s">
        <v>1653</v>
      </c>
      <c r="O534" s="24" t="s">
        <v>1654</v>
      </c>
      <c r="P534" s="25">
        <v>24000</v>
      </c>
      <c r="Q534" s="25">
        <v>26000</v>
      </c>
      <c r="R534" s="50"/>
      <c r="S534" s="13" t="s">
        <v>1655</v>
      </c>
      <c r="T534" s="13" t="s">
        <v>1656</v>
      </c>
      <c r="U534" s="1">
        <v>12</v>
      </c>
      <c r="V534" s="1">
        <v>18</v>
      </c>
      <c r="W534" s="1" t="s">
        <v>412</v>
      </c>
      <c r="X534" s="1" t="s">
        <v>1651</v>
      </c>
      <c r="Y534" s="1"/>
      <c r="Z534" s="1">
        <v>41</v>
      </c>
      <c r="AA534" s="24" t="s">
        <v>1657</v>
      </c>
      <c r="AB534" s="10" t="s">
        <v>1761</v>
      </c>
      <c r="AC534" s="156">
        <v>5</v>
      </c>
      <c r="AD534" s="156">
        <v>5</v>
      </c>
      <c r="AE534" s="156">
        <v>5</v>
      </c>
      <c r="AF534" s="156">
        <v>3</v>
      </c>
      <c r="AG534" s="377">
        <f t="shared" si="87"/>
        <v>18</v>
      </c>
      <c r="AH534" s="377" t="b">
        <f t="shared" si="83"/>
        <v>1</v>
      </c>
      <c r="AI534" s="1">
        <v>3</v>
      </c>
      <c r="AJ534" s="1">
        <v>3</v>
      </c>
      <c r="AK534" s="1">
        <v>6</v>
      </c>
      <c r="AL534" s="1">
        <v>6</v>
      </c>
      <c r="AM534" s="16">
        <f t="shared" si="84"/>
        <v>0.33333333333333331</v>
      </c>
      <c r="AN534" s="156">
        <v>5</v>
      </c>
      <c r="AO534" s="1">
        <v>3</v>
      </c>
      <c r="AP534" s="1">
        <v>3</v>
      </c>
      <c r="AQ534" s="1"/>
      <c r="AR534" s="1">
        <f>AL534</f>
        <v>6</v>
      </c>
      <c r="AS534" s="21">
        <v>1</v>
      </c>
      <c r="AT534" s="1">
        <f t="shared" si="85"/>
        <v>11</v>
      </c>
      <c r="AU534" s="31"/>
      <c r="AV534" s="31"/>
      <c r="AW534" s="31"/>
      <c r="AX534" s="16">
        <f t="shared" si="82"/>
        <v>0.61111111111111116</v>
      </c>
      <c r="AY534" s="156">
        <v>5</v>
      </c>
      <c r="AZ534" s="76">
        <v>5</v>
      </c>
      <c r="BA534" s="31"/>
      <c r="BB534" s="31"/>
      <c r="BC534" s="31"/>
      <c r="BD534" s="16">
        <f t="shared" si="86"/>
        <v>1</v>
      </c>
      <c r="BE534" s="31"/>
      <c r="BF534" s="31"/>
      <c r="BG534" s="31"/>
      <c r="BH534" s="31"/>
      <c r="BI534" s="16"/>
      <c r="BJ534" s="16"/>
      <c r="BK534" s="31"/>
      <c r="BL534" s="31"/>
      <c r="BM534" s="31"/>
      <c r="BN534" s="31"/>
      <c r="BO534" s="16"/>
      <c r="BP534" s="31"/>
      <c r="BQ534" s="31"/>
      <c r="BR534" s="31"/>
      <c r="BS534" s="31"/>
      <c r="BT534" s="16"/>
      <c r="BU534" s="16"/>
      <c r="BV534" s="16"/>
      <c r="BW534" s="16"/>
      <c r="BX534" s="16"/>
      <c r="BY534" s="16"/>
      <c r="BZ534" s="16"/>
      <c r="CA534" s="1"/>
      <c r="CB534" s="1"/>
      <c r="CC534" s="22"/>
    </row>
    <row r="535" spans="1:81" s="52" customFormat="1" ht="71.25" customHeight="1" x14ac:dyDescent="0.25">
      <c r="A535" s="1">
        <v>6</v>
      </c>
      <c r="B535" s="13" t="s">
        <v>1751</v>
      </c>
      <c r="C535" s="572"/>
      <c r="D535" s="573"/>
      <c r="E535" s="10" t="s">
        <v>1635</v>
      </c>
      <c r="F535" s="13" t="s">
        <v>1819</v>
      </c>
      <c r="G535" s="572"/>
      <c r="H535" s="573"/>
      <c r="I535" s="10" t="s">
        <v>1636</v>
      </c>
      <c r="J535" s="13" t="s">
        <v>1894</v>
      </c>
      <c r="K535" s="572"/>
      <c r="L535" s="573"/>
      <c r="M535" s="11"/>
      <c r="N535" s="19" t="s">
        <v>1653</v>
      </c>
      <c r="O535" s="24" t="s">
        <v>1654</v>
      </c>
      <c r="P535" s="25">
        <v>24000</v>
      </c>
      <c r="Q535" s="25">
        <v>26000</v>
      </c>
      <c r="R535" s="50"/>
      <c r="S535" s="13" t="s">
        <v>1658</v>
      </c>
      <c r="T535" s="13" t="s">
        <v>1659</v>
      </c>
      <c r="U535" s="1">
        <v>1</v>
      </c>
      <c r="V535" s="1">
        <v>1</v>
      </c>
      <c r="W535" s="1" t="s">
        <v>412</v>
      </c>
      <c r="X535" s="1" t="s">
        <v>73</v>
      </c>
      <c r="Y535" s="1" t="s">
        <v>50</v>
      </c>
      <c r="Z535" s="1">
        <v>41</v>
      </c>
      <c r="AA535" s="24" t="s">
        <v>1579</v>
      </c>
      <c r="AB535" s="10" t="s">
        <v>1761</v>
      </c>
      <c r="AC535" s="156">
        <v>1</v>
      </c>
      <c r="AD535" s="156">
        <v>1</v>
      </c>
      <c r="AE535" s="156">
        <v>1</v>
      </c>
      <c r="AF535" s="156">
        <v>1</v>
      </c>
      <c r="AG535" s="377">
        <f t="shared" si="87"/>
        <v>4</v>
      </c>
      <c r="AH535" s="377" t="b">
        <f t="shared" si="83"/>
        <v>0</v>
      </c>
      <c r="AI535" s="1">
        <v>1</v>
      </c>
      <c r="AJ535" s="1">
        <v>1</v>
      </c>
      <c r="AK535" s="108">
        <v>2</v>
      </c>
      <c r="AL535" s="108">
        <v>2</v>
      </c>
      <c r="AM535" s="16">
        <v>1</v>
      </c>
      <c r="AN535" s="156">
        <v>1</v>
      </c>
      <c r="AO535" s="1">
        <v>1</v>
      </c>
      <c r="AP535" s="1">
        <v>1</v>
      </c>
      <c r="AQ535" s="1"/>
      <c r="AR535" s="1">
        <f>AL535</f>
        <v>2</v>
      </c>
      <c r="AS535" s="21">
        <v>1</v>
      </c>
      <c r="AT535" s="1">
        <f t="shared" si="85"/>
        <v>2</v>
      </c>
      <c r="AU535" s="31"/>
      <c r="AV535" s="31"/>
      <c r="AW535" s="31"/>
      <c r="AX535" s="16">
        <f t="shared" si="82"/>
        <v>1</v>
      </c>
      <c r="AY535" s="156">
        <v>1</v>
      </c>
      <c r="AZ535" s="76">
        <v>0</v>
      </c>
      <c r="BA535" s="31"/>
      <c r="BB535" s="31"/>
      <c r="BC535" s="31"/>
      <c r="BD535" s="16">
        <f t="shared" si="86"/>
        <v>0</v>
      </c>
      <c r="BE535" s="31"/>
      <c r="BF535" s="31"/>
      <c r="BG535" s="31"/>
      <c r="BH535" s="31"/>
      <c r="BI535" s="16"/>
      <c r="BJ535" s="16"/>
      <c r="BK535" s="31"/>
      <c r="BL535" s="31"/>
      <c r="BM535" s="31"/>
      <c r="BN535" s="31"/>
      <c r="BO535" s="16"/>
      <c r="BP535" s="31"/>
      <c r="BQ535" s="31"/>
      <c r="BR535" s="31"/>
      <c r="BS535" s="31"/>
      <c r="BT535" s="16"/>
      <c r="BU535" s="16"/>
      <c r="BV535" s="16"/>
      <c r="BW535" s="16"/>
      <c r="BX535" s="16"/>
      <c r="BY535" s="16"/>
      <c r="BZ535" s="16"/>
      <c r="CA535" s="1"/>
      <c r="CB535" s="1"/>
      <c r="CC535" s="22"/>
    </row>
    <row r="536" spans="1:81" s="52" customFormat="1" ht="71.25" customHeight="1" x14ac:dyDescent="0.25">
      <c r="A536" s="1">
        <v>6</v>
      </c>
      <c r="B536" s="13" t="s">
        <v>1751</v>
      </c>
      <c r="C536" s="572"/>
      <c r="D536" s="573"/>
      <c r="E536" s="10" t="s">
        <v>1635</v>
      </c>
      <c r="F536" s="13" t="s">
        <v>1819</v>
      </c>
      <c r="G536" s="572"/>
      <c r="H536" s="573"/>
      <c r="I536" s="10" t="s">
        <v>1636</v>
      </c>
      <c r="J536" s="13" t="s">
        <v>1894</v>
      </c>
      <c r="K536" s="572"/>
      <c r="L536" s="573"/>
      <c r="M536" s="11"/>
      <c r="N536" s="51" t="s">
        <v>1653</v>
      </c>
      <c r="O536" s="24" t="s">
        <v>1654</v>
      </c>
      <c r="P536" s="25">
        <v>24000</v>
      </c>
      <c r="Q536" s="25">
        <v>26000</v>
      </c>
      <c r="R536" s="50"/>
      <c r="S536" s="13" t="s">
        <v>1660</v>
      </c>
      <c r="T536" s="13" t="s">
        <v>1661</v>
      </c>
      <c r="U536" s="1">
        <v>1</v>
      </c>
      <c r="V536" s="1">
        <v>1</v>
      </c>
      <c r="W536" s="1" t="s">
        <v>412</v>
      </c>
      <c r="X536" s="1" t="s">
        <v>1662</v>
      </c>
      <c r="Y536" s="1" t="s">
        <v>50</v>
      </c>
      <c r="Z536" s="1">
        <v>41</v>
      </c>
      <c r="AA536" s="24" t="s">
        <v>1663</v>
      </c>
      <c r="AB536" s="10" t="s">
        <v>1761</v>
      </c>
      <c r="AC536" s="156">
        <v>1</v>
      </c>
      <c r="AD536" s="156">
        <v>1</v>
      </c>
      <c r="AE536" s="156">
        <v>1</v>
      </c>
      <c r="AF536" s="156">
        <v>1</v>
      </c>
      <c r="AG536" s="377">
        <f t="shared" si="87"/>
        <v>4</v>
      </c>
      <c r="AH536" s="377" t="b">
        <f t="shared" si="83"/>
        <v>0</v>
      </c>
      <c r="AI536" s="1">
        <v>1</v>
      </c>
      <c r="AJ536" s="1">
        <v>1</v>
      </c>
      <c r="AK536" s="108">
        <v>1</v>
      </c>
      <c r="AL536" s="108">
        <v>3</v>
      </c>
      <c r="AM536" s="16">
        <v>1</v>
      </c>
      <c r="AN536" s="156">
        <v>1</v>
      </c>
      <c r="AO536" s="1">
        <v>1</v>
      </c>
      <c r="AP536" s="1">
        <v>1</v>
      </c>
      <c r="AQ536" s="1"/>
      <c r="AR536" s="1">
        <v>1</v>
      </c>
      <c r="AS536" s="21">
        <f>IFERROR(+AP536/AN536,0)</f>
        <v>1</v>
      </c>
      <c r="AT536" s="1">
        <f t="shared" si="85"/>
        <v>3</v>
      </c>
      <c r="AU536" s="31"/>
      <c r="AV536" s="31"/>
      <c r="AW536" s="31"/>
      <c r="AX536" s="16">
        <f t="shared" si="82"/>
        <v>1</v>
      </c>
      <c r="AY536" s="156">
        <v>1</v>
      </c>
      <c r="AZ536" s="76">
        <v>0</v>
      </c>
      <c r="BA536" s="31"/>
      <c r="BB536" s="31"/>
      <c r="BC536" s="31"/>
      <c r="BD536" s="16">
        <f t="shared" si="86"/>
        <v>0</v>
      </c>
      <c r="BE536" s="31"/>
      <c r="BF536" s="31"/>
      <c r="BG536" s="31"/>
      <c r="BH536" s="31"/>
      <c r="BI536" s="16"/>
      <c r="BJ536" s="16"/>
      <c r="BK536" s="31"/>
      <c r="BL536" s="31"/>
      <c r="BM536" s="31"/>
      <c r="BN536" s="31"/>
      <c r="BO536" s="16"/>
      <c r="BP536" s="31"/>
      <c r="BQ536" s="31"/>
      <c r="BR536" s="31"/>
      <c r="BS536" s="31"/>
      <c r="BT536" s="16"/>
      <c r="BU536" s="16"/>
      <c r="BV536" s="16"/>
      <c r="BW536" s="16"/>
      <c r="BX536" s="16"/>
      <c r="BY536" s="16"/>
      <c r="BZ536" s="16"/>
      <c r="CA536" s="1"/>
      <c r="CB536" s="1"/>
      <c r="CC536" s="1"/>
    </row>
    <row r="537" spans="1:81" s="52" customFormat="1" ht="71.25" customHeight="1" x14ac:dyDescent="0.25">
      <c r="A537" s="1">
        <v>6</v>
      </c>
      <c r="B537" s="13" t="s">
        <v>1751</v>
      </c>
      <c r="C537" s="572"/>
      <c r="D537" s="573"/>
      <c r="E537" s="10" t="s">
        <v>1635</v>
      </c>
      <c r="F537" s="13" t="s">
        <v>1819</v>
      </c>
      <c r="G537" s="568"/>
      <c r="H537" s="570"/>
      <c r="I537" s="10" t="s">
        <v>1636</v>
      </c>
      <c r="J537" s="13" t="s">
        <v>1894</v>
      </c>
      <c r="K537" s="568"/>
      <c r="L537" s="570"/>
      <c r="M537" s="11"/>
      <c r="N537" s="23" t="s">
        <v>1645</v>
      </c>
      <c r="O537" s="24" t="s">
        <v>1646</v>
      </c>
      <c r="P537" s="1">
        <v>0</v>
      </c>
      <c r="Q537" s="1">
        <v>20</v>
      </c>
      <c r="R537" s="24"/>
      <c r="S537" s="13" t="s">
        <v>1664</v>
      </c>
      <c r="T537" s="13" t="s">
        <v>1650</v>
      </c>
      <c r="U537" s="1">
        <v>5</v>
      </c>
      <c r="V537" s="1">
        <v>8</v>
      </c>
      <c r="W537" s="1" t="s">
        <v>412</v>
      </c>
      <c r="X537" s="1" t="s">
        <v>73</v>
      </c>
      <c r="Y537" s="1" t="s">
        <v>1665</v>
      </c>
      <c r="Z537" s="1">
        <v>41</v>
      </c>
      <c r="AA537" s="24" t="s">
        <v>1641</v>
      </c>
      <c r="AB537" s="10" t="s">
        <v>1761</v>
      </c>
      <c r="AC537" s="156">
        <v>1</v>
      </c>
      <c r="AD537" s="108">
        <v>3</v>
      </c>
      <c r="AE537" s="156"/>
      <c r="AF537" s="156"/>
      <c r="AG537" s="377">
        <f t="shared" si="87"/>
        <v>4</v>
      </c>
      <c r="AH537" s="377" t="b">
        <f t="shared" si="83"/>
        <v>0</v>
      </c>
      <c r="AI537" s="1">
        <v>0</v>
      </c>
      <c r="AJ537" s="1">
        <v>0</v>
      </c>
      <c r="AK537" s="1"/>
      <c r="AL537" s="1"/>
      <c r="AM537" s="16">
        <f t="shared" si="84"/>
        <v>0</v>
      </c>
      <c r="AN537" s="156">
        <v>1</v>
      </c>
      <c r="AO537" s="1">
        <v>0</v>
      </c>
      <c r="AP537" s="1">
        <v>0</v>
      </c>
      <c r="AQ537" s="1"/>
      <c r="AR537" s="1">
        <f>AL537</f>
        <v>0</v>
      </c>
      <c r="AS537" s="21">
        <f>IFERROR(+AR537/AN537,0)</f>
        <v>0</v>
      </c>
      <c r="AT537" s="1">
        <f t="shared" si="85"/>
        <v>0</v>
      </c>
      <c r="AU537" s="31"/>
      <c r="AV537" s="31"/>
      <c r="AW537" s="31"/>
      <c r="AX537" s="16">
        <f t="shared" si="82"/>
        <v>0</v>
      </c>
      <c r="AY537" s="108">
        <v>3</v>
      </c>
      <c r="AZ537" s="76">
        <v>0</v>
      </c>
      <c r="BA537" s="31"/>
      <c r="BB537" s="31"/>
      <c r="BC537" s="31"/>
      <c r="BD537" s="16">
        <f t="shared" si="86"/>
        <v>0</v>
      </c>
      <c r="BE537" s="31"/>
      <c r="BF537" s="31"/>
      <c r="BG537" s="31"/>
      <c r="BH537" s="31"/>
      <c r="BI537" s="16"/>
      <c r="BJ537" s="16"/>
      <c r="BK537" s="31"/>
      <c r="BL537" s="31"/>
      <c r="BM537" s="31"/>
      <c r="BN537" s="31"/>
      <c r="BO537" s="16"/>
      <c r="BP537" s="31"/>
      <c r="BQ537" s="31"/>
      <c r="BR537" s="31"/>
      <c r="BS537" s="31"/>
      <c r="BT537" s="16"/>
      <c r="BU537" s="16"/>
      <c r="BV537" s="16"/>
      <c r="BW537" s="16"/>
      <c r="BX537" s="16"/>
      <c r="BY537" s="16"/>
      <c r="BZ537" s="16"/>
      <c r="CA537" s="1"/>
      <c r="CB537" s="1"/>
      <c r="CC537" s="22"/>
    </row>
    <row r="538" spans="1:81" s="52" customFormat="1" ht="63" x14ac:dyDescent="0.25">
      <c r="A538" s="1">
        <v>6</v>
      </c>
      <c r="B538" s="13" t="s">
        <v>1751</v>
      </c>
      <c r="C538" s="572"/>
      <c r="D538" s="573"/>
      <c r="E538" s="10" t="s">
        <v>1666</v>
      </c>
      <c r="F538" s="13" t="s">
        <v>1820</v>
      </c>
      <c r="G538" s="567">
        <f>+AVERAGEIF(F14:F567,F538,AX14:AX567)</f>
        <v>0.44374999999999998</v>
      </c>
      <c r="H538" s="569">
        <f>+AVERAGEIF(F14:F567,F538,BD14:BD567)</f>
        <v>0.35638297872340424</v>
      </c>
      <c r="I538" s="10" t="s">
        <v>1667</v>
      </c>
      <c r="J538" s="13" t="s">
        <v>1895</v>
      </c>
      <c r="K538" s="567">
        <f>AVERAGE(AX538:AX541)</f>
        <v>0.44374999999999998</v>
      </c>
      <c r="L538" s="569">
        <f>AVERAGE(BD538:BD541)</f>
        <v>0.35638297872340424</v>
      </c>
      <c r="M538" s="10"/>
      <c r="N538" s="10" t="s">
        <v>1668</v>
      </c>
      <c r="O538" s="10" t="s">
        <v>1668</v>
      </c>
      <c r="P538" s="1">
        <v>264</v>
      </c>
      <c r="Q538" s="1">
        <v>350</v>
      </c>
      <c r="R538" s="24"/>
      <c r="S538" s="13" t="s">
        <v>1669</v>
      </c>
      <c r="T538" s="13" t="s">
        <v>1211</v>
      </c>
      <c r="U538" s="1">
        <v>0</v>
      </c>
      <c r="V538" s="1">
        <v>50</v>
      </c>
      <c r="W538" s="1" t="s">
        <v>412</v>
      </c>
      <c r="X538" s="1"/>
      <c r="Y538" s="10" t="s">
        <v>1212</v>
      </c>
      <c r="Z538" s="1">
        <v>45</v>
      </c>
      <c r="AA538" s="24">
        <v>10</v>
      </c>
      <c r="AB538" s="10" t="s">
        <v>1333</v>
      </c>
      <c r="AC538" s="157">
        <v>10</v>
      </c>
      <c r="AD538" s="156">
        <v>10</v>
      </c>
      <c r="AE538" s="156">
        <v>15</v>
      </c>
      <c r="AF538" s="156">
        <v>15</v>
      </c>
      <c r="AG538" s="377">
        <f t="shared" si="87"/>
        <v>50</v>
      </c>
      <c r="AH538" s="377" t="b">
        <f t="shared" si="83"/>
        <v>1</v>
      </c>
      <c r="AI538" s="1">
        <v>0</v>
      </c>
      <c r="AJ538" s="1">
        <v>10</v>
      </c>
      <c r="AK538" s="1">
        <v>15</v>
      </c>
      <c r="AL538" s="1">
        <v>15</v>
      </c>
      <c r="AM538" s="16">
        <f t="shared" si="84"/>
        <v>0.3</v>
      </c>
      <c r="AN538" s="157">
        <v>10</v>
      </c>
      <c r="AO538" s="1">
        <v>0</v>
      </c>
      <c r="AP538" s="27">
        <v>10</v>
      </c>
      <c r="AQ538" s="27"/>
      <c r="AR538" s="27">
        <f t="shared" ref="AR538:AR545" si="88">AL538</f>
        <v>15</v>
      </c>
      <c r="AS538" s="21">
        <v>1</v>
      </c>
      <c r="AT538" s="1">
        <f t="shared" si="85"/>
        <v>20</v>
      </c>
      <c r="AU538" s="31"/>
      <c r="AV538" s="31"/>
      <c r="AW538" s="31"/>
      <c r="AX538" s="16">
        <f t="shared" si="82"/>
        <v>0.4</v>
      </c>
      <c r="AY538" s="156">
        <v>10</v>
      </c>
      <c r="AZ538" s="76">
        <v>5</v>
      </c>
      <c r="BA538" s="31"/>
      <c r="BB538" s="31"/>
      <c r="BC538" s="31"/>
      <c r="BD538" s="16">
        <f t="shared" si="86"/>
        <v>0.5</v>
      </c>
      <c r="BE538" s="31"/>
      <c r="BF538" s="31"/>
      <c r="BG538" s="31"/>
      <c r="BH538" s="31"/>
      <c r="BI538" s="16"/>
      <c r="BJ538" s="16"/>
      <c r="BK538" s="31"/>
      <c r="BL538" s="31"/>
      <c r="BM538" s="31"/>
      <c r="BN538" s="31"/>
      <c r="BO538" s="16"/>
      <c r="BP538" s="31"/>
      <c r="BQ538" s="31"/>
      <c r="BR538" s="31"/>
      <c r="BS538" s="31"/>
      <c r="BT538" s="16"/>
      <c r="BU538" s="16"/>
      <c r="BV538" s="16"/>
      <c r="BW538" s="16"/>
      <c r="BX538" s="16"/>
      <c r="BY538" s="16"/>
      <c r="BZ538" s="16"/>
      <c r="CA538" s="1"/>
      <c r="CB538" s="1"/>
      <c r="CC538" s="1"/>
    </row>
    <row r="539" spans="1:81" s="52" customFormat="1" ht="63" x14ac:dyDescent="0.25">
      <c r="A539" s="1">
        <v>6</v>
      </c>
      <c r="B539" s="13" t="s">
        <v>1751</v>
      </c>
      <c r="C539" s="572"/>
      <c r="D539" s="573"/>
      <c r="E539" s="10" t="s">
        <v>1666</v>
      </c>
      <c r="F539" s="13" t="s">
        <v>1820</v>
      </c>
      <c r="G539" s="572"/>
      <c r="H539" s="573"/>
      <c r="I539" s="10" t="s">
        <v>1667</v>
      </c>
      <c r="J539" s="13" t="s">
        <v>1895</v>
      </c>
      <c r="K539" s="572"/>
      <c r="L539" s="573"/>
      <c r="M539" s="10"/>
      <c r="N539" s="10" t="s">
        <v>1668</v>
      </c>
      <c r="O539" s="10" t="s">
        <v>1668</v>
      </c>
      <c r="P539" s="1">
        <v>264</v>
      </c>
      <c r="Q539" s="1">
        <v>350</v>
      </c>
      <c r="R539" s="24"/>
      <c r="S539" s="13" t="s">
        <v>1670</v>
      </c>
      <c r="T539" s="13" t="s">
        <v>1670</v>
      </c>
      <c r="U539" s="1">
        <v>0</v>
      </c>
      <c r="V539" s="1">
        <v>47</v>
      </c>
      <c r="W539" s="1" t="s">
        <v>412</v>
      </c>
      <c r="X539" s="1"/>
      <c r="Y539" s="10" t="s">
        <v>1212</v>
      </c>
      <c r="Z539" s="1">
        <v>45</v>
      </c>
      <c r="AA539" s="24">
        <v>10</v>
      </c>
      <c r="AB539" s="10" t="s">
        <v>1333</v>
      </c>
      <c r="AC539" s="157">
        <v>47</v>
      </c>
      <c r="AD539" s="156">
        <v>47</v>
      </c>
      <c r="AE539" s="156">
        <v>47</v>
      </c>
      <c r="AF539" s="156">
        <v>47</v>
      </c>
      <c r="AG539" s="377">
        <f t="shared" si="87"/>
        <v>188</v>
      </c>
      <c r="AH539" s="377" t="b">
        <f t="shared" si="83"/>
        <v>0</v>
      </c>
      <c r="AI539" s="1">
        <v>0</v>
      </c>
      <c r="AJ539" s="1">
        <v>20</v>
      </c>
      <c r="AK539" s="1">
        <v>46</v>
      </c>
      <c r="AL539" s="1">
        <v>46</v>
      </c>
      <c r="AM539" s="16">
        <f t="shared" si="84"/>
        <v>0.97872340425531912</v>
      </c>
      <c r="AN539" s="157">
        <v>47</v>
      </c>
      <c r="AO539" s="1">
        <v>0</v>
      </c>
      <c r="AP539" s="27">
        <v>20</v>
      </c>
      <c r="AQ539" s="27"/>
      <c r="AR539" s="27">
        <f t="shared" si="88"/>
        <v>46</v>
      </c>
      <c r="AS539" s="21">
        <f t="shared" ref="AS539:AS545" si="89">IFERROR(+AR539/AN539,0)</f>
        <v>0.97872340425531912</v>
      </c>
      <c r="AT539" s="1">
        <f t="shared" si="85"/>
        <v>66</v>
      </c>
      <c r="AU539" s="31"/>
      <c r="AV539" s="31"/>
      <c r="AW539" s="31"/>
      <c r="AX539" s="16">
        <f t="shared" si="82"/>
        <v>1</v>
      </c>
      <c r="AY539" s="156">
        <v>47</v>
      </c>
      <c r="AZ539" s="76">
        <v>20</v>
      </c>
      <c r="BA539" s="31"/>
      <c r="BB539" s="31"/>
      <c r="BC539" s="31"/>
      <c r="BD539" s="16">
        <f t="shared" si="86"/>
        <v>0.42553191489361702</v>
      </c>
      <c r="BE539" s="31"/>
      <c r="BF539" s="31"/>
      <c r="BG539" s="31"/>
      <c r="BH539" s="31"/>
      <c r="BI539" s="16"/>
      <c r="BJ539" s="16"/>
      <c r="BK539" s="31"/>
      <c r="BL539" s="31"/>
      <c r="BM539" s="31"/>
      <c r="BN539" s="31"/>
      <c r="BO539" s="16"/>
      <c r="BP539" s="31"/>
      <c r="BQ539" s="31"/>
      <c r="BR539" s="31"/>
      <c r="BS539" s="31"/>
      <c r="BT539" s="16"/>
      <c r="BU539" s="16"/>
      <c r="BV539" s="16"/>
      <c r="BW539" s="16"/>
      <c r="BX539" s="16"/>
      <c r="BY539" s="16"/>
      <c r="BZ539" s="16"/>
      <c r="CA539" s="1"/>
      <c r="CB539" s="1"/>
      <c r="CC539" s="1"/>
    </row>
    <row r="540" spans="1:81" s="52" customFormat="1" ht="63" x14ac:dyDescent="0.25">
      <c r="A540" s="1">
        <v>6</v>
      </c>
      <c r="B540" s="13" t="s">
        <v>1751</v>
      </c>
      <c r="C540" s="572"/>
      <c r="D540" s="573"/>
      <c r="E540" s="10" t="s">
        <v>1666</v>
      </c>
      <c r="F540" s="13" t="s">
        <v>1820</v>
      </c>
      <c r="G540" s="572"/>
      <c r="H540" s="573"/>
      <c r="I540" s="10" t="s">
        <v>1667</v>
      </c>
      <c r="J540" s="13" t="s">
        <v>1895</v>
      </c>
      <c r="K540" s="572"/>
      <c r="L540" s="573"/>
      <c r="M540" s="10"/>
      <c r="N540" s="10" t="s">
        <v>1668</v>
      </c>
      <c r="O540" s="10" t="s">
        <v>1668</v>
      </c>
      <c r="P540" s="1">
        <v>264</v>
      </c>
      <c r="Q540" s="1">
        <v>350</v>
      </c>
      <c r="R540" s="24"/>
      <c r="S540" s="13" t="s">
        <v>1671</v>
      </c>
      <c r="T540" s="13" t="s">
        <v>1671</v>
      </c>
      <c r="U540" s="1">
        <v>0</v>
      </c>
      <c r="V540" s="1">
        <v>46</v>
      </c>
      <c r="W540" s="1" t="s">
        <v>412</v>
      </c>
      <c r="X540" s="1"/>
      <c r="Y540" s="10" t="s">
        <v>1212</v>
      </c>
      <c r="Z540" s="1">
        <v>45</v>
      </c>
      <c r="AA540" s="24">
        <v>10</v>
      </c>
      <c r="AB540" s="10" t="s">
        <v>1333</v>
      </c>
      <c r="AC540" s="157">
        <v>45</v>
      </c>
      <c r="AD540" s="156">
        <v>46</v>
      </c>
      <c r="AE540" s="156"/>
      <c r="AF540" s="156"/>
      <c r="AG540" s="377">
        <f t="shared" si="87"/>
        <v>91</v>
      </c>
      <c r="AH540" s="377" t="b">
        <f t="shared" si="83"/>
        <v>0</v>
      </c>
      <c r="AI540" s="1">
        <v>0</v>
      </c>
      <c r="AJ540" s="1">
        <v>45</v>
      </c>
      <c r="AK540" s="1"/>
      <c r="AL540" s="1"/>
      <c r="AM540" s="16">
        <f t="shared" si="84"/>
        <v>0</v>
      </c>
      <c r="AN540" s="157">
        <v>45</v>
      </c>
      <c r="AO540" s="1">
        <v>0</v>
      </c>
      <c r="AP540" s="27">
        <v>45</v>
      </c>
      <c r="AQ540" s="27"/>
      <c r="AR540" s="27">
        <f t="shared" si="88"/>
        <v>0</v>
      </c>
      <c r="AS540" s="21">
        <f t="shared" si="89"/>
        <v>0</v>
      </c>
      <c r="AT540" s="1">
        <f t="shared" si="85"/>
        <v>0</v>
      </c>
      <c r="AU540" s="31"/>
      <c r="AV540" s="31"/>
      <c r="AW540" s="31"/>
      <c r="AX540" s="16">
        <f t="shared" si="82"/>
        <v>0</v>
      </c>
      <c r="AY540" s="156">
        <v>46</v>
      </c>
      <c r="AZ540" s="76">
        <v>0</v>
      </c>
      <c r="BA540" s="31"/>
      <c r="BB540" s="31"/>
      <c r="BC540" s="31"/>
      <c r="BD540" s="16">
        <f t="shared" si="86"/>
        <v>0</v>
      </c>
      <c r="BE540" s="31"/>
      <c r="BF540" s="31"/>
      <c r="BG540" s="31"/>
      <c r="BH540" s="31"/>
      <c r="BI540" s="16"/>
      <c r="BJ540" s="16"/>
      <c r="BK540" s="31"/>
      <c r="BL540" s="31"/>
      <c r="BM540" s="31"/>
      <c r="BN540" s="31"/>
      <c r="BO540" s="16"/>
      <c r="BP540" s="31"/>
      <c r="BQ540" s="31"/>
      <c r="BR540" s="31"/>
      <c r="BS540" s="31"/>
      <c r="BT540" s="16"/>
      <c r="BU540" s="16"/>
      <c r="BV540" s="16"/>
      <c r="BW540" s="16"/>
      <c r="BX540" s="16"/>
      <c r="BY540" s="16"/>
      <c r="BZ540" s="16"/>
      <c r="CA540" s="1"/>
      <c r="CB540" s="1"/>
      <c r="CC540" s="1"/>
    </row>
    <row r="541" spans="1:81" s="52" customFormat="1" ht="93.6" customHeight="1" x14ac:dyDescent="0.25">
      <c r="A541" s="1">
        <v>6</v>
      </c>
      <c r="B541" s="13" t="s">
        <v>1751</v>
      </c>
      <c r="C541" s="572"/>
      <c r="D541" s="573"/>
      <c r="E541" s="10" t="s">
        <v>1666</v>
      </c>
      <c r="F541" s="13" t="s">
        <v>1820</v>
      </c>
      <c r="G541" s="568"/>
      <c r="H541" s="570"/>
      <c r="I541" s="10" t="s">
        <v>1667</v>
      </c>
      <c r="J541" s="13" t="s">
        <v>1895</v>
      </c>
      <c r="K541" s="568"/>
      <c r="L541" s="570"/>
      <c r="M541" s="10"/>
      <c r="N541" s="10" t="s">
        <v>1672</v>
      </c>
      <c r="O541" s="10" t="s">
        <v>1672</v>
      </c>
      <c r="P541" s="1">
        <v>287</v>
      </c>
      <c r="Q541" s="1">
        <v>287</v>
      </c>
      <c r="R541" s="24"/>
      <c r="S541" s="13" t="s">
        <v>1673</v>
      </c>
      <c r="T541" s="13" t="s">
        <v>1673</v>
      </c>
      <c r="U541" s="1">
        <v>1</v>
      </c>
      <c r="V541" s="1">
        <v>1</v>
      </c>
      <c r="W541" s="1" t="s">
        <v>420</v>
      </c>
      <c r="X541" s="1"/>
      <c r="Y541" s="10" t="s">
        <v>1212</v>
      </c>
      <c r="Z541" s="1">
        <v>45</v>
      </c>
      <c r="AA541" s="24">
        <v>10</v>
      </c>
      <c r="AB541" s="10" t="s">
        <v>1333</v>
      </c>
      <c r="AC541" s="157">
        <v>0.5</v>
      </c>
      <c r="AD541" s="156">
        <v>1</v>
      </c>
      <c r="AE541" s="156"/>
      <c r="AF541" s="156"/>
      <c r="AG541" s="377">
        <f t="shared" si="87"/>
        <v>1.5</v>
      </c>
      <c r="AH541" s="377" t="b">
        <f t="shared" si="83"/>
        <v>0</v>
      </c>
      <c r="AI541" s="1">
        <v>0</v>
      </c>
      <c r="AJ541" s="1">
        <v>0.5</v>
      </c>
      <c r="AK541" s="1">
        <v>1</v>
      </c>
      <c r="AL541" s="1">
        <v>1</v>
      </c>
      <c r="AM541" s="16">
        <f t="shared" si="84"/>
        <v>1</v>
      </c>
      <c r="AN541" s="157">
        <v>0.5</v>
      </c>
      <c r="AO541" s="1">
        <v>0</v>
      </c>
      <c r="AP541" s="27">
        <v>0.5</v>
      </c>
      <c r="AQ541" s="27"/>
      <c r="AR541" s="27">
        <f t="shared" si="88"/>
        <v>1</v>
      </c>
      <c r="AS541" s="21">
        <v>1</v>
      </c>
      <c r="AT541" s="1">
        <f t="shared" si="85"/>
        <v>0.375</v>
      </c>
      <c r="AU541" s="31"/>
      <c r="AV541" s="31"/>
      <c r="AW541" s="31"/>
      <c r="AX541" s="16">
        <f t="shared" si="82"/>
        <v>0.375</v>
      </c>
      <c r="AY541" s="156">
        <v>1</v>
      </c>
      <c r="AZ541" s="76">
        <v>0.5</v>
      </c>
      <c r="BA541" s="31"/>
      <c r="BB541" s="31"/>
      <c r="BC541" s="31"/>
      <c r="BD541" s="16">
        <f t="shared" si="86"/>
        <v>0.5</v>
      </c>
      <c r="BE541" s="31"/>
      <c r="BF541" s="31"/>
      <c r="BG541" s="31"/>
      <c r="BH541" s="31"/>
      <c r="BI541" s="16"/>
      <c r="BJ541" s="16"/>
      <c r="BK541" s="31"/>
      <c r="BL541" s="31"/>
      <c r="BM541" s="31"/>
      <c r="BN541" s="31"/>
      <c r="BO541" s="16"/>
      <c r="BP541" s="31"/>
      <c r="BQ541" s="31"/>
      <c r="BR541" s="31"/>
      <c r="BS541" s="31"/>
      <c r="BT541" s="16"/>
      <c r="BU541" s="16"/>
      <c r="BV541" s="16"/>
      <c r="BW541" s="16"/>
      <c r="BX541" s="16"/>
      <c r="BY541" s="16"/>
      <c r="BZ541" s="16"/>
      <c r="CA541" s="1"/>
      <c r="CB541" s="1"/>
      <c r="CC541" s="1"/>
    </row>
    <row r="542" spans="1:81" s="52" customFormat="1" ht="71.25" customHeight="1" x14ac:dyDescent="0.25">
      <c r="A542" s="1">
        <v>6</v>
      </c>
      <c r="B542" s="13" t="s">
        <v>1751</v>
      </c>
      <c r="C542" s="572"/>
      <c r="D542" s="573"/>
      <c r="E542" s="10" t="s">
        <v>1674</v>
      </c>
      <c r="F542" s="13" t="s">
        <v>1675</v>
      </c>
      <c r="G542" s="567">
        <f>+AVERAGEIF(F14:F567,F542,AX14:AX567)</f>
        <v>0.38174603174603178</v>
      </c>
      <c r="H542" s="569">
        <f>+AVERAGEIF(F14:F567,F542,BD14:BD567)</f>
        <v>0</v>
      </c>
      <c r="I542" s="10" t="s">
        <v>1676</v>
      </c>
      <c r="J542" s="13" t="s">
        <v>1896</v>
      </c>
      <c r="K542" s="567">
        <f>AVERAGE(AX542:AX548)</f>
        <v>0.38174603174603178</v>
      </c>
      <c r="L542" s="569">
        <f>AVERAGE(BD542:BD548)</f>
        <v>0</v>
      </c>
      <c r="M542" s="23"/>
      <c r="N542" s="23" t="s">
        <v>1677</v>
      </c>
      <c r="O542" s="13" t="s">
        <v>1678</v>
      </c>
      <c r="P542" s="1">
        <v>7000</v>
      </c>
      <c r="Q542" s="1">
        <v>7200</v>
      </c>
      <c r="R542" s="24"/>
      <c r="S542" s="13" t="s">
        <v>1679</v>
      </c>
      <c r="T542" s="13" t="s">
        <v>1680</v>
      </c>
      <c r="U542" s="1">
        <v>45</v>
      </c>
      <c r="V542" s="1">
        <v>45</v>
      </c>
      <c r="W542" s="1" t="s">
        <v>420</v>
      </c>
      <c r="X542" s="1" t="s">
        <v>50</v>
      </c>
      <c r="Y542" s="1" t="s">
        <v>50</v>
      </c>
      <c r="Z542" s="1">
        <v>41</v>
      </c>
      <c r="AA542" s="24" t="s">
        <v>1681</v>
      </c>
      <c r="AB542" s="10" t="s">
        <v>1761</v>
      </c>
      <c r="AC542" s="156">
        <v>45</v>
      </c>
      <c r="AD542" s="156">
        <v>45</v>
      </c>
      <c r="AE542" s="156">
        <v>45</v>
      </c>
      <c r="AF542" s="156">
        <v>45</v>
      </c>
      <c r="AG542" s="377">
        <v>45</v>
      </c>
      <c r="AH542" s="377" t="b">
        <f t="shared" si="83"/>
        <v>1</v>
      </c>
      <c r="AI542" s="1">
        <v>45</v>
      </c>
      <c r="AJ542" s="1">
        <v>45</v>
      </c>
      <c r="AK542" s="108">
        <v>45</v>
      </c>
      <c r="AL542" s="108">
        <v>46</v>
      </c>
      <c r="AM542" s="16">
        <v>1</v>
      </c>
      <c r="AN542" s="156">
        <v>45</v>
      </c>
      <c r="AO542" s="1">
        <v>45</v>
      </c>
      <c r="AP542" s="108">
        <v>45</v>
      </c>
      <c r="AQ542" s="108"/>
      <c r="AR542" s="1">
        <f t="shared" si="88"/>
        <v>46</v>
      </c>
      <c r="AS542" s="21">
        <v>1</v>
      </c>
      <c r="AT542" s="1">
        <f t="shared" si="85"/>
        <v>11.5</v>
      </c>
      <c r="AU542" s="31"/>
      <c r="AV542" s="31"/>
      <c r="AW542" s="31"/>
      <c r="AX542" s="16">
        <f t="shared" si="82"/>
        <v>0.25555555555555554</v>
      </c>
      <c r="AY542" s="156">
        <v>45</v>
      </c>
      <c r="AZ542" s="76">
        <v>0</v>
      </c>
      <c r="BA542" s="31"/>
      <c r="BB542" s="31"/>
      <c r="BC542" s="31"/>
      <c r="BD542" s="16">
        <f t="shared" si="86"/>
        <v>0</v>
      </c>
      <c r="BE542" s="31"/>
      <c r="BF542" s="31"/>
      <c r="BG542" s="31"/>
      <c r="BH542" s="31"/>
      <c r="BI542" s="16"/>
      <c r="BJ542" s="16"/>
      <c r="BK542" s="31"/>
      <c r="BL542" s="31"/>
      <c r="BM542" s="31"/>
      <c r="BN542" s="31"/>
      <c r="BO542" s="16"/>
      <c r="BP542" s="31"/>
      <c r="BQ542" s="31"/>
      <c r="BR542" s="31"/>
      <c r="BS542" s="31"/>
      <c r="BT542" s="16"/>
      <c r="BU542" s="16"/>
      <c r="BV542" s="16"/>
      <c r="BW542" s="16"/>
      <c r="BX542" s="16"/>
      <c r="BY542" s="16"/>
      <c r="BZ542" s="16"/>
      <c r="CA542" s="1"/>
      <c r="CB542" s="10"/>
      <c r="CC542" s="25"/>
    </row>
    <row r="543" spans="1:81" s="52" customFormat="1" ht="71.25" customHeight="1" x14ac:dyDescent="0.25">
      <c r="A543" s="1">
        <v>6</v>
      </c>
      <c r="B543" s="13" t="s">
        <v>1751</v>
      </c>
      <c r="C543" s="572"/>
      <c r="D543" s="573"/>
      <c r="E543" s="10" t="s">
        <v>1674</v>
      </c>
      <c r="F543" s="13" t="s">
        <v>1675</v>
      </c>
      <c r="G543" s="572"/>
      <c r="H543" s="573"/>
      <c r="I543" s="10" t="s">
        <v>1676</v>
      </c>
      <c r="J543" s="13" t="s">
        <v>1896</v>
      </c>
      <c r="K543" s="572"/>
      <c r="L543" s="573"/>
      <c r="M543" s="23"/>
      <c r="N543" s="23" t="s">
        <v>1677</v>
      </c>
      <c r="O543" s="13" t="s">
        <v>1678</v>
      </c>
      <c r="P543" s="1">
        <v>7000</v>
      </c>
      <c r="Q543" s="1">
        <v>7200</v>
      </c>
      <c r="R543" s="24"/>
      <c r="S543" s="13" t="s">
        <v>1682</v>
      </c>
      <c r="T543" s="13" t="s">
        <v>1683</v>
      </c>
      <c r="U543" s="1">
        <v>36</v>
      </c>
      <c r="V543" s="1">
        <v>40</v>
      </c>
      <c r="W543" s="1" t="s">
        <v>412</v>
      </c>
      <c r="X543" s="1" t="s">
        <v>50</v>
      </c>
      <c r="Y543" s="1" t="s">
        <v>50</v>
      </c>
      <c r="Z543" s="1">
        <v>41</v>
      </c>
      <c r="AA543" s="24" t="s">
        <v>1681</v>
      </c>
      <c r="AB543" s="10" t="s">
        <v>1761</v>
      </c>
      <c r="AC543" s="156">
        <v>36</v>
      </c>
      <c r="AD543" s="156">
        <v>40</v>
      </c>
      <c r="AE543" s="156">
        <v>38</v>
      </c>
      <c r="AF543" s="156">
        <v>40</v>
      </c>
      <c r="AG543" s="377">
        <f t="shared" si="87"/>
        <v>154</v>
      </c>
      <c r="AH543" s="377" t="b">
        <f t="shared" si="83"/>
        <v>0</v>
      </c>
      <c r="AI543" s="1">
        <v>36</v>
      </c>
      <c r="AJ543" s="1">
        <v>40</v>
      </c>
      <c r="AK543" s="108">
        <v>40</v>
      </c>
      <c r="AL543" s="108">
        <v>77</v>
      </c>
      <c r="AM543" s="16">
        <v>1</v>
      </c>
      <c r="AN543" s="156">
        <v>36</v>
      </c>
      <c r="AO543" s="1">
        <v>36</v>
      </c>
      <c r="AP543" s="108">
        <v>36</v>
      </c>
      <c r="AQ543" s="108"/>
      <c r="AR543" s="1">
        <f t="shared" si="88"/>
        <v>77</v>
      </c>
      <c r="AS543" s="21">
        <v>1</v>
      </c>
      <c r="AT543" s="1">
        <f t="shared" si="85"/>
        <v>77</v>
      </c>
      <c r="AU543" s="31"/>
      <c r="AV543" s="31"/>
      <c r="AW543" s="31"/>
      <c r="AX543" s="16">
        <f t="shared" si="82"/>
        <v>1</v>
      </c>
      <c r="AY543" s="156">
        <v>40</v>
      </c>
      <c r="AZ543" s="76">
        <v>0</v>
      </c>
      <c r="BA543" s="31"/>
      <c r="BB543" s="31"/>
      <c r="BC543" s="31"/>
      <c r="BD543" s="16">
        <f t="shared" si="86"/>
        <v>0</v>
      </c>
      <c r="BE543" s="31"/>
      <c r="BF543" s="31"/>
      <c r="BG543" s="31"/>
      <c r="BH543" s="31"/>
      <c r="BI543" s="16"/>
      <c r="BJ543" s="16"/>
      <c r="BK543" s="31"/>
      <c r="BL543" s="31"/>
      <c r="BM543" s="31"/>
      <c r="BN543" s="31"/>
      <c r="BO543" s="16"/>
      <c r="BP543" s="31"/>
      <c r="BQ543" s="31"/>
      <c r="BR543" s="31"/>
      <c r="BS543" s="31"/>
      <c r="BT543" s="16"/>
      <c r="BU543" s="16"/>
      <c r="BV543" s="16"/>
      <c r="BW543" s="16"/>
      <c r="BX543" s="16"/>
      <c r="BY543" s="16"/>
      <c r="BZ543" s="16"/>
      <c r="CA543" s="1"/>
      <c r="CB543" s="10"/>
      <c r="CC543" s="25"/>
    </row>
    <row r="544" spans="1:81" s="52" customFormat="1" ht="71.25" customHeight="1" x14ac:dyDescent="0.25">
      <c r="A544" s="1">
        <v>6</v>
      </c>
      <c r="B544" s="13" t="s">
        <v>1751</v>
      </c>
      <c r="C544" s="572"/>
      <c r="D544" s="573"/>
      <c r="E544" s="10" t="s">
        <v>1674</v>
      </c>
      <c r="F544" s="13" t="s">
        <v>1675</v>
      </c>
      <c r="G544" s="572"/>
      <c r="H544" s="573"/>
      <c r="I544" s="10" t="s">
        <v>1676</v>
      </c>
      <c r="J544" s="13" t="s">
        <v>1896</v>
      </c>
      <c r="K544" s="572"/>
      <c r="L544" s="573"/>
      <c r="M544" s="23"/>
      <c r="N544" s="23" t="s">
        <v>1677</v>
      </c>
      <c r="O544" s="13" t="s">
        <v>1678</v>
      </c>
      <c r="P544" s="1">
        <v>7000</v>
      </c>
      <c r="Q544" s="1">
        <v>7200</v>
      </c>
      <c r="R544" s="24"/>
      <c r="S544" s="13" t="s">
        <v>1684</v>
      </c>
      <c r="T544" s="13" t="s">
        <v>1685</v>
      </c>
      <c r="U544" s="1">
        <v>5</v>
      </c>
      <c r="V544" s="1">
        <v>8</v>
      </c>
      <c r="W544" s="1" t="s">
        <v>412</v>
      </c>
      <c r="X544" s="1" t="s">
        <v>50</v>
      </c>
      <c r="Y544" s="1" t="s">
        <v>50</v>
      </c>
      <c r="Z544" s="1">
        <v>41</v>
      </c>
      <c r="AA544" s="24" t="s">
        <v>1681</v>
      </c>
      <c r="AB544" s="10" t="s">
        <v>1761</v>
      </c>
      <c r="AC544" s="156">
        <v>8</v>
      </c>
      <c r="AD544" s="156">
        <v>8</v>
      </c>
      <c r="AE544" s="156">
        <v>8</v>
      </c>
      <c r="AF544" s="156">
        <v>8</v>
      </c>
      <c r="AG544" s="377">
        <f t="shared" si="87"/>
        <v>32</v>
      </c>
      <c r="AH544" s="377" t="b">
        <f t="shared" si="83"/>
        <v>0</v>
      </c>
      <c r="AI544" s="1">
        <v>8</v>
      </c>
      <c r="AJ544" s="1">
        <v>8</v>
      </c>
      <c r="AK544" s="1">
        <v>8</v>
      </c>
      <c r="AL544" s="1">
        <v>8</v>
      </c>
      <c r="AM544" s="16">
        <f t="shared" si="84"/>
        <v>1</v>
      </c>
      <c r="AN544" s="156">
        <v>8</v>
      </c>
      <c r="AO544" s="1">
        <v>8</v>
      </c>
      <c r="AP544" s="1">
        <v>8</v>
      </c>
      <c r="AQ544" s="1"/>
      <c r="AR544" s="1">
        <f t="shared" si="88"/>
        <v>8</v>
      </c>
      <c r="AS544" s="21">
        <f t="shared" si="89"/>
        <v>1</v>
      </c>
      <c r="AT544" s="1">
        <f t="shared" si="85"/>
        <v>8</v>
      </c>
      <c r="AU544" s="31"/>
      <c r="AV544" s="31"/>
      <c r="AW544" s="31"/>
      <c r="AX544" s="16">
        <f t="shared" si="82"/>
        <v>1</v>
      </c>
      <c r="AY544" s="156">
        <v>8</v>
      </c>
      <c r="AZ544" s="76">
        <v>0</v>
      </c>
      <c r="BA544" s="31"/>
      <c r="BB544" s="31"/>
      <c r="BC544" s="31"/>
      <c r="BD544" s="16">
        <f t="shared" si="86"/>
        <v>0</v>
      </c>
      <c r="BE544" s="31"/>
      <c r="BF544" s="31"/>
      <c r="BG544" s="31"/>
      <c r="BH544" s="31"/>
      <c r="BI544" s="16"/>
      <c r="BJ544" s="16"/>
      <c r="BK544" s="31"/>
      <c r="BL544" s="31"/>
      <c r="BM544" s="31"/>
      <c r="BN544" s="31"/>
      <c r="BO544" s="16"/>
      <c r="BP544" s="31"/>
      <c r="BQ544" s="31"/>
      <c r="BR544" s="31"/>
      <c r="BS544" s="31"/>
      <c r="BT544" s="16"/>
      <c r="BU544" s="16"/>
      <c r="BV544" s="16"/>
      <c r="BW544" s="16"/>
      <c r="BX544" s="16"/>
      <c r="BY544" s="16"/>
      <c r="BZ544" s="16"/>
      <c r="CA544" s="1"/>
      <c r="CB544" s="10"/>
      <c r="CC544" s="25"/>
    </row>
    <row r="545" spans="1:81" s="52" customFormat="1" ht="71.25" customHeight="1" x14ac:dyDescent="0.25">
      <c r="A545" s="1">
        <v>6</v>
      </c>
      <c r="B545" s="13" t="s">
        <v>1751</v>
      </c>
      <c r="C545" s="572"/>
      <c r="D545" s="573"/>
      <c r="E545" s="10" t="s">
        <v>1674</v>
      </c>
      <c r="F545" s="13" t="s">
        <v>1675</v>
      </c>
      <c r="G545" s="572"/>
      <c r="H545" s="573"/>
      <c r="I545" s="10" t="s">
        <v>1676</v>
      </c>
      <c r="J545" s="13" t="s">
        <v>1896</v>
      </c>
      <c r="K545" s="572"/>
      <c r="L545" s="573"/>
      <c r="M545" s="23"/>
      <c r="N545" s="23" t="s">
        <v>1686</v>
      </c>
      <c r="O545" s="13" t="s">
        <v>1687</v>
      </c>
      <c r="P545" s="1">
        <v>400</v>
      </c>
      <c r="Q545" s="1">
        <v>600</v>
      </c>
      <c r="R545" s="24"/>
      <c r="S545" s="13" t="s">
        <v>1688</v>
      </c>
      <c r="T545" s="13" t="s">
        <v>1689</v>
      </c>
      <c r="U545" s="1" t="s">
        <v>55</v>
      </c>
      <c r="V545" s="1">
        <v>100</v>
      </c>
      <c r="W545" s="1" t="s">
        <v>412</v>
      </c>
      <c r="X545" s="1" t="s">
        <v>50</v>
      </c>
      <c r="Y545" s="1" t="s">
        <v>50</v>
      </c>
      <c r="Z545" s="1">
        <v>41</v>
      </c>
      <c r="AA545" s="24" t="s">
        <v>1681</v>
      </c>
      <c r="AB545" s="10" t="s">
        <v>1761</v>
      </c>
      <c r="AC545" s="156">
        <v>8</v>
      </c>
      <c r="AD545" s="108">
        <v>50</v>
      </c>
      <c r="AE545" s="156">
        <v>42</v>
      </c>
      <c r="AF545" s="156">
        <v>42</v>
      </c>
      <c r="AG545" s="377">
        <f t="shared" si="87"/>
        <v>142</v>
      </c>
      <c r="AH545" s="377" t="b">
        <f t="shared" si="83"/>
        <v>0</v>
      </c>
      <c r="AI545" s="1">
        <v>0</v>
      </c>
      <c r="AJ545" s="1">
        <v>100</v>
      </c>
      <c r="AK545" s="1"/>
      <c r="AL545" s="1"/>
      <c r="AM545" s="16">
        <f t="shared" si="84"/>
        <v>0</v>
      </c>
      <c r="AN545" s="156">
        <v>8</v>
      </c>
      <c r="AO545" s="1">
        <v>0</v>
      </c>
      <c r="AP545" s="108">
        <v>8</v>
      </c>
      <c r="AQ545" s="108"/>
      <c r="AR545" s="1">
        <f t="shared" si="88"/>
        <v>0</v>
      </c>
      <c r="AS545" s="21">
        <f t="shared" si="89"/>
        <v>0</v>
      </c>
      <c r="AT545" s="1">
        <f t="shared" si="85"/>
        <v>0</v>
      </c>
      <c r="AU545" s="31"/>
      <c r="AV545" s="31"/>
      <c r="AW545" s="31"/>
      <c r="AX545" s="16">
        <f t="shared" si="82"/>
        <v>0</v>
      </c>
      <c r="AY545" s="108">
        <v>50</v>
      </c>
      <c r="AZ545" s="76">
        <v>0</v>
      </c>
      <c r="BA545" s="31"/>
      <c r="BB545" s="31"/>
      <c r="BC545" s="31"/>
      <c r="BD545" s="16">
        <f t="shared" si="86"/>
        <v>0</v>
      </c>
      <c r="BE545" s="31"/>
      <c r="BF545" s="31"/>
      <c r="BG545" s="31"/>
      <c r="BH545" s="31"/>
      <c r="BI545" s="16"/>
      <c r="BJ545" s="16"/>
      <c r="BK545" s="31"/>
      <c r="BL545" s="31"/>
      <c r="BM545" s="31"/>
      <c r="BN545" s="31"/>
      <c r="BO545" s="16"/>
      <c r="BP545" s="31"/>
      <c r="BQ545" s="31"/>
      <c r="BR545" s="31"/>
      <c r="BS545" s="31"/>
      <c r="BT545" s="16"/>
      <c r="BU545" s="16"/>
      <c r="BV545" s="16"/>
      <c r="BW545" s="16"/>
      <c r="BX545" s="16"/>
      <c r="BY545" s="16"/>
      <c r="BZ545" s="16"/>
      <c r="CA545" s="1"/>
      <c r="CB545" s="1"/>
      <c r="CC545" s="22"/>
    </row>
    <row r="546" spans="1:81" s="52" customFormat="1" ht="71.25" customHeight="1" x14ac:dyDescent="0.25">
      <c r="A546" s="1">
        <v>6</v>
      </c>
      <c r="B546" s="13" t="s">
        <v>1751</v>
      </c>
      <c r="C546" s="572"/>
      <c r="D546" s="573"/>
      <c r="E546" s="10" t="s">
        <v>1674</v>
      </c>
      <c r="F546" s="13" t="s">
        <v>1675</v>
      </c>
      <c r="G546" s="572"/>
      <c r="H546" s="573"/>
      <c r="I546" s="10" t="s">
        <v>1676</v>
      </c>
      <c r="J546" s="13" t="s">
        <v>1896</v>
      </c>
      <c r="K546" s="572"/>
      <c r="L546" s="573"/>
      <c r="M546" s="23"/>
      <c r="N546" s="23" t="s">
        <v>1686</v>
      </c>
      <c r="O546" s="13" t="s">
        <v>1687</v>
      </c>
      <c r="P546" s="1">
        <v>400</v>
      </c>
      <c r="Q546" s="1">
        <v>600</v>
      </c>
      <c r="R546" s="24"/>
      <c r="S546" s="13" t="s">
        <v>1690</v>
      </c>
      <c r="T546" s="13" t="s">
        <v>1691</v>
      </c>
      <c r="U546" s="1">
        <v>4</v>
      </c>
      <c r="V546" s="1">
        <v>3</v>
      </c>
      <c r="W546" s="1" t="s">
        <v>633</v>
      </c>
      <c r="X546" s="1" t="s">
        <v>50</v>
      </c>
      <c r="Y546" s="1" t="s">
        <v>50</v>
      </c>
      <c r="Z546" s="1">
        <v>41</v>
      </c>
      <c r="AA546" s="24" t="s">
        <v>1681</v>
      </c>
      <c r="AB546" s="10" t="s">
        <v>1761</v>
      </c>
      <c r="AC546" s="156"/>
      <c r="AD546" s="108">
        <v>1</v>
      </c>
      <c r="AE546" s="156">
        <v>2</v>
      </c>
      <c r="AF546" s="156">
        <v>1</v>
      </c>
      <c r="AG546" s="377">
        <f t="shared" si="87"/>
        <v>4</v>
      </c>
      <c r="AH546" s="377" t="b">
        <f t="shared" si="83"/>
        <v>0</v>
      </c>
      <c r="AI546" s="1">
        <v>0</v>
      </c>
      <c r="AJ546" s="1">
        <v>1</v>
      </c>
      <c r="AK546" s="108"/>
      <c r="AL546" s="108"/>
      <c r="AM546" s="16">
        <f t="shared" si="84"/>
        <v>0</v>
      </c>
      <c r="AN546" s="156"/>
      <c r="AO546" s="1"/>
      <c r="AP546" s="1"/>
      <c r="AQ546" s="1"/>
      <c r="AR546" s="1"/>
      <c r="AS546" s="21" t="s">
        <v>310</v>
      </c>
      <c r="AT546" s="1">
        <f t="shared" si="85"/>
        <v>0</v>
      </c>
      <c r="AU546" s="31"/>
      <c r="AV546" s="31"/>
      <c r="AW546" s="31"/>
      <c r="AX546" s="16">
        <f t="shared" si="82"/>
        <v>0</v>
      </c>
      <c r="AY546" s="108">
        <v>1</v>
      </c>
      <c r="AZ546" s="76">
        <v>0</v>
      </c>
      <c r="BA546" s="31"/>
      <c r="BB546" s="31"/>
      <c r="BC546" s="31"/>
      <c r="BD546" s="16">
        <f t="shared" si="86"/>
        <v>0</v>
      </c>
      <c r="BE546" s="31"/>
      <c r="BF546" s="31"/>
      <c r="BG546" s="31"/>
      <c r="BH546" s="31"/>
      <c r="BI546" s="16"/>
      <c r="BJ546" s="16"/>
      <c r="BK546" s="31"/>
      <c r="BL546" s="31"/>
      <c r="BM546" s="31"/>
      <c r="BN546" s="31"/>
      <c r="BO546" s="16"/>
      <c r="BP546" s="31"/>
      <c r="BQ546" s="31"/>
      <c r="BR546" s="31"/>
      <c r="BS546" s="31"/>
      <c r="BT546" s="16"/>
      <c r="BU546" s="16"/>
      <c r="BV546" s="16"/>
      <c r="BW546" s="16"/>
      <c r="BX546" s="16"/>
      <c r="BY546" s="16"/>
      <c r="BZ546" s="16"/>
      <c r="CA546" s="1"/>
      <c r="CB546" s="1"/>
      <c r="CC546" s="1"/>
    </row>
    <row r="547" spans="1:81" s="52" customFormat="1" ht="71.25" customHeight="1" x14ac:dyDescent="0.25">
      <c r="A547" s="1">
        <v>6</v>
      </c>
      <c r="B547" s="13" t="s">
        <v>1751</v>
      </c>
      <c r="C547" s="572"/>
      <c r="D547" s="573"/>
      <c r="E547" s="10" t="s">
        <v>1674</v>
      </c>
      <c r="F547" s="13" t="s">
        <v>1675</v>
      </c>
      <c r="G547" s="572"/>
      <c r="H547" s="573"/>
      <c r="I547" s="10" t="s">
        <v>1676</v>
      </c>
      <c r="J547" s="13" t="s">
        <v>1896</v>
      </c>
      <c r="K547" s="572"/>
      <c r="L547" s="573"/>
      <c r="M547" s="23"/>
      <c r="N547" s="23" t="s">
        <v>1686</v>
      </c>
      <c r="O547" s="13" t="s">
        <v>1687</v>
      </c>
      <c r="P547" s="1">
        <v>400</v>
      </c>
      <c r="Q547" s="1">
        <v>600</v>
      </c>
      <c r="R547" s="24"/>
      <c r="S547" s="13" t="s">
        <v>1692</v>
      </c>
      <c r="T547" s="13" t="s">
        <v>1693</v>
      </c>
      <c r="U547" s="1">
        <v>2</v>
      </c>
      <c r="V547" s="1">
        <v>3</v>
      </c>
      <c r="W547" s="1" t="s">
        <v>412</v>
      </c>
      <c r="X547" s="1" t="s">
        <v>73</v>
      </c>
      <c r="Y547" s="1" t="s">
        <v>50</v>
      </c>
      <c r="Z547" s="1">
        <v>41</v>
      </c>
      <c r="AA547" s="24" t="s">
        <v>1681</v>
      </c>
      <c r="AB547" s="10" t="s">
        <v>1761</v>
      </c>
      <c r="AC547" s="156">
        <v>1</v>
      </c>
      <c r="AD547" s="156">
        <v>1</v>
      </c>
      <c r="AE547" s="156">
        <v>0</v>
      </c>
      <c r="AF547" s="156">
        <v>1</v>
      </c>
      <c r="AG547" s="377">
        <f t="shared" si="87"/>
        <v>3</v>
      </c>
      <c r="AH547" s="377" t="b">
        <f t="shared" si="83"/>
        <v>1</v>
      </c>
      <c r="AI547" s="1">
        <v>0</v>
      </c>
      <c r="AJ547" s="1">
        <v>0</v>
      </c>
      <c r="AK547" s="1">
        <v>0</v>
      </c>
      <c r="AL547" s="1">
        <v>1</v>
      </c>
      <c r="AM547" s="16">
        <f t="shared" si="84"/>
        <v>0.33333333333333331</v>
      </c>
      <c r="AN547" s="156">
        <v>1</v>
      </c>
      <c r="AO547" s="1">
        <v>0</v>
      </c>
      <c r="AP547" s="1">
        <v>0</v>
      </c>
      <c r="AQ547" s="1"/>
      <c r="AR547" s="1">
        <f>AL547</f>
        <v>1</v>
      </c>
      <c r="AS547" s="21">
        <f>IFERROR(+AR547/AN547,0)</f>
        <v>1</v>
      </c>
      <c r="AT547" s="1">
        <f t="shared" si="85"/>
        <v>1</v>
      </c>
      <c r="AU547" s="31"/>
      <c r="AV547" s="31"/>
      <c r="AW547" s="31"/>
      <c r="AX547" s="16">
        <f t="shared" si="82"/>
        <v>0.33333333333333331</v>
      </c>
      <c r="AY547" s="156">
        <v>1</v>
      </c>
      <c r="AZ547" s="76">
        <v>0</v>
      </c>
      <c r="BA547" s="31"/>
      <c r="BB547" s="31"/>
      <c r="BC547" s="31"/>
      <c r="BD547" s="16">
        <f t="shared" si="86"/>
        <v>0</v>
      </c>
      <c r="BE547" s="31"/>
      <c r="BF547" s="31"/>
      <c r="BG547" s="31"/>
      <c r="BH547" s="31"/>
      <c r="BI547" s="16"/>
      <c r="BJ547" s="16"/>
      <c r="BK547" s="31"/>
      <c r="BL547" s="31"/>
      <c r="BM547" s="31"/>
      <c r="BN547" s="31"/>
      <c r="BO547" s="16"/>
      <c r="BP547" s="31"/>
      <c r="BQ547" s="31"/>
      <c r="BR547" s="31"/>
      <c r="BS547" s="31"/>
      <c r="BT547" s="16"/>
      <c r="BU547" s="16"/>
      <c r="BV547" s="16"/>
      <c r="BW547" s="16"/>
      <c r="BX547" s="16"/>
      <c r="BY547" s="16"/>
      <c r="BZ547" s="16"/>
      <c r="CA547" s="1"/>
      <c r="CB547" s="1"/>
      <c r="CC547" s="22"/>
    </row>
    <row r="548" spans="1:81" s="52" customFormat="1" ht="71.25" customHeight="1" x14ac:dyDescent="0.25">
      <c r="A548" s="1">
        <v>6</v>
      </c>
      <c r="B548" s="13" t="s">
        <v>1751</v>
      </c>
      <c r="C548" s="572"/>
      <c r="D548" s="573"/>
      <c r="E548" s="10" t="s">
        <v>1674</v>
      </c>
      <c r="F548" s="13" t="s">
        <v>1675</v>
      </c>
      <c r="G548" s="568"/>
      <c r="H548" s="570"/>
      <c r="I548" s="10" t="s">
        <v>1676</v>
      </c>
      <c r="J548" s="13" t="s">
        <v>1896</v>
      </c>
      <c r="K548" s="568"/>
      <c r="L548" s="570"/>
      <c r="M548" s="23"/>
      <c r="N548" s="23" t="s">
        <v>1686</v>
      </c>
      <c r="O548" s="13" t="s">
        <v>1687</v>
      </c>
      <c r="P548" s="1">
        <v>400</v>
      </c>
      <c r="Q548" s="1">
        <v>600</v>
      </c>
      <c r="R548" s="24"/>
      <c r="S548" s="13" t="s">
        <v>1694</v>
      </c>
      <c r="T548" s="13" t="s">
        <v>1695</v>
      </c>
      <c r="U548" s="1">
        <v>3</v>
      </c>
      <c r="V548" s="1">
        <v>3</v>
      </c>
      <c r="W548" s="1" t="s">
        <v>420</v>
      </c>
      <c r="X548" s="1" t="s">
        <v>50</v>
      </c>
      <c r="Y548" s="1" t="s">
        <v>50</v>
      </c>
      <c r="Z548" s="1">
        <v>41</v>
      </c>
      <c r="AA548" s="24" t="s">
        <v>1681</v>
      </c>
      <c r="AB548" s="10" t="s">
        <v>1761</v>
      </c>
      <c r="AC548" s="156">
        <v>1</v>
      </c>
      <c r="AD548" s="156">
        <v>1</v>
      </c>
      <c r="AE548" s="156">
        <v>1</v>
      </c>
      <c r="AF548" s="156"/>
      <c r="AG548" s="377">
        <f t="shared" si="87"/>
        <v>3</v>
      </c>
      <c r="AH548" s="377" t="b">
        <f t="shared" si="83"/>
        <v>1</v>
      </c>
      <c r="AI548" s="1">
        <v>0</v>
      </c>
      <c r="AJ548" s="1">
        <v>0</v>
      </c>
      <c r="AK548" s="1">
        <v>1</v>
      </c>
      <c r="AL548" s="1">
        <v>1</v>
      </c>
      <c r="AM548" s="16">
        <f t="shared" si="84"/>
        <v>0.33333333333333331</v>
      </c>
      <c r="AN548" s="156">
        <v>1</v>
      </c>
      <c r="AO548" s="1">
        <v>0</v>
      </c>
      <c r="AP548" s="1">
        <v>0</v>
      </c>
      <c r="AQ548" s="1"/>
      <c r="AR548" s="1">
        <f>AL548</f>
        <v>1</v>
      </c>
      <c r="AS548" s="21">
        <f>IFERROR(+AR548/AN548,0)</f>
        <v>1</v>
      </c>
      <c r="AT548" s="1">
        <f t="shared" si="85"/>
        <v>0.25</v>
      </c>
      <c r="AU548" s="31"/>
      <c r="AV548" s="31"/>
      <c r="AW548" s="31"/>
      <c r="AX548" s="16">
        <f t="shared" si="82"/>
        <v>8.3333333333333329E-2</v>
      </c>
      <c r="AY548" s="156">
        <v>1</v>
      </c>
      <c r="AZ548" s="76">
        <v>0</v>
      </c>
      <c r="BA548" s="31"/>
      <c r="BB548" s="31"/>
      <c r="BC548" s="31"/>
      <c r="BD548" s="16">
        <f t="shared" si="86"/>
        <v>0</v>
      </c>
      <c r="BE548" s="31"/>
      <c r="BF548" s="31"/>
      <c r="BG548" s="31"/>
      <c r="BH548" s="31"/>
      <c r="BI548" s="16"/>
      <c r="BJ548" s="16"/>
      <c r="BK548" s="31"/>
      <c r="BL548" s="31"/>
      <c r="BM548" s="31"/>
      <c r="BN548" s="31"/>
      <c r="BO548" s="16"/>
      <c r="BP548" s="31"/>
      <c r="BQ548" s="31"/>
      <c r="BR548" s="31"/>
      <c r="BS548" s="31"/>
      <c r="BT548" s="16"/>
      <c r="BU548" s="16"/>
      <c r="BV548" s="16"/>
      <c r="BW548" s="16"/>
      <c r="BX548" s="16"/>
      <c r="BY548" s="16"/>
      <c r="BZ548" s="16"/>
      <c r="CA548" s="1"/>
      <c r="CB548" s="1"/>
      <c r="CC548" s="22"/>
    </row>
    <row r="549" spans="1:81" s="52" customFormat="1" ht="71.25" customHeight="1" x14ac:dyDescent="0.25">
      <c r="A549" s="1">
        <v>6</v>
      </c>
      <c r="B549" s="13" t="s">
        <v>1751</v>
      </c>
      <c r="C549" s="572"/>
      <c r="D549" s="573"/>
      <c r="E549" s="10" t="s">
        <v>1696</v>
      </c>
      <c r="F549" s="13" t="s">
        <v>1821</v>
      </c>
      <c r="G549" s="567">
        <f>+AVERAGEIF(F14:F567,F549,AX14:AX567)</f>
        <v>0.44444444444444442</v>
      </c>
      <c r="H549" s="569">
        <f>+AVERAGEIF(F14:F567,F549,BD14:BD567)</f>
        <v>0.25</v>
      </c>
      <c r="I549" s="10" t="s">
        <v>1697</v>
      </c>
      <c r="J549" s="13" t="s">
        <v>1897</v>
      </c>
      <c r="K549" s="567">
        <f>AVERAGE(AX549:AX557)</f>
        <v>0.44444444444444442</v>
      </c>
      <c r="L549" s="569">
        <f>AVERAGE(BD549:BD557)</f>
        <v>0.25</v>
      </c>
      <c r="M549" s="23"/>
      <c r="N549" s="23" t="s">
        <v>1698</v>
      </c>
      <c r="O549" s="13" t="s">
        <v>1699</v>
      </c>
      <c r="P549" s="1">
        <v>1</v>
      </c>
      <c r="Q549" s="1">
        <v>1</v>
      </c>
      <c r="R549" s="24"/>
      <c r="S549" s="13" t="s">
        <v>1700</v>
      </c>
      <c r="T549" s="448" t="s">
        <v>1701</v>
      </c>
      <c r="U549" s="1">
        <v>3</v>
      </c>
      <c r="V549" s="1">
        <v>8</v>
      </c>
      <c r="W549" s="1" t="s">
        <v>412</v>
      </c>
      <c r="X549" s="1" t="s">
        <v>73</v>
      </c>
      <c r="Y549" s="1" t="s">
        <v>50</v>
      </c>
      <c r="Z549" s="1">
        <v>41</v>
      </c>
      <c r="AA549" s="24" t="s">
        <v>1663</v>
      </c>
      <c r="AB549" s="10" t="s">
        <v>1761</v>
      </c>
      <c r="AC549" s="156">
        <v>3</v>
      </c>
      <c r="AD549" s="108">
        <v>5</v>
      </c>
      <c r="AE549" s="156">
        <v>1</v>
      </c>
      <c r="AF549" s="156">
        <v>1</v>
      </c>
      <c r="AG549" s="377">
        <f t="shared" si="87"/>
        <v>10</v>
      </c>
      <c r="AH549" s="377" t="b">
        <f t="shared" si="83"/>
        <v>0</v>
      </c>
      <c r="AI549" s="1">
        <v>2</v>
      </c>
      <c r="AJ549" s="1">
        <v>3</v>
      </c>
      <c r="AK549" s="1">
        <v>6</v>
      </c>
      <c r="AL549" s="1">
        <v>6</v>
      </c>
      <c r="AM549" s="16">
        <f t="shared" si="84"/>
        <v>0.75</v>
      </c>
      <c r="AN549" s="156">
        <v>3</v>
      </c>
      <c r="AO549" s="1">
        <v>2</v>
      </c>
      <c r="AP549" s="1">
        <v>3</v>
      </c>
      <c r="AQ549" s="1"/>
      <c r="AR549" s="1">
        <f>AL549</f>
        <v>6</v>
      </c>
      <c r="AS549" s="21">
        <v>1</v>
      </c>
      <c r="AT549" s="1">
        <f t="shared" si="85"/>
        <v>6</v>
      </c>
      <c r="AU549" s="31"/>
      <c r="AV549" s="31"/>
      <c r="AW549" s="31"/>
      <c r="AX549" s="16">
        <f t="shared" si="82"/>
        <v>0.75</v>
      </c>
      <c r="AY549" s="108">
        <v>5</v>
      </c>
      <c r="AZ549" s="76">
        <v>0</v>
      </c>
      <c r="BA549" s="31"/>
      <c r="BB549" s="31"/>
      <c r="BC549" s="31"/>
      <c r="BD549" s="16">
        <f t="shared" si="86"/>
        <v>0</v>
      </c>
      <c r="BE549" s="31"/>
      <c r="BF549" s="31"/>
      <c r="BG549" s="31"/>
      <c r="BH549" s="31"/>
      <c r="BI549" s="16"/>
      <c r="BJ549" s="16"/>
      <c r="BK549" s="31"/>
      <c r="BL549" s="31"/>
      <c r="BM549" s="31"/>
      <c r="BN549" s="31"/>
      <c r="BO549" s="16"/>
      <c r="BP549" s="31"/>
      <c r="BQ549" s="31"/>
      <c r="BR549" s="31"/>
      <c r="BS549" s="31"/>
      <c r="BT549" s="16"/>
      <c r="BU549" s="16"/>
      <c r="BV549" s="16"/>
      <c r="BW549" s="16"/>
      <c r="BX549" s="16"/>
      <c r="BY549" s="16"/>
      <c r="BZ549" s="16"/>
      <c r="CA549" s="1"/>
      <c r="CB549" s="1"/>
      <c r="CC549" s="22"/>
    </row>
    <row r="550" spans="1:81" s="52" customFormat="1" ht="71.25" customHeight="1" x14ac:dyDescent="0.25">
      <c r="A550" s="1">
        <v>6</v>
      </c>
      <c r="B550" s="13" t="s">
        <v>1751</v>
      </c>
      <c r="C550" s="572"/>
      <c r="D550" s="573"/>
      <c r="E550" s="10" t="s">
        <v>1696</v>
      </c>
      <c r="F550" s="13" t="s">
        <v>1821</v>
      </c>
      <c r="G550" s="572"/>
      <c r="H550" s="573"/>
      <c r="I550" s="10" t="s">
        <v>1697</v>
      </c>
      <c r="J550" s="13" t="s">
        <v>1897</v>
      </c>
      <c r="K550" s="572"/>
      <c r="L550" s="573"/>
      <c r="M550" s="23"/>
      <c r="N550" s="23" t="s">
        <v>1698</v>
      </c>
      <c r="O550" s="13" t="s">
        <v>1699</v>
      </c>
      <c r="P550" s="1">
        <v>1</v>
      </c>
      <c r="Q550" s="1">
        <v>1</v>
      </c>
      <c r="R550" s="24"/>
      <c r="S550" s="13" t="s">
        <v>1702</v>
      </c>
      <c r="T550" s="448" t="s">
        <v>1703</v>
      </c>
      <c r="U550" s="1">
        <v>0</v>
      </c>
      <c r="V550" s="1">
        <v>1</v>
      </c>
      <c r="W550" s="1" t="s">
        <v>412</v>
      </c>
      <c r="X550" s="1" t="s">
        <v>50</v>
      </c>
      <c r="Y550" s="1" t="s">
        <v>50</v>
      </c>
      <c r="Z550" s="1">
        <v>41</v>
      </c>
      <c r="AA550" s="24" t="s">
        <v>1663</v>
      </c>
      <c r="AB550" s="10" t="s">
        <v>1761</v>
      </c>
      <c r="AC550" s="156"/>
      <c r="AD550" s="156"/>
      <c r="AE550" s="156"/>
      <c r="AF550" s="156">
        <v>1</v>
      </c>
      <c r="AG550" s="377">
        <f t="shared" si="87"/>
        <v>1</v>
      </c>
      <c r="AH550" s="377" t="b">
        <f t="shared" si="83"/>
        <v>1</v>
      </c>
      <c r="AI550" s="1"/>
      <c r="AJ550" s="1"/>
      <c r="AK550" s="1"/>
      <c r="AL550" s="1"/>
      <c r="AM550" s="16">
        <f t="shared" si="84"/>
        <v>0</v>
      </c>
      <c r="AN550" s="156"/>
      <c r="AO550" s="1"/>
      <c r="AP550" s="1"/>
      <c r="AQ550" s="1"/>
      <c r="AR550" s="1"/>
      <c r="AS550" s="21" t="s">
        <v>310</v>
      </c>
      <c r="AT550" s="1">
        <f t="shared" si="85"/>
        <v>0</v>
      </c>
      <c r="AU550" s="31"/>
      <c r="AV550" s="31"/>
      <c r="AW550" s="31"/>
      <c r="AX550" s="16">
        <f t="shared" si="82"/>
        <v>0</v>
      </c>
      <c r="AY550" s="156" t="s">
        <v>2000</v>
      </c>
      <c r="AZ550" s="76"/>
      <c r="BA550" s="31"/>
      <c r="BB550" s="31"/>
      <c r="BC550" s="31"/>
      <c r="BD550" s="16" t="str">
        <f t="shared" si="86"/>
        <v>NP</v>
      </c>
      <c r="BE550" s="31"/>
      <c r="BF550" s="31"/>
      <c r="BG550" s="31"/>
      <c r="BH550" s="31"/>
      <c r="BI550" s="16"/>
      <c r="BJ550" s="16"/>
      <c r="BK550" s="31"/>
      <c r="BL550" s="31"/>
      <c r="BM550" s="31"/>
      <c r="BN550" s="31"/>
      <c r="BO550" s="16"/>
      <c r="BP550" s="31"/>
      <c r="BQ550" s="31"/>
      <c r="BR550" s="31"/>
      <c r="BS550" s="31"/>
      <c r="BT550" s="16"/>
      <c r="BU550" s="16"/>
      <c r="BV550" s="16"/>
      <c r="BW550" s="16"/>
      <c r="BX550" s="16"/>
      <c r="BY550" s="16"/>
      <c r="BZ550" s="16"/>
      <c r="CA550" s="1"/>
      <c r="CB550" s="1"/>
      <c r="CC550" s="1"/>
    </row>
    <row r="551" spans="1:81" s="452" customFormat="1" ht="86.25" customHeight="1" x14ac:dyDescent="0.25">
      <c r="A551" s="371">
        <v>6</v>
      </c>
      <c r="B551" s="330" t="s">
        <v>1751</v>
      </c>
      <c r="C551" s="572"/>
      <c r="D551" s="573"/>
      <c r="E551" s="370" t="s">
        <v>1696</v>
      </c>
      <c r="F551" s="330" t="s">
        <v>1821</v>
      </c>
      <c r="G551" s="572"/>
      <c r="H551" s="573"/>
      <c r="I551" s="370">
        <v>0</v>
      </c>
      <c r="J551" s="330" t="s">
        <v>1897</v>
      </c>
      <c r="K551" s="572"/>
      <c r="L551" s="573"/>
      <c r="M551" s="329"/>
      <c r="N551" s="13" t="s">
        <v>1698</v>
      </c>
      <c r="O551" s="13" t="s">
        <v>1699</v>
      </c>
      <c r="P551" s="371">
        <v>1</v>
      </c>
      <c r="Q551" s="371">
        <v>1</v>
      </c>
      <c r="R551" s="451"/>
      <c r="S551" s="13" t="s">
        <v>2002</v>
      </c>
      <c r="T551" s="448" t="s">
        <v>2003</v>
      </c>
      <c r="U551" s="371">
        <v>1</v>
      </c>
      <c r="V551" s="371">
        <v>4</v>
      </c>
      <c r="W551" s="371" t="s">
        <v>412</v>
      </c>
      <c r="X551" s="371"/>
      <c r="Y551" s="371"/>
      <c r="Z551" s="371">
        <v>41</v>
      </c>
      <c r="AA551" s="24" t="s">
        <v>1663</v>
      </c>
      <c r="AB551" s="370" t="s">
        <v>1761</v>
      </c>
      <c r="AC551" s="371"/>
      <c r="AD551" s="371">
        <v>1</v>
      </c>
      <c r="AE551" s="371"/>
      <c r="AF551" s="371"/>
      <c r="AG551" s="379"/>
      <c r="AH551" s="379"/>
      <c r="AI551" s="371"/>
      <c r="AJ551" s="371"/>
      <c r="AK551" s="371"/>
      <c r="AL551" s="371"/>
      <c r="AM551" s="426">
        <f t="shared" si="84"/>
        <v>0</v>
      </c>
      <c r="AN551" s="371">
        <v>1</v>
      </c>
      <c r="AO551" s="371"/>
      <c r="AP551" s="371"/>
      <c r="AQ551" s="371"/>
      <c r="AR551" s="371"/>
      <c r="AS551" s="426"/>
      <c r="AT551" s="1">
        <f t="shared" si="85"/>
        <v>1</v>
      </c>
      <c r="AU551" s="426"/>
      <c r="AV551" s="426"/>
      <c r="AW551" s="426"/>
      <c r="AX551" s="16">
        <f t="shared" si="82"/>
        <v>0.25</v>
      </c>
      <c r="AY551" s="371">
        <v>1</v>
      </c>
      <c r="AZ551" s="371">
        <v>1</v>
      </c>
      <c r="BA551" s="426"/>
      <c r="BB551" s="426"/>
      <c r="BC551" s="426"/>
      <c r="BD551" s="16">
        <f t="shared" si="86"/>
        <v>1</v>
      </c>
      <c r="BE551" s="426"/>
      <c r="BF551" s="426"/>
      <c r="BG551" s="426"/>
      <c r="BH551" s="426"/>
      <c r="BI551" s="426"/>
      <c r="BJ551" s="426"/>
      <c r="BK551" s="426"/>
      <c r="BL551" s="426"/>
      <c r="BM551" s="426"/>
      <c r="BN551" s="426"/>
      <c r="BO551" s="426"/>
      <c r="BP551" s="426"/>
      <c r="BQ551" s="426"/>
      <c r="BR551" s="426"/>
      <c r="BS551" s="426"/>
      <c r="BT551" s="426"/>
      <c r="BU551" s="426"/>
      <c r="BV551" s="426"/>
      <c r="BW551" s="426"/>
      <c r="BX551" s="426"/>
      <c r="BY551" s="426"/>
      <c r="BZ551" s="426"/>
      <c r="CA551" s="371"/>
      <c r="CB551" s="371"/>
      <c r="CC551" s="371"/>
    </row>
    <row r="552" spans="1:81" s="52" customFormat="1" ht="71.25" customHeight="1" x14ac:dyDescent="0.25">
      <c r="A552" s="1">
        <v>6</v>
      </c>
      <c r="B552" s="13" t="s">
        <v>1751</v>
      </c>
      <c r="C552" s="572"/>
      <c r="D552" s="573"/>
      <c r="E552" s="10" t="s">
        <v>1696</v>
      </c>
      <c r="F552" s="13" t="s">
        <v>1821</v>
      </c>
      <c r="G552" s="572"/>
      <c r="H552" s="573"/>
      <c r="I552" s="10" t="s">
        <v>1697</v>
      </c>
      <c r="J552" s="13" t="s">
        <v>1897</v>
      </c>
      <c r="K552" s="572"/>
      <c r="L552" s="573"/>
      <c r="M552" s="23"/>
      <c r="N552" s="23" t="s">
        <v>1705</v>
      </c>
      <c r="O552" s="13" t="s">
        <v>1706</v>
      </c>
      <c r="P552" s="1">
        <v>3400</v>
      </c>
      <c r="Q552" s="1">
        <v>6000</v>
      </c>
      <c r="R552" s="24"/>
      <c r="S552" s="13" t="s">
        <v>1707</v>
      </c>
      <c r="T552" s="448" t="s">
        <v>1708</v>
      </c>
      <c r="U552" s="1" t="s">
        <v>55</v>
      </c>
      <c r="V552" s="1">
        <v>3</v>
      </c>
      <c r="W552" s="1" t="s">
        <v>412</v>
      </c>
      <c r="X552" s="1" t="s">
        <v>50</v>
      </c>
      <c r="Y552" s="1" t="s">
        <v>50</v>
      </c>
      <c r="Z552" s="1">
        <v>41</v>
      </c>
      <c r="AA552" s="24" t="s">
        <v>1663</v>
      </c>
      <c r="AB552" s="10" t="s">
        <v>1761</v>
      </c>
      <c r="AC552" s="156">
        <v>1</v>
      </c>
      <c r="AD552" s="156">
        <v>1</v>
      </c>
      <c r="AE552" s="156">
        <v>1</v>
      </c>
      <c r="AF552" s="156"/>
      <c r="AG552" s="377">
        <f t="shared" si="87"/>
        <v>3</v>
      </c>
      <c r="AH552" s="377" t="b">
        <f t="shared" si="83"/>
        <v>1</v>
      </c>
      <c r="AI552" s="1">
        <v>1</v>
      </c>
      <c r="AJ552" s="1">
        <v>2</v>
      </c>
      <c r="AK552" s="108">
        <v>3</v>
      </c>
      <c r="AL552" s="108">
        <v>3</v>
      </c>
      <c r="AM552" s="16">
        <f t="shared" si="84"/>
        <v>1</v>
      </c>
      <c r="AN552" s="156">
        <v>1</v>
      </c>
      <c r="AO552" s="1">
        <v>1</v>
      </c>
      <c r="AP552" s="108">
        <v>1</v>
      </c>
      <c r="AQ552" s="108"/>
      <c r="AR552" s="1">
        <f t="shared" ref="AR552:AR561" si="90">AL552</f>
        <v>3</v>
      </c>
      <c r="AS552" s="21">
        <v>1</v>
      </c>
      <c r="AT552" s="1">
        <f t="shared" si="85"/>
        <v>4</v>
      </c>
      <c r="AU552" s="31"/>
      <c r="AV552" s="31"/>
      <c r="AW552" s="31"/>
      <c r="AX552" s="16">
        <f t="shared" si="82"/>
        <v>1</v>
      </c>
      <c r="AY552" s="156">
        <v>1</v>
      </c>
      <c r="AZ552" s="76">
        <v>1</v>
      </c>
      <c r="BA552" s="31"/>
      <c r="BB552" s="31"/>
      <c r="BC552" s="31"/>
      <c r="BD552" s="16">
        <f t="shared" si="86"/>
        <v>1</v>
      </c>
      <c r="BE552" s="31"/>
      <c r="BF552" s="31"/>
      <c r="BG552" s="31"/>
      <c r="BH552" s="31"/>
      <c r="BI552" s="16"/>
      <c r="BJ552" s="16"/>
      <c r="BK552" s="31"/>
      <c r="BL552" s="31"/>
      <c r="BM552" s="31"/>
      <c r="BN552" s="31"/>
      <c r="BO552" s="16"/>
      <c r="BP552" s="31"/>
      <c r="BQ552" s="31"/>
      <c r="BR552" s="31"/>
      <c r="BS552" s="31"/>
      <c r="BT552" s="16"/>
      <c r="BU552" s="16"/>
      <c r="BV552" s="16"/>
      <c r="BW552" s="16"/>
      <c r="BX552" s="16"/>
      <c r="BY552" s="16"/>
      <c r="BZ552" s="16"/>
      <c r="CA552" s="1"/>
      <c r="CB552" s="1"/>
      <c r="CC552" s="1"/>
    </row>
    <row r="553" spans="1:81" s="52" customFormat="1" ht="71.25" customHeight="1" x14ac:dyDescent="0.25">
      <c r="A553" s="1">
        <v>6</v>
      </c>
      <c r="B553" s="13" t="s">
        <v>1751</v>
      </c>
      <c r="C553" s="572"/>
      <c r="D553" s="573"/>
      <c r="E553" s="10" t="s">
        <v>1696</v>
      </c>
      <c r="F553" s="13" t="s">
        <v>1821</v>
      </c>
      <c r="G553" s="572"/>
      <c r="H553" s="573"/>
      <c r="I553" s="10" t="s">
        <v>1697</v>
      </c>
      <c r="J553" s="13" t="s">
        <v>1897</v>
      </c>
      <c r="K553" s="572"/>
      <c r="L553" s="573"/>
      <c r="M553" s="23"/>
      <c r="N553" s="23" t="s">
        <v>1698</v>
      </c>
      <c r="O553" s="13" t="s">
        <v>1699</v>
      </c>
      <c r="P553" s="1">
        <v>1</v>
      </c>
      <c r="Q553" s="1">
        <v>1</v>
      </c>
      <c r="R553" s="24"/>
      <c r="S553" s="448" t="s">
        <v>1709</v>
      </c>
      <c r="T553" s="448" t="s">
        <v>1710</v>
      </c>
      <c r="U553" s="1">
        <v>0</v>
      </c>
      <c r="V553" s="1">
        <v>1</v>
      </c>
      <c r="W553" s="1" t="s">
        <v>412</v>
      </c>
      <c r="X553" s="1" t="s">
        <v>50</v>
      </c>
      <c r="Y553" s="1" t="s">
        <v>50</v>
      </c>
      <c r="Z553" s="1">
        <v>41</v>
      </c>
      <c r="AA553" s="24" t="s">
        <v>1663</v>
      </c>
      <c r="AB553" s="10" t="s">
        <v>1761</v>
      </c>
      <c r="AC553" s="156">
        <v>1</v>
      </c>
      <c r="AD553" s="156">
        <v>1</v>
      </c>
      <c r="AE553" s="156"/>
      <c r="AF553" s="156"/>
      <c r="AG553" s="377">
        <f t="shared" si="87"/>
        <v>2</v>
      </c>
      <c r="AH553" s="377" t="b">
        <f t="shared" si="83"/>
        <v>0</v>
      </c>
      <c r="AI553" s="1">
        <v>0</v>
      </c>
      <c r="AJ553" s="1">
        <v>0</v>
      </c>
      <c r="AK553" s="1"/>
      <c r="AL553" s="1"/>
      <c r="AM553" s="16">
        <f t="shared" si="84"/>
        <v>0</v>
      </c>
      <c r="AN553" s="156">
        <v>1</v>
      </c>
      <c r="AO553" s="1">
        <v>0</v>
      </c>
      <c r="AP553" s="1">
        <v>0</v>
      </c>
      <c r="AQ553" s="1"/>
      <c r="AR553" s="1">
        <f t="shared" si="90"/>
        <v>0</v>
      </c>
      <c r="AS553" s="21">
        <f>IFERROR(+AR553/AN553,0)</f>
        <v>0</v>
      </c>
      <c r="AT553" s="1">
        <f t="shared" si="85"/>
        <v>0</v>
      </c>
      <c r="AU553" s="31"/>
      <c r="AV553" s="31"/>
      <c r="AW553" s="31"/>
      <c r="AX553" s="16">
        <f t="shared" si="82"/>
        <v>0</v>
      </c>
      <c r="AY553" s="156">
        <v>1</v>
      </c>
      <c r="AZ553" s="76">
        <v>0</v>
      </c>
      <c r="BA553" s="31"/>
      <c r="BB553" s="31"/>
      <c r="BC553" s="31"/>
      <c r="BD553" s="16">
        <f t="shared" si="86"/>
        <v>0</v>
      </c>
      <c r="BE553" s="31"/>
      <c r="BF553" s="31"/>
      <c r="BG553" s="31"/>
      <c r="BH553" s="31"/>
      <c r="BI553" s="16"/>
      <c r="BJ553" s="16"/>
      <c r="BK553" s="31"/>
      <c r="BL553" s="31"/>
      <c r="BM553" s="31"/>
      <c r="BN553" s="31"/>
      <c r="BO553" s="16"/>
      <c r="BP553" s="31"/>
      <c r="BQ553" s="31"/>
      <c r="BR553" s="31"/>
      <c r="BS553" s="31"/>
      <c r="BT553" s="16"/>
      <c r="BU553" s="16"/>
      <c r="BV553" s="16"/>
      <c r="BW553" s="16"/>
      <c r="BX553" s="16"/>
      <c r="BY553" s="16"/>
      <c r="BZ553" s="16"/>
      <c r="CA553" s="10"/>
      <c r="CB553" s="1"/>
      <c r="CC553" s="22"/>
    </row>
    <row r="554" spans="1:81" s="52" customFormat="1" ht="71.25" customHeight="1" x14ac:dyDescent="0.25">
      <c r="A554" s="1">
        <v>6</v>
      </c>
      <c r="B554" s="13" t="s">
        <v>1751</v>
      </c>
      <c r="C554" s="572"/>
      <c r="D554" s="573"/>
      <c r="E554" s="10" t="s">
        <v>1696</v>
      </c>
      <c r="F554" s="13" t="s">
        <v>1821</v>
      </c>
      <c r="G554" s="572"/>
      <c r="H554" s="573"/>
      <c r="I554" s="10" t="s">
        <v>1697</v>
      </c>
      <c r="J554" s="13" t="s">
        <v>1897</v>
      </c>
      <c r="K554" s="572"/>
      <c r="L554" s="573"/>
      <c r="M554" s="23"/>
      <c r="N554" s="23" t="s">
        <v>1698</v>
      </c>
      <c r="O554" s="13" t="s">
        <v>1699</v>
      </c>
      <c r="P554" s="1">
        <v>1</v>
      </c>
      <c r="Q554" s="1">
        <v>1</v>
      </c>
      <c r="R554" s="24"/>
      <c r="S554" s="13" t="s">
        <v>1711</v>
      </c>
      <c r="T554" s="448" t="s">
        <v>1712</v>
      </c>
      <c r="U554" s="1">
        <v>0</v>
      </c>
      <c r="V554" s="1">
        <v>1</v>
      </c>
      <c r="W554" s="1" t="s">
        <v>412</v>
      </c>
      <c r="X554" s="1" t="s">
        <v>50</v>
      </c>
      <c r="Y554" s="1" t="s">
        <v>50</v>
      </c>
      <c r="Z554" s="1">
        <v>41</v>
      </c>
      <c r="AA554" s="24" t="s">
        <v>1663</v>
      </c>
      <c r="AB554" s="10" t="s">
        <v>1761</v>
      </c>
      <c r="AC554" s="156">
        <v>1</v>
      </c>
      <c r="AD554" s="156">
        <v>1</v>
      </c>
      <c r="AE554" s="156"/>
      <c r="AF554" s="156"/>
      <c r="AG554" s="377">
        <f t="shared" si="87"/>
        <v>2</v>
      </c>
      <c r="AH554" s="377" t="b">
        <f t="shared" si="83"/>
        <v>0</v>
      </c>
      <c r="AI554" s="1">
        <v>0</v>
      </c>
      <c r="AJ554" s="1">
        <v>0</v>
      </c>
      <c r="AK554" s="1"/>
      <c r="AL554" s="1"/>
      <c r="AM554" s="16">
        <f t="shared" si="84"/>
        <v>0</v>
      </c>
      <c r="AN554" s="156">
        <v>1</v>
      </c>
      <c r="AO554" s="1">
        <v>0</v>
      </c>
      <c r="AP554" s="1">
        <v>0</v>
      </c>
      <c r="AQ554" s="1"/>
      <c r="AR554" s="1">
        <f t="shared" si="90"/>
        <v>0</v>
      </c>
      <c r="AS554" s="21">
        <f>IFERROR(+AR554/AN554,0)</f>
        <v>0</v>
      </c>
      <c r="AT554" s="1">
        <f t="shared" si="85"/>
        <v>0</v>
      </c>
      <c r="AU554" s="31"/>
      <c r="AV554" s="31"/>
      <c r="AW554" s="31"/>
      <c r="AX554" s="16">
        <f t="shared" si="82"/>
        <v>0</v>
      </c>
      <c r="AY554" s="156">
        <v>1</v>
      </c>
      <c r="AZ554" s="76">
        <v>0</v>
      </c>
      <c r="BA554" s="31"/>
      <c r="BB554" s="31"/>
      <c r="BC554" s="31"/>
      <c r="BD554" s="16">
        <f t="shared" si="86"/>
        <v>0</v>
      </c>
      <c r="BE554" s="31"/>
      <c r="BF554" s="31"/>
      <c r="BG554" s="31"/>
      <c r="BH554" s="31"/>
      <c r="BI554" s="16"/>
      <c r="BJ554" s="16"/>
      <c r="BK554" s="31"/>
      <c r="BL554" s="31"/>
      <c r="BM554" s="31"/>
      <c r="BN554" s="31"/>
      <c r="BO554" s="16"/>
      <c r="BP554" s="31"/>
      <c r="BQ554" s="31"/>
      <c r="BR554" s="31"/>
      <c r="BS554" s="31"/>
      <c r="BT554" s="16"/>
      <c r="BU554" s="16"/>
      <c r="BV554" s="16"/>
      <c r="BW554" s="16"/>
      <c r="BX554" s="16"/>
      <c r="BY554" s="16"/>
      <c r="BZ554" s="16"/>
      <c r="CA554" s="1"/>
      <c r="CB554" s="1"/>
      <c r="CC554" s="22"/>
    </row>
    <row r="555" spans="1:81" s="52" customFormat="1" ht="71.25" customHeight="1" x14ac:dyDescent="0.25">
      <c r="A555" s="1">
        <v>6</v>
      </c>
      <c r="B555" s="13" t="s">
        <v>1751</v>
      </c>
      <c r="C555" s="572"/>
      <c r="D555" s="573"/>
      <c r="E555" s="10" t="s">
        <v>1696</v>
      </c>
      <c r="F555" s="13" t="s">
        <v>1821</v>
      </c>
      <c r="G555" s="572"/>
      <c r="H555" s="573"/>
      <c r="I555" s="10" t="s">
        <v>1697</v>
      </c>
      <c r="J555" s="13" t="s">
        <v>1897</v>
      </c>
      <c r="K555" s="572"/>
      <c r="L555" s="573"/>
      <c r="M555" s="23"/>
      <c r="N555" s="23" t="s">
        <v>1713</v>
      </c>
      <c r="O555" s="13" t="s">
        <v>1714</v>
      </c>
      <c r="P555" s="1">
        <v>300</v>
      </c>
      <c r="Q555" s="1">
        <v>500</v>
      </c>
      <c r="R555" s="24"/>
      <c r="S555" s="13" t="s">
        <v>1715</v>
      </c>
      <c r="T555" s="448" t="s">
        <v>1716</v>
      </c>
      <c r="U555" s="1">
        <v>1</v>
      </c>
      <c r="V555" s="1">
        <v>1</v>
      </c>
      <c r="W555" s="1" t="s">
        <v>412</v>
      </c>
      <c r="X555" s="1" t="s">
        <v>73</v>
      </c>
      <c r="Y555" s="1"/>
      <c r="Z555" s="1">
        <v>41</v>
      </c>
      <c r="AA555" s="24" t="s">
        <v>1663</v>
      </c>
      <c r="AB555" s="10" t="s">
        <v>1761</v>
      </c>
      <c r="AC555" s="156">
        <v>1</v>
      </c>
      <c r="AD555" s="108">
        <v>1</v>
      </c>
      <c r="AE555" s="156">
        <v>1</v>
      </c>
      <c r="AF555" s="156">
        <v>1</v>
      </c>
      <c r="AG555" s="377">
        <f t="shared" si="87"/>
        <v>4</v>
      </c>
      <c r="AH555" s="377" t="b">
        <f t="shared" si="83"/>
        <v>0</v>
      </c>
      <c r="AI555" s="1">
        <v>0</v>
      </c>
      <c r="AJ555" s="1">
        <v>0</v>
      </c>
      <c r="AK555" s="1"/>
      <c r="AL555" s="1"/>
      <c r="AM555" s="16">
        <f t="shared" si="84"/>
        <v>0</v>
      </c>
      <c r="AN555" s="156">
        <v>1</v>
      </c>
      <c r="AO555" s="1">
        <v>0</v>
      </c>
      <c r="AP555" s="1">
        <v>0</v>
      </c>
      <c r="AQ555" s="1"/>
      <c r="AR555" s="1">
        <f t="shared" si="90"/>
        <v>0</v>
      </c>
      <c r="AS555" s="21">
        <f>IFERROR(+AR555/AN555,0)</f>
        <v>0</v>
      </c>
      <c r="AT555" s="1">
        <f t="shared" si="85"/>
        <v>0</v>
      </c>
      <c r="AU555" s="31"/>
      <c r="AV555" s="31"/>
      <c r="AW555" s="31"/>
      <c r="AX555" s="16">
        <f t="shared" si="82"/>
        <v>0</v>
      </c>
      <c r="AY555" s="108">
        <v>1</v>
      </c>
      <c r="AZ555" s="76">
        <v>0</v>
      </c>
      <c r="BA555" s="31"/>
      <c r="BB555" s="31"/>
      <c r="BC555" s="31"/>
      <c r="BD555" s="16">
        <f t="shared" si="86"/>
        <v>0</v>
      </c>
      <c r="BE555" s="31"/>
      <c r="BF555" s="31"/>
      <c r="BG555" s="31"/>
      <c r="BH555" s="31"/>
      <c r="BI555" s="16"/>
      <c r="BJ555" s="16"/>
      <c r="BK555" s="31"/>
      <c r="BL555" s="31"/>
      <c r="BM555" s="31"/>
      <c r="BN555" s="31"/>
      <c r="BO555" s="16"/>
      <c r="BP555" s="31"/>
      <c r="BQ555" s="31"/>
      <c r="BR555" s="31"/>
      <c r="BS555" s="31"/>
      <c r="BT555" s="16"/>
      <c r="BU555" s="16"/>
      <c r="BV555" s="16"/>
      <c r="BW555" s="16"/>
      <c r="BX555" s="16"/>
      <c r="BY555" s="16"/>
      <c r="BZ555" s="16"/>
      <c r="CA555" s="1"/>
      <c r="CB555" s="1"/>
      <c r="CC555" s="22"/>
    </row>
    <row r="556" spans="1:81" s="52" customFormat="1" ht="71.25" customHeight="1" x14ac:dyDescent="0.25">
      <c r="A556" s="1">
        <v>6</v>
      </c>
      <c r="B556" s="13" t="s">
        <v>1751</v>
      </c>
      <c r="C556" s="572"/>
      <c r="D556" s="573"/>
      <c r="E556" s="10" t="s">
        <v>1696</v>
      </c>
      <c r="F556" s="13" t="s">
        <v>1821</v>
      </c>
      <c r="G556" s="572"/>
      <c r="H556" s="573"/>
      <c r="I556" s="10" t="s">
        <v>1697</v>
      </c>
      <c r="J556" s="13" t="s">
        <v>1897</v>
      </c>
      <c r="K556" s="572"/>
      <c r="L556" s="573"/>
      <c r="M556" s="23"/>
      <c r="N556" s="23" t="s">
        <v>1717</v>
      </c>
      <c r="O556" s="13" t="s">
        <v>1718</v>
      </c>
      <c r="P556" s="1">
        <v>0</v>
      </c>
      <c r="Q556" s="1">
        <v>1</v>
      </c>
      <c r="R556" s="24"/>
      <c r="S556" s="13" t="s">
        <v>1719</v>
      </c>
      <c r="T556" s="448" t="s">
        <v>1720</v>
      </c>
      <c r="U556" s="1">
        <v>0</v>
      </c>
      <c r="V556" s="1">
        <v>1</v>
      </c>
      <c r="W556" s="1" t="s">
        <v>412</v>
      </c>
      <c r="X556" s="1" t="s">
        <v>73</v>
      </c>
      <c r="Y556" s="10" t="s">
        <v>1704</v>
      </c>
      <c r="Z556" s="1">
        <v>41</v>
      </c>
      <c r="AA556" s="24" t="s">
        <v>1663</v>
      </c>
      <c r="AB556" s="10" t="s">
        <v>1761</v>
      </c>
      <c r="AC556" s="156">
        <v>1</v>
      </c>
      <c r="AD556" s="156">
        <v>1</v>
      </c>
      <c r="AE556" s="156"/>
      <c r="AF556" s="156"/>
      <c r="AG556" s="377">
        <f t="shared" si="87"/>
        <v>2</v>
      </c>
      <c r="AH556" s="377" t="b">
        <f t="shared" si="83"/>
        <v>0</v>
      </c>
      <c r="AI556" s="1">
        <v>0</v>
      </c>
      <c r="AJ556" s="1">
        <v>0</v>
      </c>
      <c r="AK556" s="1">
        <v>1</v>
      </c>
      <c r="AL556" s="1">
        <v>1</v>
      </c>
      <c r="AM556" s="16">
        <f t="shared" si="84"/>
        <v>1</v>
      </c>
      <c r="AN556" s="156">
        <v>1</v>
      </c>
      <c r="AO556" s="1">
        <v>0</v>
      </c>
      <c r="AP556" s="1">
        <v>0</v>
      </c>
      <c r="AQ556" s="1"/>
      <c r="AR556" s="1">
        <f t="shared" si="90"/>
        <v>1</v>
      </c>
      <c r="AS556" s="21">
        <f>IFERROR(+AR556/AN556,0)</f>
        <v>1</v>
      </c>
      <c r="AT556" s="1">
        <f t="shared" si="85"/>
        <v>1</v>
      </c>
      <c r="AU556" s="31"/>
      <c r="AV556" s="31"/>
      <c r="AW556" s="31"/>
      <c r="AX556" s="16">
        <f t="shared" si="82"/>
        <v>1</v>
      </c>
      <c r="AY556" s="156">
        <v>1</v>
      </c>
      <c r="AZ556" s="76">
        <v>0</v>
      </c>
      <c r="BA556" s="31"/>
      <c r="BB556" s="31"/>
      <c r="BC556" s="31"/>
      <c r="BD556" s="16">
        <f t="shared" si="86"/>
        <v>0</v>
      </c>
      <c r="BE556" s="31"/>
      <c r="BF556" s="31"/>
      <c r="BG556" s="31"/>
      <c r="BH556" s="31"/>
      <c r="BI556" s="16"/>
      <c r="BJ556" s="16"/>
      <c r="BK556" s="31"/>
      <c r="BL556" s="31"/>
      <c r="BM556" s="31"/>
      <c r="BN556" s="31"/>
      <c r="BO556" s="16"/>
      <c r="BP556" s="31"/>
      <c r="BQ556" s="31"/>
      <c r="BR556" s="31"/>
      <c r="BS556" s="31"/>
      <c r="BT556" s="16"/>
      <c r="BU556" s="16"/>
      <c r="BV556" s="16"/>
      <c r="BW556" s="16"/>
      <c r="BX556" s="16"/>
      <c r="BY556" s="16"/>
      <c r="BZ556" s="16"/>
      <c r="CA556" s="1"/>
      <c r="CB556" s="1"/>
      <c r="CC556" s="22"/>
    </row>
    <row r="557" spans="1:81" s="52" customFormat="1" ht="71.25" customHeight="1" x14ac:dyDescent="0.25">
      <c r="A557" s="1">
        <v>6</v>
      </c>
      <c r="B557" s="13" t="s">
        <v>1751</v>
      </c>
      <c r="C557" s="572"/>
      <c r="D557" s="573"/>
      <c r="E557" s="10" t="s">
        <v>1696</v>
      </c>
      <c r="F557" s="13" t="s">
        <v>1821</v>
      </c>
      <c r="G557" s="568"/>
      <c r="H557" s="570"/>
      <c r="I557" s="10" t="s">
        <v>1697</v>
      </c>
      <c r="J557" s="13" t="s">
        <v>1897</v>
      </c>
      <c r="K557" s="568"/>
      <c r="L557" s="570"/>
      <c r="M557" s="23"/>
      <c r="N557" s="23" t="s">
        <v>1721</v>
      </c>
      <c r="O557" s="13" t="s">
        <v>1722</v>
      </c>
      <c r="P557" s="1">
        <v>3400</v>
      </c>
      <c r="Q557" s="1">
        <v>6000</v>
      </c>
      <c r="R557" s="24"/>
      <c r="S557" s="13" t="s">
        <v>1723</v>
      </c>
      <c r="T557" s="448" t="s">
        <v>1916</v>
      </c>
      <c r="U557" s="1">
        <v>0</v>
      </c>
      <c r="V557" s="1">
        <v>1</v>
      </c>
      <c r="W557" s="1" t="s">
        <v>412</v>
      </c>
      <c r="X557" s="1" t="s">
        <v>50</v>
      </c>
      <c r="Y557" s="1" t="s">
        <v>50</v>
      </c>
      <c r="Z557" s="1">
        <v>41</v>
      </c>
      <c r="AA557" s="24" t="s">
        <v>1663</v>
      </c>
      <c r="AB557" s="10" t="s">
        <v>1761</v>
      </c>
      <c r="AC557" s="156">
        <v>1</v>
      </c>
      <c r="AD557" s="156">
        <v>1</v>
      </c>
      <c r="AE557" s="156">
        <v>1</v>
      </c>
      <c r="AF557" s="156">
        <v>1</v>
      </c>
      <c r="AG557" s="377">
        <f t="shared" si="87"/>
        <v>4</v>
      </c>
      <c r="AH557" s="377" t="b">
        <f t="shared" si="83"/>
        <v>0</v>
      </c>
      <c r="AI557" s="1">
        <v>1</v>
      </c>
      <c r="AJ557" s="1">
        <v>1</v>
      </c>
      <c r="AK557" s="1">
        <v>2</v>
      </c>
      <c r="AL557" s="1">
        <v>2</v>
      </c>
      <c r="AM557" s="16">
        <v>1</v>
      </c>
      <c r="AN557" s="156">
        <v>1</v>
      </c>
      <c r="AO557" s="1">
        <v>1</v>
      </c>
      <c r="AP557" s="1">
        <v>1</v>
      </c>
      <c r="AQ557" s="1"/>
      <c r="AR557" s="1">
        <f t="shared" si="90"/>
        <v>2</v>
      </c>
      <c r="AS557" s="21">
        <v>1</v>
      </c>
      <c r="AT557" s="1">
        <f t="shared" si="85"/>
        <v>2</v>
      </c>
      <c r="AU557" s="31"/>
      <c r="AV557" s="31"/>
      <c r="AW557" s="31"/>
      <c r="AX557" s="16">
        <f t="shared" si="82"/>
        <v>1</v>
      </c>
      <c r="AY557" s="156">
        <v>1</v>
      </c>
      <c r="AZ557" s="76">
        <v>0</v>
      </c>
      <c r="BA557" s="31"/>
      <c r="BB557" s="31"/>
      <c r="BC557" s="31"/>
      <c r="BD557" s="16">
        <f t="shared" si="86"/>
        <v>0</v>
      </c>
      <c r="BE557" s="31"/>
      <c r="BF557" s="31"/>
      <c r="BG557" s="31"/>
      <c r="BH557" s="31"/>
      <c r="BI557" s="16"/>
      <c r="BJ557" s="16"/>
      <c r="BK557" s="31"/>
      <c r="BL557" s="31"/>
      <c r="BM557" s="31"/>
      <c r="BN557" s="31"/>
      <c r="BO557" s="16"/>
      <c r="BP557" s="31"/>
      <c r="BQ557" s="31"/>
      <c r="BR557" s="31"/>
      <c r="BS557" s="31"/>
      <c r="BT557" s="16"/>
      <c r="BU557" s="16"/>
      <c r="BV557" s="16"/>
      <c r="BW557" s="16"/>
      <c r="BX557" s="16"/>
      <c r="BY557" s="16"/>
      <c r="BZ557" s="16"/>
      <c r="CA557" s="1"/>
      <c r="CB557" s="1"/>
      <c r="CC557" s="22"/>
    </row>
    <row r="558" spans="1:81" s="52" customFormat="1" ht="63" x14ac:dyDescent="0.25">
      <c r="A558" s="1">
        <v>6</v>
      </c>
      <c r="B558" s="13" t="s">
        <v>1751</v>
      </c>
      <c r="C558" s="572"/>
      <c r="D558" s="573"/>
      <c r="E558" s="10" t="s">
        <v>1724</v>
      </c>
      <c r="F558" s="13" t="s">
        <v>1822</v>
      </c>
      <c r="G558" s="567">
        <f>+AVERAGEIF(F14:F567,F558,AX14:AX567)</f>
        <v>0.47291666666666665</v>
      </c>
      <c r="H558" s="569">
        <f>+AVERAGEIF(F14:F567,F558,BD14:BD567)</f>
        <v>0.14583333333333331</v>
      </c>
      <c r="I558" s="10" t="s">
        <v>1725</v>
      </c>
      <c r="J558" s="13" t="s">
        <v>1898</v>
      </c>
      <c r="K558" s="567">
        <f>AVERAGE(AX558:AX561)</f>
        <v>0.47291666666666665</v>
      </c>
      <c r="L558" s="569">
        <f>AVERAGE(BD558:BD561)</f>
        <v>0.14583333333333331</v>
      </c>
      <c r="M558" s="10"/>
      <c r="N558" s="10" t="s">
        <v>1726</v>
      </c>
      <c r="O558" s="10" t="s">
        <v>1726</v>
      </c>
      <c r="P558" s="1">
        <v>15</v>
      </c>
      <c r="Q558" s="1">
        <v>35</v>
      </c>
      <c r="R558" s="24"/>
      <c r="S558" s="13" t="s">
        <v>1727</v>
      </c>
      <c r="T558" s="13" t="s">
        <v>1211</v>
      </c>
      <c r="U558" s="1">
        <v>50</v>
      </c>
      <c r="V558" s="1">
        <v>100</v>
      </c>
      <c r="W558" s="1" t="s">
        <v>412</v>
      </c>
      <c r="X558" s="1"/>
      <c r="Y558" s="10" t="s">
        <v>1212</v>
      </c>
      <c r="Z558" s="1">
        <v>45</v>
      </c>
      <c r="AA558" s="24">
        <v>10</v>
      </c>
      <c r="AB558" s="10" t="s">
        <v>1333</v>
      </c>
      <c r="AC558" s="157">
        <v>10</v>
      </c>
      <c r="AD558" s="156">
        <v>15</v>
      </c>
      <c r="AE558" s="156"/>
      <c r="AF558" s="156"/>
      <c r="AG558" s="377">
        <f t="shared" si="87"/>
        <v>25</v>
      </c>
      <c r="AH558" s="377" t="b">
        <f t="shared" si="83"/>
        <v>0</v>
      </c>
      <c r="AI558" s="1">
        <v>0</v>
      </c>
      <c r="AJ558" s="1">
        <v>10</v>
      </c>
      <c r="AK558" s="1">
        <v>20</v>
      </c>
      <c r="AL558" s="1">
        <v>20</v>
      </c>
      <c r="AM558" s="16">
        <f t="shared" si="84"/>
        <v>0.2</v>
      </c>
      <c r="AN558" s="157">
        <v>10</v>
      </c>
      <c r="AO558" s="1">
        <v>0</v>
      </c>
      <c r="AP558" s="27">
        <v>10</v>
      </c>
      <c r="AQ558" s="27"/>
      <c r="AR558" s="27">
        <f t="shared" si="90"/>
        <v>20</v>
      </c>
      <c r="AS558" s="21">
        <v>1</v>
      </c>
      <c r="AT558" s="1">
        <f t="shared" si="85"/>
        <v>25</v>
      </c>
      <c r="AU558" s="31"/>
      <c r="AV558" s="31"/>
      <c r="AW558" s="31"/>
      <c r="AX558" s="16">
        <f t="shared" si="82"/>
        <v>0.25</v>
      </c>
      <c r="AY558" s="156">
        <v>15</v>
      </c>
      <c r="AZ558" s="76">
        <v>5</v>
      </c>
      <c r="BA558" s="31"/>
      <c r="BB558" s="31"/>
      <c r="BC558" s="31"/>
      <c r="BD558" s="16">
        <f t="shared" si="86"/>
        <v>0.33333333333333331</v>
      </c>
      <c r="BE558" s="31"/>
      <c r="BF558" s="31"/>
      <c r="BG558" s="31"/>
      <c r="BH558" s="31"/>
      <c r="BI558" s="16"/>
      <c r="BJ558" s="16"/>
      <c r="BK558" s="31"/>
      <c r="BL558" s="31"/>
      <c r="BM558" s="31"/>
      <c r="BN558" s="31"/>
      <c r="BO558" s="16"/>
      <c r="BP558" s="31"/>
      <c r="BQ558" s="31"/>
      <c r="BR558" s="31"/>
      <c r="BS558" s="31"/>
      <c r="BT558" s="16"/>
      <c r="BU558" s="16"/>
      <c r="BV558" s="16"/>
      <c r="BW558" s="16"/>
      <c r="BX558" s="16"/>
      <c r="BY558" s="16"/>
      <c r="BZ558" s="16"/>
      <c r="CA558" s="1"/>
      <c r="CB558" s="1"/>
      <c r="CC558" s="1"/>
    </row>
    <row r="559" spans="1:81" s="52" customFormat="1" ht="72.75" customHeight="1" x14ac:dyDescent="0.25">
      <c r="A559" s="1">
        <v>6</v>
      </c>
      <c r="B559" s="13" t="s">
        <v>1751</v>
      </c>
      <c r="C559" s="572"/>
      <c r="D559" s="573"/>
      <c r="E559" s="10" t="s">
        <v>1724</v>
      </c>
      <c r="F559" s="13" t="s">
        <v>1822</v>
      </c>
      <c r="G559" s="572"/>
      <c r="H559" s="573"/>
      <c r="I559" s="10" t="s">
        <v>1725</v>
      </c>
      <c r="J559" s="13" t="s">
        <v>1898</v>
      </c>
      <c r="K559" s="572"/>
      <c r="L559" s="573"/>
      <c r="M559" s="10"/>
      <c r="N559" s="10" t="s">
        <v>1726</v>
      </c>
      <c r="O559" s="10" t="s">
        <v>1726</v>
      </c>
      <c r="P559" s="1">
        <v>15</v>
      </c>
      <c r="Q559" s="1">
        <v>35</v>
      </c>
      <c r="R559" s="24"/>
      <c r="S559" s="13" t="s">
        <v>1728</v>
      </c>
      <c r="T559" s="13" t="s">
        <v>1728</v>
      </c>
      <c r="U559" s="1">
        <v>25</v>
      </c>
      <c r="V559" s="1">
        <v>40</v>
      </c>
      <c r="W559" s="1" t="s">
        <v>412</v>
      </c>
      <c r="X559" s="1"/>
      <c r="Y559" s="10" t="s">
        <v>1212</v>
      </c>
      <c r="Z559" s="1">
        <v>45</v>
      </c>
      <c r="AA559" s="24">
        <v>10</v>
      </c>
      <c r="AB559" s="10" t="s">
        <v>1333</v>
      </c>
      <c r="AC559" s="157">
        <v>5</v>
      </c>
      <c r="AD559" s="156">
        <v>15</v>
      </c>
      <c r="AE559" s="156"/>
      <c r="AF559" s="156"/>
      <c r="AG559" s="377">
        <f t="shared" si="87"/>
        <v>20</v>
      </c>
      <c r="AH559" s="377" t="b">
        <f t="shared" si="83"/>
        <v>0</v>
      </c>
      <c r="AI559" s="1" t="s">
        <v>1760</v>
      </c>
      <c r="AJ559" s="1">
        <v>5</v>
      </c>
      <c r="AK559" s="108">
        <v>5</v>
      </c>
      <c r="AL559" s="331">
        <v>25</v>
      </c>
      <c r="AM559" s="16">
        <f t="shared" si="84"/>
        <v>0.625</v>
      </c>
      <c r="AN559" s="157">
        <v>5</v>
      </c>
      <c r="AO559" s="1">
        <v>0</v>
      </c>
      <c r="AP559" s="27">
        <v>5</v>
      </c>
      <c r="AQ559" s="27"/>
      <c r="AR559" s="27">
        <f t="shared" si="90"/>
        <v>25</v>
      </c>
      <c r="AS559" s="21">
        <v>1</v>
      </c>
      <c r="AT559" s="1">
        <f t="shared" si="85"/>
        <v>25</v>
      </c>
      <c r="AU559" s="31"/>
      <c r="AV559" s="31"/>
      <c r="AW559" s="31"/>
      <c r="AX559" s="16">
        <f t="shared" si="82"/>
        <v>0.625</v>
      </c>
      <c r="AY559" s="156">
        <v>15</v>
      </c>
      <c r="AZ559" s="76">
        <v>0</v>
      </c>
      <c r="BA559" s="31"/>
      <c r="BB559" s="31"/>
      <c r="BC559" s="31"/>
      <c r="BD559" s="16">
        <f t="shared" si="86"/>
        <v>0</v>
      </c>
      <c r="BE559" s="31"/>
      <c r="BF559" s="31"/>
      <c r="BG559" s="31"/>
      <c r="BH559" s="31"/>
      <c r="BI559" s="16"/>
      <c r="BJ559" s="16"/>
      <c r="BK559" s="31"/>
      <c r="BL559" s="31"/>
      <c r="BM559" s="31"/>
      <c r="BN559" s="31"/>
      <c r="BO559" s="16"/>
      <c r="BP559" s="31"/>
      <c r="BQ559" s="31"/>
      <c r="BR559" s="31"/>
      <c r="BS559" s="31"/>
      <c r="BT559" s="16"/>
      <c r="BU559" s="16"/>
      <c r="BV559" s="16"/>
      <c r="BW559" s="16"/>
      <c r="BX559" s="16"/>
      <c r="BY559" s="16"/>
      <c r="BZ559" s="16"/>
      <c r="CA559" s="1"/>
      <c r="CB559" s="1"/>
      <c r="CC559" s="1"/>
    </row>
    <row r="560" spans="1:81" s="52" customFormat="1" ht="63" x14ac:dyDescent="0.25">
      <c r="A560" s="1">
        <v>6</v>
      </c>
      <c r="B560" s="13" t="s">
        <v>1751</v>
      </c>
      <c r="C560" s="572"/>
      <c r="D560" s="573"/>
      <c r="E560" s="10" t="s">
        <v>1724</v>
      </c>
      <c r="F560" s="13" t="s">
        <v>1822</v>
      </c>
      <c r="G560" s="572"/>
      <c r="H560" s="573"/>
      <c r="I560" s="10" t="s">
        <v>1725</v>
      </c>
      <c r="J560" s="13" t="s">
        <v>1898</v>
      </c>
      <c r="K560" s="572"/>
      <c r="L560" s="573"/>
      <c r="M560" s="10"/>
      <c r="N560" s="10" t="s">
        <v>1726</v>
      </c>
      <c r="O560" s="10" t="s">
        <v>1726</v>
      </c>
      <c r="P560" s="1">
        <v>15</v>
      </c>
      <c r="Q560" s="1">
        <v>35</v>
      </c>
      <c r="R560" s="24"/>
      <c r="S560" s="13" t="s">
        <v>1729</v>
      </c>
      <c r="T560" s="13" t="s">
        <v>1729</v>
      </c>
      <c r="U560" s="1">
        <v>0</v>
      </c>
      <c r="V560" s="1">
        <v>6</v>
      </c>
      <c r="W560" s="1" t="s">
        <v>412</v>
      </c>
      <c r="X560" s="1"/>
      <c r="Y560" s="10" t="s">
        <v>1212</v>
      </c>
      <c r="Z560" s="1">
        <v>45</v>
      </c>
      <c r="AA560" s="24">
        <v>10</v>
      </c>
      <c r="AB560" s="10" t="s">
        <v>2006</v>
      </c>
      <c r="AC560" s="157">
        <v>1</v>
      </c>
      <c r="AD560" s="156">
        <v>2</v>
      </c>
      <c r="AE560" s="156">
        <v>2</v>
      </c>
      <c r="AF560" s="156">
        <v>1</v>
      </c>
      <c r="AG560" s="377">
        <f t="shared" si="87"/>
        <v>6</v>
      </c>
      <c r="AH560" s="377" t="b">
        <f t="shared" si="83"/>
        <v>1</v>
      </c>
      <c r="AI560" s="1">
        <v>0</v>
      </c>
      <c r="AJ560" s="1">
        <v>1</v>
      </c>
      <c r="AK560" s="1">
        <v>2</v>
      </c>
      <c r="AL560" s="1">
        <v>2</v>
      </c>
      <c r="AM560" s="16">
        <f t="shared" si="84"/>
        <v>0.33333333333333331</v>
      </c>
      <c r="AN560" s="157">
        <v>1</v>
      </c>
      <c r="AO560" s="1">
        <v>0</v>
      </c>
      <c r="AP560" s="27">
        <v>1</v>
      </c>
      <c r="AQ560" s="27"/>
      <c r="AR560" s="27">
        <f t="shared" si="90"/>
        <v>2</v>
      </c>
      <c r="AS560" s="21">
        <v>1</v>
      </c>
      <c r="AT560" s="1">
        <f t="shared" si="85"/>
        <v>2.5</v>
      </c>
      <c r="AU560" s="31"/>
      <c r="AV560" s="31"/>
      <c r="AW560" s="31"/>
      <c r="AX560" s="16">
        <f t="shared" si="82"/>
        <v>0.41666666666666669</v>
      </c>
      <c r="AY560" s="156">
        <v>2</v>
      </c>
      <c r="AZ560" s="76">
        <v>0.5</v>
      </c>
      <c r="BA560" s="31"/>
      <c r="BB560" s="31"/>
      <c r="BC560" s="31"/>
      <c r="BD560" s="16">
        <f t="shared" si="86"/>
        <v>0.25</v>
      </c>
      <c r="BE560" s="31"/>
      <c r="BF560" s="31"/>
      <c r="BG560" s="31"/>
      <c r="BH560" s="31"/>
      <c r="BI560" s="16"/>
      <c r="BJ560" s="16"/>
      <c r="BK560" s="31"/>
      <c r="BL560" s="31"/>
      <c r="BM560" s="31"/>
      <c r="BN560" s="31"/>
      <c r="BO560" s="16"/>
      <c r="BP560" s="31"/>
      <c r="BQ560" s="31"/>
      <c r="BR560" s="31"/>
      <c r="BS560" s="31"/>
      <c r="BT560" s="16"/>
      <c r="BU560" s="16"/>
      <c r="BV560" s="16"/>
      <c r="BW560" s="16"/>
      <c r="BX560" s="16"/>
      <c r="BY560" s="16"/>
      <c r="BZ560" s="16"/>
      <c r="CA560" s="1"/>
      <c r="CB560" s="1"/>
      <c r="CC560" s="1"/>
    </row>
    <row r="561" spans="1:81" s="52" customFormat="1" ht="78.75" x14ac:dyDescent="0.25">
      <c r="A561" s="1">
        <v>6</v>
      </c>
      <c r="B561" s="13" t="s">
        <v>1751</v>
      </c>
      <c r="C561" s="572"/>
      <c r="D561" s="573"/>
      <c r="E561" s="10" t="s">
        <v>1724</v>
      </c>
      <c r="F561" s="13" t="s">
        <v>1822</v>
      </c>
      <c r="G561" s="572"/>
      <c r="H561" s="573"/>
      <c r="I561" s="10" t="s">
        <v>1725</v>
      </c>
      <c r="J561" s="13" t="s">
        <v>1898</v>
      </c>
      <c r="K561" s="572"/>
      <c r="L561" s="573"/>
      <c r="M561" s="10"/>
      <c r="N561" s="10" t="s">
        <v>1726</v>
      </c>
      <c r="O561" s="10" t="s">
        <v>1726</v>
      </c>
      <c r="P561" s="1">
        <v>15</v>
      </c>
      <c r="Q561" s="1">
        <v>35</v>
      </c>
      <c r="R561" s="24"/>
      <c r="S561" s="13" t="s">
        <v>1730</v>
      </c>
      <c r="T561" s="13" t="s">
        <v>1730</v>
      </c>
      <c r="U561" s="1">
        <v>0</v>
      </c>
      <c r="V561" s="1">
        <v>50</v>
      </c>
      <c r="W561" s="1" t="s">
        <v>412</v>
      </c>
      <c r="X561" s="1"/>
      <c r="Y561" s="10" t="s">
        <v>1212</v>
      </c>
      <c r="Z561" s="1">
        <v>45</v>
      </c>
      <c r="AA561" s="24">
        <v>10</v>
      </c>
      <c r="AB561" s="10" t="s">
        <v>1333</v>
      </c>
      <c r="AC561" s="157">
        <v>5</v>
      </c>
      <c r="AD561" s="156">
        <v>25</v>
      </c>
      <c r="AE561" s="156">
        <v>10</v>
      </c>
      <c r="AF561" s="156">
        <v>10</v>
      </c>
      <c r="AG561" s="377">
        <f t="shared" si="87"/>
        <v>50</v>
      </c>
      <c r="AH561" s="377" t="b">
        <f t="shared" si="83"/>
        <v>1</v>
      </c>
      <c r="AI561" s="1">
        <v>0</v>
      </c>
      <c r="AJ561" s="1">
        <v>5</v>
      </c>
      <c r="AK561" s="1">
        <v>30</v>
      </c>
      <c r="AL561" s="1">
        <v>30</v>
      </c>
      <c r="AM561" s="16">
        <f t="shared" si="84"/>
        <v>0.6</v>
      </c>
      <c r="AN561" s="157">
        <v>5</v>
      </c>
      <c r="AO561" s="1">
        <v>0</v>
      </c>
      <c r="AP561" s="27">
        <v>5</v>
      </c>
      <c r="AQ561" s="27"/>
      <c r="AR561" s="27">
        <f t="shared" si="90"/>
        <v>30</v>
      </c>
      <c r="AS561" s="21">
        <v>1</v>
      </c>
      <c r="AT561" s="1">
        <f t="shared" si="85"/>
        <v>30</v>
      </c>
      <c r="AU561" s="31"/>
      <c r="AV561" s="31"/>
      <c r="AW561" s="31"/>
      <c r="AX561" s="16">
        <f t="shared" si="82"/>
        <v>0.6</v>
      </c>
      <c r="AY561" s="156">
        <v>25</v>
      </c>
      <c r="AZ561" s="76">
        <v>0</v>
      </c>
      <c r="BA561" s="31"/>
      <c r="BB561" s="31"/>
      <c r="BC561" s="31"/>
      <c r="BD561" s="16">
        <f t="shared" si="86"/>
        <v>0</v>
      </c>
      <c r="BE561" s="31"/>
      <c r="BF561" s="31"/>
      <c r="BG561" s="31"/>
      <c r="BH561" s="31"/>
      <c r="BI561" s="16"/>
      <c r="BJ561" s="16"/>
      <c r="BK561" s="31"/>
      <c r="BL561" s="31"/>
      <c r="BM561" s="31"/>
      <c r="BN561" s="31"/>
      <c r="BO561" s="16"/>
      <c r="BP561" s="31"/>
      <c r="BQ561" s="31"/>
      <c r="BR561" s="31"/>
      <c r="BS561" s="31"/>
      <c r="BT561" s="16"/>
      <c r="BU561" s="16"/>
      <c r="BV561" s="16"/>
      <c r="BW561" s="16"/>
      <c r="BX561" s="16"/>
      <c r="BY561" s="16"/>
      <c r="BZ561" s="16"/>
      <c r="CA561" s="1"/>
      <c r="CB561" s="1"/>
      <c r="CC561" s="1"/>
    </row>
    <row r="562" spans="1:81" s="52" customFormat="1" ht="63" x14ac:dyDescent="0.25">
      <c r="A562" s="1">
        <v>6</v>
      </c>
      <c r="B562" s="13" t="s">
        <v>1751</v>
      </c>
      <c r="C562" s="572"/>
      <c r="D562" s="573"/>
      <c r="E562" s="10" t="s">
        <v>1731</v>
      </c>
      <c r="F562" s="13" t="s">
        <v>1823</v>
      </c>
      <c r="G562" s="567">
        <f>+AVERAGEIF(F14:F567,F562,AX14:AX567)</f>
        <v>0.2</v>
      </c>
      <c r="H562" s="569">
        <f>+AVERAGEIF(F14:F567,F562,BD14:BD567)</f>
        <v>0.31666666666666665</v>
      </c>
      <c r="I562" s="10" t="s">
        <v>1732</v>
      </c>
      <c r="J562" s="13" t="s">
        <v>1899</v>
      </c>
      <c r="K562" s="567">
        <f>AVERAGE(AX562:AX563)</f>
        <v>0.2</v>
      </c>
      <c r="L562" s="569">
        <f>AVERAGE(BD562:BD563)</f>
        <v>0.31666666666666665</v>
      </c>
      <c r="M562" s="10"/>
      <c r="N562" s="10" t="s">
        <v>1733</v>
      </c>
      <c r="O562" s="10" t="s">
        <v>1733</v>
      </c>
      <c r="P562" s="1">
        <v>5</v>
      </c>
      <c r="Q562" s="1">
        <v>45</v>
      </c>
      <c r="R562" s="24"/>
      <c r="S562" s="13" t="s">
        <v>1734</v>
      </c>
      <c r="T562" s="13" t="s">
        <v>1734</v>
      </c>
      <c r="U562" s="1">
        <v>50</v>
      </c>
      <c r="V562" s="1">
        <v>100</v>
      </c>
      <c r="W562" s="1" t="s">
        <v>412</v>
      </c>
      <c r="X562" s="1"/>
      <c r="Y562" s="10" t="s">
        <v>1212</v>
      </c>
      <c r="Z562" s="1">
        <v>45</v>
      </c>
      <c r="AA562" s="24">
        <v>10</v>
      </c>
      <c r="AB562" s="10" t="s">
        <v>1333</v>
      </c>
      <c r="AC562" s="157">
        <v>10</v>
      </c>
      <c r="AD562" s="156">
        <v>15</v>
      </c>
      <c r="AE562" s="156">
        <v>15</v>
      </c>
      <c r="AF562" s="156">
        <v>10</v>
      </c>
      <c r="AG562" s="377">
        <f t="shared" si="87"/>
        <v>50</v>
      </c>
      <c r="AH562" s="377" t="b">
        <f t="shared" si="83"/>
        <v>0</v>
      </c>
      <c r="AI562" s="26">
        <v>0.1</v>
      </c>
      <c r="AJ562" s="1">
        <v>10</v>
      </c>
      <c r="AK562" s="1">
        <v>20</v>
      </c>
      <c r="AL562" s="1">
        <v>20</v>
      </c>
      <c r="AM562" s="16">
        <f t="shared" si="84"/>
        <v>0.2</v>
      </c>
      <c r="AN562" s="157">
        <v>10</v>
      </c>
      <c r="AO562" s="1">
        <v>5</v>
      </c>
      <c r="AP562" s="27">
        <v>10</v>
      </c>
      <c r="AQ562" s="27"/>
      <c r="AR562" s="27">
        <f t="shared" ref="AR562:AR567" si="91">AL562</f>
        <v>20</v>
      </c>
      <c r="AS562" s="21">
        <v>1</v>
      </c>
      <c r="AT562" s="1">
        <f t="shared" si="85"/>
        <v>25</v>
      </c>
      <c r="AU562" s="31"/>
      <c r="AV562" s="31"/>
      <c r="AW562" s="31"/>
      <c r="AX562" s="16">
        <f t="shared" si="82"/>
        <v>0.25</v>
      </c>
      <c r="AY562" s="156">
        <v>15</v>
      </c>
      <c r="AZ562" s="76">
        <v>5</v>
      </c>
      <c r="BA562" s="31"/>
      <c r="BB562" s="31"/>
      <c r="BC562" s="31"/>
      <c r="BD562" s="16">
        <f t="shared" si="86"/>
        <v>0.33333333333333331</v>
      </c>
      <c r="BE562" s="31"/>
      <c r="BF562" s="31"/>
      <c r="BG562" s="31"/>
      <c r="BH562" s="31"/>
      <c r="BI562" s="16"/>
      <c r="BJ562" s="16"/>
      <c r="BK562" s="31"/>
      <c r="BL562" s="31"/>
      <c r="BM562" s="31"/>
      <c r="BN562" s="31"/>
      <c r="BO562" s="16"/>
      <c r="BP562" s="31"/>
      <c r="BQ562" s="31"/>
      <c r="BR562" s="31"/>
      <c r="BS562" s="31"/>
      <c r="BT562" s="16"/>
      <c r="BU562" s="16"/>
      <c r="BV562" s="16"/>
      <c r="BW562" s="16"/>
      <c r="BX562" s="16"/>
      <c r="BY562" s="16"/>
      <c r="BZ562" s="16"/>
      <c r="CA562" s="1"/>
      <c r="CB562" s="1"/>
      <c r="CC562" s="1"/>
    </row>
    <row r="563" spans="1:81" s="52" customFormat="1" ht="132.75" customHeight="1" x14ac:dyDescent="0.25">
      <c r="A563" s="1">
        <v>6</v>
      </c>
      <c r="B563" s="13" t="s">
        <v>1751</v>
      </c>
      <c r="C563" s="572"/>
      <c r="D563" s="573"/>
      <c r="E563" s="10" t="s">
        <v>1731</v>
      </c>
      <c r="F563" s="13" t="s">
        <v>1823</v>
      </c>
      <c r="G563" s="568"/>
      <c r="H563" s="570"/>
      <c r="I563" s="10" t="s">
        <v>1732</v>
      </c>
      <c r="J563" s="13" t="s">
        <v>1899</v>
      </c>
      <c r="K563" s="568"/>
      <c r="L563" s="570"/>
      <c r="M563" s="10"/>
      <c r="N563" s="10" t="s">
        <v>1733</v>
      </c>
      <c r="O563" s="10" t="s">
        <v>1733</v>
      </c>
      <c r="P563" s="1">
        <v>5</v>
      </c>
      <c r="Q563" s="1">
        <v>45</v>
      </c>
      <c r="R563" s="24"/>
      <c r="S563" s="13" t="s">
        <v>1735</v>
      </c>
      <c r="T563" s="13" t="s">
        <v>1735</v>
      </c>
      <c r="U563" s="1">
        <v>100</v>
      </c>
      <c r="V563" s="1">
        <v>100</v>
      </c>
      <c r="W563" s="1" t="s">
        <v>420</v>
      </c>
      <c r="X563" s="1"/>
      <c r="Y563" s="10" t="s">
        <v>1212</v>
      </c>
      <c r="Z563" s="1">
        <v>45</v>
      </c>
      <c r="AA563" s="24">
        <v>10</v>
      </c>
      <c r="AB563" s="10" t="s">
        <v>1333</v>
      </c>
      <c r="AC563" s="157">
        <v>25</v>
      </c>
      <c r="AD563" s="156">
        <v>100</v>
      </c>
      <c r="AE563" s="156">
        <v>100</v>
      </c>
      <c r="AF563" s="156">
        <v>100</v>
      </c>
      <c r="AG563" s="377">
        <f t="shared" si="87"/>
        <v>325</v>
      </c>
      <c r="AH563" s="377" t="b">
        <f t="shared" si="83"/>
        <v>0</v>
      </c>
      <c r="AI563" s="1">
        <v>0</v>
      </c>
      <c r="AJ563" s="1">
        <v>25</v>
      </c>
      <c r="AK563" s="1">
        <v>30</v>
      </c>
      <c r="AL563" s="1">
        <v>30</v>
      </c>
      <c r="AM563" s="16">
        <f t="shared" si="84"/>
        <v>0.3</v>
      </c>
      <c r="AN563" s="157">
        <v>25</v>
      </c>
      <c r="AO563" s="1">
        <v>1</v>
      </c>
      <c r="AP563" s="27">
        <v>25</v>
      </c>
      <c r="AQ563" s="27"/>
      <c r="AR563" s="27">
        <f t="shared" si="91"/>
        <v>30</v>
      </c>
      <c r="AS563" s="21">
        <v>1</v>
      </c>
      <c r="AT563" s="1">
        <f t="shared" si="85"/>
        <v>15</v>
      </c>
      <c r="AU563" s="31"/>
      <c r="AV563" s="31"/>
      <c r="AW563" s="31"/>
      <c r="AX563" s="16">
        <f t="shared" si="82"/>
        <v>0.15</v>
      </c>
      <c r="AY563" s="156">
        <v>100</v>
      </c>
      <c r="AZ563" s="76">
        <v>30</v>
      </c>
      <c r="BA563" s="31"/>
      <c r="BB563" s="31"/>
      <c r="BC563" s="31"/>
      <c r="BD563" s="16">
        <f t="shared" si="86"/>
        <v>0.3</v>
      </c>
      <c r="BE563" s="31"/>
      <c r="BF563" s="31"/>
      <c r="BG563" s="31"/>
      <c r="BH563" s="31"/>
      <c r="BI563" s="16"/>
      <c r="BJ563" s="16"/>
      <c r="BK563" s="31"/>
      <c r="BL563" s="31"/>
      <c r="BM563" s="31"/>
      <c r="BN563" s="31"/>
      <c r="BO563" s="16"/>
      <c r="BP563" s="31"/>
      <c r="BQ563" s="31"/>
      <c r="BR563" s="31"/>
      <c r="BS563" s="31"/>
      <c r="BT563" s="16"/>
      <c r="BU563" s="16"/>
      <c r="BV563" s="16"/>
      <c r="BW563" s="16"/>
      <c r="BX563" s="16"/>
      <c r="BY563" s="16"/>
      <c r="BZ563" s="16"/>
      <c r="CA563" s="1"/>
      <c r="CB563" s="1"/>
      <c r="CC563" s="1"/>
    </row>
    <row r="564" spans="1:81" s="52" customFormat="1" ht="73.5" customHeight="1" x14ac:dyDescent="0.25">
      <c r="A564" s="1">
        <v>6</v>
      </c>
      <c r="B564" s="13" t="s">
        <v>1751</v>
      </c>
      <c r="C564" s="572"/>
      <c r="D564" s="573"/>
      <c r="E564" s="10" t="s">
        <v>1736</v>
      </c>
      <c r="F564" s="13" t="s">
        <v>1824</v>
      </c>
      <c r="G564" s="567">
        <f>+AVERAGEIF(F14:F567,F564,AX14:AX567)</f>
        <v>0.15</v>
      </c>
      <c r="H564" s="569">
        <f>+AVERAGEIF(F14:F567,F564,BD14:BD567)</f>
        <v>0.16666666666666666</v>
      </c>
      <c r="I564" s="10" t="s">
        <v>1737</v>
      </c>
      <c r="J564" s="13" t="s">
        <v>1832</v>
      </c>
      <c r="K564" s="567">
        <f>AVERAGE(AX564:AX565)</f>
        <v>0.15</v>
      </c>
      <c r="L564" s="569">
        <f>AVERAGE(BD564:BD565)</f>
        <v>0.16666666666666666</v>
      </c>
      <c r="M564" s="10"/>
      <c r="N564" s="10" t="s">
        <v>1738</v>
      </c>
      <c r="O564" s="10" t="s">
        <v>1738</v>
      </c>
      <c r="P564" s="1">
        <v>416</v>
      </c>
      <c r="Q564" s="1">
        <v>120</v>
      </c>
      <c r="R564" s="24"/>
      <c r="S564" s="13" t="s">
        <v>1739</v>
      </c>
      <c r="T564" s="13" t="s">
        <v>1739</v>
      </c>
      <c r="U564" s="1">
        <v>0</v>
      </c>
      <c r="V564" s="1">
        <v>50</v>
      </c>
      <c r="W564" s="1" t="s">
        <v>412</v>
      </c>
      <c r="X564" s="1"/>
      <c r="Y564" s="10" t="s">
        <v>1212</v>
      </c>
      <c r="Z564" s="1">
        <v>45</v>
      </c>
      <c r="AA564" s="24">
        <v>10</v>
      </c>
      <c r="AB564" s="10" t="s">
        <v>1333</v>
      </c>
      <c r="AC564" s="157">
        <v>5</v>
      </c>
      <c r="AD564" s="156">
        <v>15</v>
      </c>
      <c r="AE564" s="156">
        <v>20</v>
      </c>
      <c r="AF564" s="156">
        <v>10</v>
      </c>
      <c r="AG564" s="377">
        <f t="shared" si="87"/>
        <v>50</v>
      </c>
      <c r="AH564" s="377" t="b">
        <f t="shared" si="83"/>
        <v>1</v>
      </c>
      <c r="AI564" s="1">
        <v>0</v>
      </c>
      <c r="AJ564" s="1">
        <v>4</v>
      </c>
      <c r="AK564" s="1">
        <v>10</v>
      </c>
      <c r="AL564" s="1">
        <v>10</v>
      </c>
      <c r="AM564" s="16">
        <f t="shared" si="84"/>
        <v>0.2</v>
      </c>
      <c r="AN564" s="157">
        <v>5</v>
      </c>
      <c r="AO564" s="1">
        <v>0</v>
      </c>
      <c r="AP564" s="27">
        <v>5</v>
      </c>
      <c r="AQ564" s="27"/>
      <c r="AR564" s="27">
        <f t="shared" si="91"/>
        <v>10</v>
      </c>
      <c r="AS564" s="21">
        <v>1</v>
      </c>
      <c r="AT564" s="1">
        <f t="shared" ref="AT564:AT566" si="92">IF(W564="Mantenimiento",(AL564+AZ564)/4*100%,AL564+AZ564)</f>
        <v>15</v>
      </c>
      <c r="AU564" s="31"/>
      <c r="AV564" s="31"/>
      <c r="AW564" s="31"/>
      <c r="AX564" s="16">
        <f t="shared" si="82"/>
        <v>0.3</v>
      </c>
      <c r="AY564" s="156">
        <v>15</v>
      </c>
      <c r="AZ564" s="76">
        <v>5</v>
      </c>
      <c r="BA564" s="31"/>
      <c r="BB564" s="31"/>
      <c r="BC564" s="31"/>
      <c r="BD564" s="16">
        <f t="shared" si="86"/>
        <v>0.33333333333333331</v>
      </c>
      <c r="BE564" s="31"/>
      <c r="BF564" s="31"/>
      <c r="BG564" s="31"/>
      <c r="BH564" s="31"/>
      <c r="BI564" s="16"/>
      <c r="BJ564" s="16"/>
      <c r="BK564" s="31"/>
      <c r="BL564" s="31"/>
      <c r="BM564" s="31"/>
      <c r="BN564" s="31"/>
      <c r="BO564" s="16"/>
      <c r="BP564" s="31"/>
      <c r="BQ564" s="31"/>
      <c r="BR564" s="31"/>
      <c r="BS564" s="31"/>
      <c r="BT564" s="16"/>
      <c r="BU564" s="16"/>
      <c r="BV564" s="16"/>
      <c r="BW564" s="16"/>
      <c r="BX564" s="16"/>
      <c r="BY564" s="16"/>
      <c r="BZ564" s="16"/>
      <c r="CA564" s="1"/>
      <c r="CB564" s="1"/>
      <c r="CC564" s="1"/>
    </row>
    <row r="565" spans="1:81" s="52" customFormat="1" ht="78" customHeight="1" x14ac:dyDescent="0.25">
      <c r="A565" s="1">
        <v>6</v>
      </c>
      <c r="B565" s="13" t="s">
        <v>1751</v>
      </c>
      <c r="C565" s="572"/>
      <c r="D565" s="573"/>
      <c r="E565" s="10" t="s">
        <v>1736</v>
      </c>
      <c r="F565" s="13" t="s">
        <v>1824</v>
      </c>
      <c r="G565" s="568"/>
      <c r="H565" s="570"/>
      <c r="I565" s="10" t="s">
        <v>1737</v>
      </c>
      <c r="J565" s="13" t="s">
        <v>1832</v>
      </c>
      <c r="K565" s="568"/>
      <c r="L565" s="570"/>
      <c r="M565" s="10"/>
      <c r="N565" s="10" t="s">
        <v>1738</v>
      </c>
      <c r="O565" s="10" t="s">
        <v>1738</v>
      </c>
      <c r="P565" s="1">
        <v>416</v>
      </c>
      <c r="Q565" s="1">
        <v>120</v>
      </c>
      <c r="R565" s="24"/>
      <c r="S565" s="13" t="s">
        <v>1740</v>
      </c>
      <c r="T565" s="13" t="s">
        <v>1740</v>
      </c>
      <c r="U565" s="1">
        <v>0</v>
      </c>
      <c r="V565" s="1">
        <v>100</v>
      </c>
      <c r="W565" s="1" t="s">
        <v>412</v>
      </c>
      <c r="X565" s="1"/>
      <c r="Y565" s="10" t="s">
        <v>1212</v>
      </c>
      <c r="Z565" s="1">
        <v>45</v>
      </c>
      <c r="AA565" s="24">
        <v>10</v>
      </c>
      <c r="AB565" s="10" t="s">
        <v>1333</v>
      </c>
      <c r="AC565" s="157">
        <v>5</v>
      </c>
      <c r="AD565" s="156">
        <v>45</v>
      </c>
      <c r="AE565" s="156">
        <v>25</v>
      </c>
      <c r="AF565" s="156">
        <v>25</v>
      </c>
      <c r="AG565" s="377">
        <f t="shared" si="87"/>
        <v>100</v>
      </c>
      <c r="AH565" s="377" t="b">
        <f t="shared" si="83"/>
        <v>1</v>
      </c>
      <c r="AI565" s="1">
        <v>0</v>
      </c>
      <c r="AJ565" s="1">
        <v>5</v>
      </c>
      <c r="AK565" s="1"/>
      <c r="AL565" s="1"/>
      <c r="AM565" s="16">
        <f t="shared" si="84"/>
        <v>0</v>
      </c>
      <c r="AN565" s="157">
        <v>5</v>
      </c>
      <c r="AO565" s="1">
        <v>0</v>
      </c>
      <c r="AP565" s="27">
        <v>5</v>
      </c>
      <c r="AQ565" s="27"/>
      <c r="AR565" s="27">
        <f t="shared" si="91"/>
        <v>0</v>
      </c>
      <c r="AS565" s="21">
        <f>IFERROR(+AR565/AN565,0)</f>
        <v>0</v>
      </c>
      <c r="AT565" s="1">
        <f t="shared" si="92"/>
        <v>0</v>
      </c>
      <c r="AU565" s="31"/>
      <c r="AV565" s="31"/>
      <c r="AW565" s="31"/>
      <c r="AX565" s="16">
        <f t="shared" si="82"/>
        <v>0</v>
      </c>
      <c r="AY565" s="156">
        <v>45</v>
      </c>
      <c r="AZ565" s="76">
        <v>0</v>
      </c>
      <c r="BA565" s="31"/>
      <c r="BB565" s="31"/>
      <c r="BC565" s="31"/>
      <c r="BD565" s="16">
        <f t="shared" si="86"/>
        <v>0</v>
      </c>
      <c r="BE565" s="31"/>
      <c r="BF565" s="31"/>
      <c r="BG565" s="31"/>
      <c r="BH565" s="31"/>
      <c r="BI565" s="16"/>
      <c r="BJ565" s="16"/>
      <c r="BK565" s="31"/>
      <c r="BL565" s="31"/>
      <c r="BM565" s="31"/>
      <c r="BN565" s="31"/>
      <c r="BO565" s="16"/>
      <c r="BP565" s="31"/>
      <c r="BQ565" s="31"/>
      <c r="BR565" s="31"/>
      <c r="BS565" s="31"/>
      <c r="BT565" s="16"/>
      <c r="BU565" s="16"/>
      <c r="BV565" s="16"/>
      <c r="BW565" s="16"/>
      <c r="BX565" s="16"/>
      <c r="BY565" s="16"/>
      <c r="BZ565" s="16"/>
      <c r="CA565" s="1"/>
      <c r="CB565" s="1"/>
      <c r="CC565" s="1"/>
    </row>
    <row r="566" spans="1:81" s="52" customFormat="1" ht="91.5" customHeight="1" x14ac:dyDescent="0.25">
      <c r="A566" s="1">
        <v>6</v>
      </c>
      <c r="B566" s="13" t="s">
        <v>1751</v>
      </c>
      <c r="C566" s="572"/>
      <c r="D566" s="573"/>
      <c r="E566" s="10" t="s">
        <v>1741</v>
      </c>
      <c r="F566" s="13" t="s">
        <v>1825</v>
      </c>
      <c r="G566" s="567">
        <f>+AVERAGEIF(F14:F567,F566,AX14:AX567)</f>
        <v>0</v>
      </c>
      <c r="H566" s="569">
        <f>+AVERAGEIF(F14:F567,F566,BD14:BD567)</f>
        <v>0</v>
      </c>
      <c r="I566" s="10" t="s">
        <v>1742</v>
      </c>
      <c r="J566" s="13" t="s">
        <v>1900</v>
      </c>
      <c r="K566" s="567">
        <f>AVERAGE(AX566:AX567)</f>
        <v>0</v>
      </c>
      <c r="L566" s="569">
        <f>AVERAGE(BD566:BD567)</f>
        <v>0</v>
      </c>
      <c r="M566" s="10"/>
      <c r="N566" s="10" t="s">
        <v>1743</v>
      </c>
      <c r="O566" s="10" t="s">
        <v>1743</v>
      </c>
      <c r="P566" s="1">
        <v>0</v>
      </c>
      <c r="Q566" s="1">
        <v>30</v>
      </c>
      <c r="R566" s="24"/>
      <c r="S566" s="13" t="s">
        <v>1744</v>
      </c>
      <c r="T566" s="13" t="s">
        <v>1744</v>
      </c>
      <c r="U566" s="1">
        <v>0</v>
      </c>
      <c r="V566" s="1">
        <v>1</v>
      </c>
      <c r="W566" s="1" t="s">
        <v>412</v>
      </c>
      <c r="X566" s="1"/>
      <c r="Y566" s="10" t="s">
        <v>1212</v>
      </c>
      <c r="Z566" s="1">
        <v>45</v>
      </c>
      <c r="AA566" s="24">
        <v>16</v>
      </c>
      <c r="AB566" s="10" t="s">
        <v>1333</v>
      </c>
      <c r="AC566" s="157">
        <v>0.5</v>
      </c>
      <c r="AD566" s="156">
        <v>1</v>
      </c>
      <c r="AE566" s="156"/>
      <c r="AF566" s="156"/>
      <c r="AG566" s="377">
        <f t="shared" si="87"/>
        <v>1.5</v>
      </c>
      <c r="AH566" s="377" t="b">
        <f t="shared" si="83"/>
        <v>0</v>
      </c>
      <c r="AI566" s="1">
        <v>0</v>
      </c>
      <c r="AJ566" s="1">
        <v>0.5</v>
      </c>
      <c r="AK566" s="1"/>
      <c r="AL566" s="1"/>
      <c r="AM566" s="16">
        <f t="shared" si="84"/>
        <v>0</v>
      </c>
      <c r="AN566" s="157">
        <v>0.5</v>
      </c>
      <c r="AO566" s="1">
        <v>0</v>
      </c>
      <c r="AP566" s="27">
        <v>0.5</v>
      </c>
      <c r="AQ566" s="27"/>
      <c r="AR566" s="27">
        <f t="shared" si="91"/>
        <v>0</v>
      </c>
      <c r="AS566" s="21">
        <f>IFERROR(+AR566/AN566,0)</f>
        <v>0</v>
      </c>
      <c r="AT566" s="1">
        <f t="shared" si="92"/>
        <v>0</v>
      </c>
      <c r="AU566" s="31"/>
      <c r="AV566" s="31"/>
      <c r="AW566" s="31"/>
      <c r="AX566" s="16">
        <f t="shared" si="82"/>
        <v>0</v>
      </c>
      <c r="AY566" s="156">
        <v>1</v>
      </c>
      <c r="AZ566" s="76">
        <v>0</v>
      </c>
      <c r="BA566" s="31"/>
      <c r="BB566" s="31"/>
      <c r="BC566" s="31"/>
      <c r="BD566" s="16">
        <f t="shared" si="86"/>
        <v>0</v>
      </c>
      <c r="BE566" s="31"/>
      <c r="BF566" s="31"/>
      <c r="BG566" s="31"/>
      <c r="BH566" s="31"/>
      <c r="BI566" s="16"/>
      <c r="BJ566" s="16"/>
      <c r="BK566" s="31"/>
      <c r="BL566" s="31"/>
      <c r="BM566" s="31"/>
      <c r="BN566" s="31"/>
      <c r="BO566" s="16"/>
      <c r="BP566" s="31"/>
      <c r="BQ566" s="31"/>
      <c r="BR566" s="31"/>
      <c r="BS566" s="31"/>
      <c r="BT566" s="16"/>
      <c r="BU566" s="16"/>
      <c r="BV566" s="16"/>
      <c r="BW566" s="16"/>
      <c r="BX566" s="16"/>
      <c r="BY566" s="16"/>
      <c r="BZ566" s="16"/>
      <c r="CA566" s="1"/>
      <c r="CB566" s="1"/>
      <c r="CC566" s="1"/>
    </row>
    <row r="567" spans="1:81" s="447" customFormat="1" ht="98.25" customHeight="1" x14ac:dyDescent="0.25">
      <c r="A567" s="1">
        <v>6</v>
      </c>
      <c r="B567" s="13" t="s">
        <v>1751</v>
      </c>
      <c r="C567" s="568"/>
      <c r="D567" s="570"/>
      <c r="E567" s="10" t="s">
        <v>1741</v>
      </c>
      <c r="F567" s="13" t="s">
        <v>1825</v>
      </c>
      <c r="G567" s="568"/>
      <c r="H567" s="570"/>
      <c r="I567" s="10" t="s">
        <v>1742</v>
      </c>
      <c r="J567" s="443" t="s">
        <v>1900</v>
      </c>
      <c r="K567" s="571"/>
      <c r="L567" s="571"/>
      <c r="M567" s="444"/>
      <c r="N567" s="10" t="s">
        <v>1743</v>
      </c>
      <c r="O567" s="10" t="s">
        <v>1743</v>
      </c>
      <c r="P567" s="1">
        <v>0</v>
      </c>
      <c r="Q567" s="1">
        <v>30</v>
      </c>
      <c r="R567" s="24"/>
      <c r="S567" s="443" t="s">
        <v>1745</v>
      </c>
      <c r="T567" s="13" t="s">
        <v>1745</v>
      </c>
      <c r="U567" s="445">
        <v>0</v>
      </c>
      <c r="V567" s="445">
        <v>400</v>
      </c>
      <c r="W567" s="445" t="s">
        <v>412</v>
      </c>
      <c r="X567" s="1"/>
      <c r="Y567" s="10" t="s">
        <v>1212</v>
      </c>
      <c r="Z567" s="1">
        <v>45</v>
      </c>
      <c r="AA567" s="24">
        <v>16</v>
      </c>
      <c r="AB567" s="444" t="s">
        <v>1333</v>
      </c>
      <c r="AC567" s="157">
        <v>0.5</v>
      </c>
      <c r="AD567" s="445">
        <v>150</v>
      </c>
      <c r="AE567" s="156">
        <v>1</v>
      </c>
      <c r="AF567" s="156">
        <v>1</v>
      </c>
      <c r="AG567" s="377">
        <f t="shared" si="87"/>
        <v>152.5</v>
      </c>
      <c r="AH567" s="377" t="b">
        <f t="shared" si="83"/>
        <v>0</v>
      </c>
      <c r="AI567" s="445">
        <v>0</v>
      </c>
      <c r="AJ567" s="445">
        <v>0</v>
      </c>
      <c r="AK567" s="445"/>
      <c r="AL567" s="445"/>
      <c r="AM567" s="446">
        <f t="shared" si="84"/>
        <v>0</v>
      </c>
      <c r="AN567" s="157">
        <v>0.5</v>
      </c>
      <c r="AO567" s="1">
        <v>0</v>
      </c>
      <c r="AP567" s="27">
        <v>0</v>
      </c>
      <c r="AQ567" s="27"/>
      <c r="AR567" s="27">
        <f t="shared" si="91"/>
        <v>0</v>
      </c>
      <c r="AS567" s="21">
        <f>IFERROR(+AR567/AN567,0)</f>
        <v>0</v>
      </c>
      <c r="AT567" s="1">
        <f>IF(W567="Mantenimiento",(AL567+AZ567)/4*100%,AL567+AZ567)</f>
        <v>0</v>
      </c>
      <c r="AU567" s="446"/>
      <c r="AV567" s="446"/>
      <c r="AW567" s="446"/>
      <c r="AX567" s="16">
        <f t="shared" si="82"/>
        <v>0</v>
      </c>
      <c r="AY567" s="445">
        <v>150</v>
      </c>
      <c r="AZ567" s="445">
        <v>0</v>
      </c>
      <c r="BA567" s="446"/>
      <c r="BB567" s="446"/>
      <c r="BC567" s="446"/>
      <c r="BD567" s="446">
        <f t="shared" si="86"/>
        <v>0</v>
      </c>
      <c r="BE567" s="446"/>
      <c r="BF567" s="446"/>
      <c r="BG567" s="446"/>
      <c r="BH567" s="446"/>
      <c r="BI567" s="446"/>
      <c r="BJ567" s="446"/>
      <c r="BK567" s="446"/>
      <c r="BL567" s="446"/>
      <c r="BM567" s="446"/>
      <c r="BN567" s="446"/>
      <c r="BO567" s="446"/>
      <c r="BP567" s="446"/>
      <c r="BQ567" s="446"/>
      <c r="BR567" s="446"/>
      <c r="BS567" s="446"/>
      <c r="BT567" s="446"/>
      <c r="BU567" s="446"/>
      <c r="BV567" s="446"/>
      <c r="BW567" s="446"/>
      <c r="BX567" s="446"/>
      <c r="BY567" s="446"/>
      <c r="BZ567" s="446"/>
      <c r="CA567" s="445"/>
      <c r="CB567" s="445"/>
      <c r="CC567" s="445"/>
    </row>
    <row r="568" spans="1:81" x14ac:dyDescent="0.25">
      <c r="A568" s="380"/>
      <c r="B568" s="381"/>
      <c r="C568" s="382"/>
      <c r="D568" s="382"/>
      <c r="E568" s="383"/>
      <c r="F568" s="381"/>
      <c r="G568" s="382"/>
      <c r="H568" s="382"/>
      <c r="I568" s="383"/>
      <c r="J568" s="381"/>
      <c r="K568" s="1"/>
      <c r="L568" s="383"/>
      <c r="M568" s="382"/>
      <c r="N568" s="382"/>
      <c r="O568" s="382"/>
      <c r="P568" s="1"/>
      <c r="Q568" s="383"/>
      <c r="R568" s="383"/>
      <c r="S568" s="384"/>
      <c r="T568" s="384"/>
      <c r="U568" s="382"/>
      <c r="V568" s="382"/>
      <c r="W568" s="382"/>
      <c r="X568" s="382"/>
      <c r="Y568" s="382"/>
      <c r="Z568" s="382"/>
      <c r="AA568" s="381"/>
      <c r="AB568" s="382"/>
      <c r="AC568" s="1"/>
      <c r="AD568" s="385"/>
      <c r="AE568" s="382"/>
      <c r="AF568" s="382"/>
      <c r="AG568" s="382"/>
      <c r="AH568" s="382"/>
      <c r="AI568" s="382"/>
      <c r="AJ568" s="382"/>
      <c r="AK568" s="382"/>
      <c r="AL568" s="382"/>
      <c r="AM568" s="386"/>
      <c r="AN568" s="1"/>
      <c r="AO568" s="382"/>
      <c r="AP568" s="382"/>
      <c r="AQ568" s="382"/>
      <c r="AR568" s="382"/>
      <c r="AS568" s="385"/>
      <c r="AT568" s="385"/>
      <c r="AU568" s="385"/>
      <c r="AV568" s="385"/>
      <c r="AW568" s="385"/>
      <c r="AX568" s="385"/>
      <c r="AY568" s="385"/>
      <c r="AZ568" s="386"/>
      <c r="BA568" s="385"/>
      <c r="BB568" s="385"/>
      <c r="BC568" s="385"/>
      <c r="BD568" s="385"/>
      <c r="BE568" s="386"/>
      <c r="BF568" s="386"/>
      <c r="BG568" s="386"/>
      <c r="BH568" s="386"/>
      <c r="BI568" s="385"/>
      <c r="BJ568" s="385"/>
      <c r="BK568" s="386"/>
      <c r="BL568" s="386"/>
      <c r="BM568" s="386"/>
      <c r="BN568" s="386"/>
      <c r="BO568" s="385"/>
      <c r="BP568" s="386"/>
      <c r="BQ568" s="386"/>
      <c r="BR568" s="386"/>
      <c r="BS568" s="386"/>
      <c r="BT568" s="385"/>
      <c r="BU568" s="385"/>
      <c r="BV568" s="385"/>
      <c r="BW568" s="385"/>
      <c r="BX568" s="385"/>
      <c r="BY568" s="385"/>
      <c r="BZ568" s="385"/>
      <c r="CA568" s="382"/>
      <c r="CB568" s="382"/>
      <c r="CC568" s="382"/>
    </row>
  </sheetData>
  <autoFilter ref="A13:CE566" xr:uid="{31F4FAD7-FCE8-4591-B93F-3FF9AE26D701}"/>
  <mergeCells count="279">
    <mergeCell ref="H28:H70"/>
    <mergeCell ref="K28:K48"/>
    <mergeCell ref="L28:L48"/>
    <mergeCell ref="K49:K56"/>
    <mergeCell ref="L49:L56"/>
    <mergeCell ref="K57:K70"/>
    <mergeCell ref="L57:L70"/>
    <mergeCell ref="A10:CC10"/>
    <mergeCell ref="CA11:CC11"/>
    <mergeCell ref="C14:C232"/>
    <mergeCell ref="D14:D232"/>
    <mergeCell ref="G14:G27"/>
    <mergeCell ref="H14:H27"/>
    <mergeCell ref="K14:K27"/>
    <mergeCell ref="L14:L27"/>
    <mergeCell ref="G28:G70"/>
    <mergeCell ref="K96:K101"/>
    <mergeCell ref="L96:L101"/>
    <mergeCell ref="K102:K111"/>
    <mergeCell ref="L102:L111"/>
    <mergeCell ref="K112:K116"/>
    <mergeCell ref="L112:L116"/>
    <mergeCell ref="G71:G170"/>
    <mergeCell ref="G171:G178"/>
    <mergeCell ref="H171:H178"/>
    <mergeCell ref="K171:K172"/>
    <mergeCell ref="L171:L172"/>
    <mergeCell ref="K173:K178"/>
    <mergeCell ref="L173:L178"/>
    <mergeCell ref="K117:K120"/>
    <mergeCell ref="L117:L120"/>
    <mergeCell ref="K121:K142"/>
    <mergeCell ref="L121:L142"/>
    <mergeCell ref="K143:K170"/>
    <mergeCell ref="L143:L170"/>
    <mergeCell ref="H71:H170"/>
    <mergeCell ref="K71:K76"/>
    <mergeCell ref="L71:L76"/>
    <mergeCell ref="K77:K82"/>
    <mergeCell ref="L77:L82"/>
    <mergeCell ref="K83:K86"/>
    <mergeCell ref="L83:L86"/>
    <mergeCell ref="K87:K95"/>
    <mergeCell ref="L87:L95"/>
    <mergeCell ref="K203:K208"/>
    <mergeCell ref="L203:L208"/>
    <mergeCell ref="K209:K214"/>
    <mergeCell ref="L209:L214"/>
    <mergeCell ref="G215:G232"/>
    <mergeCell ref="H215:H232"/>
    <mergeCell ref="K215:K220"/>
    <mergeCell ref="L215:L220"/>
    <mergeCell ref="K221:K232"/>
    <mergeCell ref="L221:L232"/>
    <mergeCell ref="G179:G214"/>
    <mergeCell ref="H179:H214"/>
    <mergeCell ref="K179:K182"/>
    <mergeCell ref="L179:L182"/>
    <mergeCell ref="K183:K195"/>
    <mergeCell ref="L183:L195"/>
    <mergeCell ref="K196:K199"/>
    <mergeCell ref="L196:L199"/>
    <mergeCell ref="K200:K202"/>
    <mergeCell ref="L200:L202"/>
    <mergeCell ref="G248:G254"/>
    <mergeCell ref="H248:H254"/>
    <mergeCell ref="K248:K251"/>
    <mergeCell ref="L248:L251"/>
    <mergeCell ref="K252:K254"/>
    <mergeCell ref="L252:L254"/>
    <mergeCell ref="K242:K243"/>
    <mergeCell ref="L242:L243"/>
    <mergeCell ref="G244:G247"/>
    <mergeCell ref="H244:H247"/>
    <mergeCell ref="K244:K247"/>
    <mergeCell ref="L244:L247"/>
    <mergeCell ref="G237:G243"/>
    <mergeCell ref="H237:H243"/>
    <mergeCell ref="K237:K241"/>
    <mergeCell ref="L237:L241"/>
    <mergeCell ref="K270:K274"/>
    <mergeCell ref="L270:L274"/>
    <mergeCell ref="K275:K277"/>
    <mergeCell ref="L275:L277"/>
    <mergeCell ref="K278:K280"/>
    <mergeCell ref="L278:L280"/>
    <mergeCell ref="G255:G262"/>
    <mergeCell ref="H255:H262"/>
    <mergeCell ref="G263:G280"/>
    <mergeCell ref="H263:H280"/>
    <mergeCell ref="K263:K265"/>
    <mergeCell ref="L263:L265"/>
    <mergeCell ref="K266:K269"/>
    <mergeCell ref="L266:L269"/>
    <mergeCell ref="K257:K259"/>
    <mergeCell ref="L257:L259"/>
    <mergeCell ref="G300:G310"/>
    <mergeCell ref="H300:H310"/>
    <mergeCell ref="K300:K301"/>
    <mergeCell ref="L300:L301"/>
    <mergeCell ref="K302:K307"/>
    <mergeCell ref="L302:L307"/>
    <mergeCell ref="G281:G295"/>
    <mergeCell ref="H281:H295"/>
    <mergeCell ref="K281:K295"/>
    <mergeCell ref="L281:L295"/>
    <mergeCell ref="G296:G299"/>
    <mergeCell ref="H296:H299"/>
    <mergeCell ref="K296:K298"/>
    <mergeCell ref="L296:L298"/>
    <mergeCell ref="K308:K309"/>
    <mergeCell ref="L308:L309"/>
    <mergeCell ref="G311:G314"/>
    <mergeCell ref="H311:H314"/>
    <mergeCell ref="K311:K314"/>
    <mergeCell ref="L311:L314"/>
    <mergeCell ref="C315:C337"/>
    <mergeCell ref="D315:D337"/>
    <mergeCell ref="G315:G319"/>
    <mergeCell ref="H315:H319"/>
    <mergeCell ref="K315:K319"/>
    <mergeCell ref="L315:L319"/>
    <mergeCell ref="C233:C314"/>
    <mergeCell ref="D233:D314"/>
    <mergeCell ref="G233:G236"/>
    <mergeCell ref="H233:H236"/>
    <mergeCell ref="K233:K235"/>
    <mergeCell ref="L233:L235"/>
    <mergeCell ref="G327:G337"/>
    <mergeCell ref="H327:H337"/>
    <mergeCell ref="K327:K329"/>
    <mergeCell ref="L327:L329"/>
    <mergeCell ref="K330:K332"/>
    <mergeCell ref="L330:L332"/>
    <mergeCell ref="K333:K337"/>
    <mergeCell ref="L333:L337"/>
    <mergeCell ref="G320:G324"/>
    <mergeCell ref="H320:H324"/>
    <mergeCell ref="K320:K324"/>
    <mergeCell ref="L320:L324"/>
    <mergeCell ref="G325:G326"/>
    <mergeCell ref="H325:H326"/>
    <mergeCell ref="K325:K326"/>
    <mergeCell ref="L325:L326"/>
    <mergeCell ref="G349:G361"/>
    <mergeCell ref="H349:H361"/>
    <mergeCell ref="K349:K356"/>
    <mergeCell ref="L349:L356"/>
    <mergeCell ref="K357:K361"/>
    <mergeCell ref="L357:L361"/>
    <mergeCell ref="C338:C405"/>
    <mergeCell ref="D338:D405"/>
    <mergeCell ref="G338:G341"/>
    <mergeCell ref="H338:H341"/>
    <mergeCell ref="K338:K341"/>
    <mergeCell ref="L338:L341"/>
    <mergeCell ref="G342:G348"/>
    <mergeCell ref="H342:H348"/>
    <mergeCell ref="K342:K348"/>
    <mergeCell ref="L342:L348"/>
    <mergeCell ref="G395:G405"/>
    <mergeCell ref="H395:H405"/>
    <mergeCell ref="K395:K398"/>
    <mergeCell ref="L395:L398"/>
    <mergeCell ref="K399:K401"/>
    <mergeCell ref="L399:L401"/>
    <mergeCell ref="K403:K405"/>
    <mergeCell ref="L403:L405"/>
    <mergeCell ref="K385:K387"/>
    <mergeCell ref="L385:L387"/>
    <mergeCell ref="G388:G394"/>
    <mergeCell ref="H388:H394"/>
    <mergeCell ref="K388:K394"/>
    <mergeCell ref="L388:L394"/>
    <mergeCell ref="G362:G387"/>
    <mergeCell ref="H362:H387"/>
    <mergeCell ref="K362:K366"/>
    <mergeCell ref="L362:L366"/>
    <mergeCell ref="K367:K370"/>
    <mergeCell ref="L367:L370"/>
    <mergeCell ref="K371:K378"/>
    <mergeCell ref="L371:L378"/>
    <mergeCell ref="K379:K381"/>
    <mergeCell ref="L379:L381"/>
    <mergeCell ref="K422:K431"/>
    <mergeCell ref="L422:L431"/>
    <mergeCell ref="K432:K433"/>
    <mergeCell ref="L432:L433"/>
    <mergeCell ref="K434:K439"/>
    <mergeCell ref="L434:L439"/>
    <mergeCell ref="C406:C439"/>
    <mergeCell ref="D406:D439"/>
    <mergeCell ref="G406:G439"/>
    <mergeCell ref="H406:H439"/>
    <mergeCell ref="K406:K414"/>
    <mergeCell ref="L406:L414"/>
    <mergeCell ref="K415:K418"/>
    <mergeCell ref="L415:L418"/>
    <mergeCell ref="K419:K421"/>
    <mergeCell ref="L419:L421"/>
    <mergeCell ref="K464:K468"/>
    <mergeCell ref="L464:L468"/>
    <mergeCell ref="K469:K479"/>
    <mergeCell ref="L469:L479"/>
    <mergeCell ref="K480:K483"/>
    <mergeCell ref="L480:L483"/>
    <mergeCell ref="C440:C567"/>
    <mergeCell ref="D440:D567"/>
    <mergeCell ref="G440:G491"/>
    <mergeCell ref="H440:H491"/>
    <mergeCell ref="K440:K455"/>
    <mergeCell ref="L440:L455"/>
    <mergeCell ref="K456:K460"/>
    <mergeCell ref="L456:L460"/>
    <mergeCell ref="K461:K463"/>
    <mergeCell ref="L461:L463"/>
    <mergeCell ref="K484:K491"/>
    <mergeCell ref="L484:L491"/>
    <mergeCell ref="G492:G528"/>
    <mergeCell ref="H492:H528"/>
    <mergeCell ref="K492:K495"/>
    <mergeCell ref="L492:L495"/>
    <mergeCell ref="K496:K499"/>
    <mergeCell ref="L496:L499"/>
    <mergeCell ref="K500:K506"/>
    <mergeCell ref="L500:L506"/>
    <mergeCell ref="K524:K528"/>
    <mergeCell ref="L524:L528"/>
    <mergeCell ref="G529:G537"/>
    <mergeCell ref="H529:H537"/>
    <mergeCell ref="K529:K537"/>
    <mergeCell ref="L529:L537"/>
    <mergeCell ref="K508:K514"/>
    <mergeCell ref="L508:L514"/>
    <mergeCell ref="K515:K520"/>
    <mergeCell ref="L515:L520"/>
    <mergeCell ref="K521:K523"/>
    <mergeCell ref="L521:L523"/>
    <mergeCell ref="G549:G557"/>
    <mergeCell ref="H549:H557"/>
    <mergeCell ref="K549:K557"/>
    <mergeCell ref="L549:L557"/>
    <mergeCell ref="G558:G561"/>
    <mergeCell ref="H558:H561"/>
    <mergeCell ref="K558:K561"/>
    <mergeCell ref="L558:L561"/>
    <mergeCell ref="G538:G541"/>
    <mergeCell ref="H538:H541"/>
    <mergeCell ref="K538:K541"/>
    <mergeCell ref="L538:L541"/>
    <mergeCell ref="G542:G548"/>
    <mergeCell ref="H542:H548"/>
    <mergeCell ref="K542:K548"/>
    <mergeCell ref="L542:L548"/>
    <mergeCell ref="G566:G567"/>
    <mergeCell ref="H566:H567"/>
    <mergeCell ref="K566:K567"/>
    <mergeCell ref="L566:L567"/>
    <mergeCell ref="G562:G563"/>
    <mergeCell ref="H562:H563"/>
    <mergeCell ref="K562:K563"/>
    <mergeCell ref="L562:L563"/>
    <mergeCell ref="G564:G565"/>
    <mergeCell ref="H564:H565"/>
    <mergeCell ref="K564:K565"/>
    <mergeCell ref="L564:L565"/>
    <mergeCell ref="BP11:BZ11"/>
    <mergeCell ref="BP12:BT12"/>
    <mergeCell ref="BU12:BZ12"/>
    <mergeCell ref="BE11:BO11"/>
    <mergeCell ref="BE12:BI12"/>
    <mergeCell ref="BJ12:BO12"/>
    <mergeCell ref="AC12:AF12"/>
    <mergeCell ref="AT11:BD11"/>
    <mergeCell ref="AI11:AS11"/>
    <mergeCell ref="AT12:AX12"/>
    <mergeCell ref="AY12:BD12"/>
    <mergeCell ref="AI12:AM12"/>
    <mergeCell ref="AN12:AS12"/>
  </mergeCells>
  <phoneticPr fontId="23" type="noConversion"/>
  <dataValidations disablePrompts="1" count="1">
    <dataValidation type="decimal" operator="greaterThan" allowBlank="1" showInputMessage="1" showErrorMessage="1" sqref="AN361 AC361" xr:uid="{0FD04461-8A6D-4773-9C43-A29476C5EAF9}">
      <formula1>0</formula1>
    </dataValidation>
  </dataValidations>
  <pageMargins left="0.7" right="0.7" top="1.135" bottom="0.75" header="0.3" footer="0.3"/>
  <pageSetup scale="92"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500EA-2855-450E-868E-FD72D7C4FFD0}">
  <sheetPr codeName="Hoja10" filterMode="1">
    <pageSetUpPr fitToPage="1"/>
  </sheetPr>
  <dimension ref="A3:L190"/>
  <sheetViews>
    <sheetView zoomScale="60" zoomScaleNormal="60" workbookViewId="0">
      <selection activeCell="J187" sqref="J187:L190"/>
    </sheetView>
  </sheetViews>
  <sheetFormatPr baseColWidth="10" defaultRowHeight="15" x14ac:dyDescent="0.25"/>
  <cols>
    <col min="1" max="1" width="23.5703125" customWidth="1"/>
    <col min="2" max="2" width="8.28515625" style="214" customWidth="1"/>
    <col min="3" max="3" width="98.28515625" style="109" customWidth="1"/>
    <col min="4" max="7" width="14.7109375" customWidth="1"/>
    <col min="9" max="9" width="7.7109375" bestFit="1" customWidth="1"/>
  </cols>
  <sheetData>
    <row r="3" spans="1:9" x14ac:dyDescent="0.25">
      <c r="A3" s="623" t="s">
        <v>2023</v>
      </c>
      <c r="B3" s="624"/>
      <c r="C3" s="624"/>
      <c r="D3" s="624"/>
    </row>
    <row r="4" spans="1:9" x14ac:dyDescent="0.25">
      <c r="A4" s="624"/>
      <c r="B4" s="624"/>
      <c r="C4" s="624"/>
      <c r="D4" s="624"/>
    </row>
    <row r="5" spans="1:9" x14ac:dyDescent="0.25">
      <c r="A5" s="624"/>
      <c r="B5" s="624"/>
      <c r="C5" s="624"/>
      <c r="D5" s="624"/>
    </row>
    <row r="6" spans="1:9" x14ac:dyDescent="0.25">
      <c r="A6" s="624"/>
      <c r="B6" s="624"/>
      <c r="C6" s="624"/>
      <c r="D6" s="624"/>
    </row>
    <row r="7" spans="1:9" x14ac:dyDescent="0.25">
      <c r="A7" t="s">
        <v>1836</v>
      </c>
      <c r="B7" s="214" t="s">
        <v>2022</v>
      </c>
    </row>
    <row r="8" spans="1:9" x14ac:dyDescent="0.25">
      <c r="A8" t="s">
        <v>1837</v>
      </c>
      <c r="B8" s="214" t="s">
        <v>1838</v>
      </c>
    </row>
    <row r="9" spans="1:9" ht="63" x14ac:dyDescent="0.25">
      <c r="A9" s="201" t="s">
        <v>1834</v>
      </c>
      <c r="B9" s="201" t="s">
        <v>1833</v>
      </c>
      <c r="C9" s="201" t="s">
        <v>1835</v>
      </c>
      <c r="D9" s="201" t="s">
        <v>1813</v>
      </c>
      <c r="E9" s="201" t="s">
        <v>1814</v>
      </c>
      <c r="F9" s="496" t="s">
        <v>1811</v>
      </c>
      <c r="G9" s="497" t="s">
        <v>2030</v>
      </c>
    </row>
    <row r="10" spans="1:9" ht="21" hidden="1" x14ac:dyDescent="0.35">
      <c r="A10" s="192" t="str">
        <f>'CUMPLIMIENTO '!A10</f>
        <v>PDD</v>
      </c>
      <c r="B10" s="215">
        <f>'CUMPLIMIENTO '!B10</f>
        <v>0</v>
      </c>
      <c r="C10" s="193" t="str">
        <f>'CUMPLIMIENTO '!C10</f>
        <v>BOLIVAR PRIMERO 2020 - 2023</v>
      </c>
      <c r="D10" s="219">
        <f>'CUMPLIMIENTO '!D10</f>
        <v>554</v>
      </c>
      <c r="E10" s="219">
        <f>'CUMPLIMIENTO '!E10</f>
        <v>388</v>
      </c>
      <c r="F10" s="220">
        <f>'CUMPLIMIENTO '!G10</f>
        <v>0.26338387305792299</v>
      </c>
      <c r="G10" s="220">
        <f>'CUMPLIMIENTO '!H10</f>
        <v>0.28726565544596755</v>
      </c>
    </row>
    <row r="11" spans="1:9" ht="18.75" hidden="1" x14ac:dyDescent="0.25">
      <c r="A11" s="222" t="str">
        <f>'CUMPLIMIENTO '!A11</f>
        <v>EJE ESTRATEGICO</v>
      </c>
      <c r="B11" s="223">
        <f>'CUMPLIMIENTO '!B11</f>
        <v>1</v>
      </c>
      <c r="C11" s="222" t="str">
        <f>'CUMPLIMIENTO '!C11</f>
        <v>BOLIVAR PROGRESA, SUPERACIÓN DE LA POBREZA</v>
      </c>
      <c r="D11" s="224">
        <f>'CUMPLIMIENTO '!D11</f>
        <v>219</v>
      </c>
      <c r="E11" s="224">
        <f>'CUMPLIMIENTO '!E11</f>
        <v>188</v>
      </c>
      <c r="F11" s="225">
        <f>'CUMPLIMIENTO '!G11</f>
        <v>0.28346507642507995</v>
      </c>
      <c r="G11" s="225">
        <f>'CUMPLIMIENTO '!H11</f>
        <v>0.33973499765782816</v>
      </c>
    </row>
    <row r="12" spans="1:9" s="110" customFormat="1" ht="15.75" hidden="1" x14ac:dyDescent="0.25">
      <c r="A12" s="202" t="str">
        <f>'CUMPLIMIENTO '!A12</f>
        <v>LINEA</v>
      </c>
      <c r="B12" s="203" t="str">
        <f>'CUMPLIMIENTO '!B12</f>
        <v xml:space="preserve">1.1 </v>
      </c>
      <c r="C12" s="202" t="str">
        <f>'CUMPLIMIENTO '!C12</f>
        <v>PLAN DEPARTAMENTAL DE EMERGENCIA SOCIAL PARA LA IGUALDAD Y LA INCLUSIÓN</v>
      </c>
      <c r="D12" s="216">
        <f>'CUMPLIMIENTO '!D12</f>
        <v>14</v>
      </c>
      <c r="E12" s="216">
        <f>'CUMPLIMIENTO '!E12</f>
        <v>6</v>
      </c>
      <c r="F12" s="217">
        <f>'CUMPLIMIENTO '!G12</f>
        <v>0.10410714285714286</v>
      </c>
      <c r="G12" s="218">
        <f>'CUMPLIMIENTO '!H12</f>
        <v>0.33333333333333331</v>
      </c>
      <c r="I12"/>
    </row>
    <row r="13" spans="1:9" s="110" customFormat="1" ht="15.75" hidden="1" x14ac:dyDescent="0.25">
      <c r="A13" s="208" t="str">
        <f>'CUMPLIMIENTO '!A13</f>
        <v>PROGRAMA</v>
      </c>
      <c r="B13" s="209" t="str">
        <f>'CUMPLIMIENTO '!B13</f>
        <v>1.1.1</v>
      </c>
      <c r="C13" s="210" t="str">
        <f>'CUMPLIMIENTO '!C13</f>
        <v>Plan departamental de emergencia social para la igualdad y la inclusión PLADES.</v>
      </c>
      <c r="D13" s="211">
        <f>'CUMPLIMIENTO '!D13</f>
        <v>14</v>
      </c>
      <c r="E13" s="211">
        <f>'CUMPLIMIENTO '!E13</f>
        <v>6</v>
      </c>
      <c r="F13" s="212">
        <f>'CUMPLIMIENTO '!G13</f>
        <v>0.10410714285714286</v>
      </c>
      <c r="G13" s="212">
        <f>'CUMPLIMIENTO '!H13</f>
        <v>0.33333333333333331</v>
      </c>
      <c r="I13"/>
    </row>
    <row r="14" spans="1:9" ht="15.75" hidden="1" x14ac:dyDescent="0.25">
      <c r="A14" s="251" t="str">
        <f>'CUMPLIMIENTO '!A14</f>
        <v>LINEA</v>
      </c>
      <c r="B14" s="252" t="str">
        <f>'CUMPLIMIENTO '!B14</f>
        <v xml:space="preserve">1.2 </v>
      </c>
      <c r="C14" s="251" t="str">
        <f>'CUMPLIMIENTO '!C14</f>
        <v>BOLÍVAR PRIMERO EDUCA</v>
      </c>
      <c r="D14" s="253">
        <f>'CUMPLIMIENTO '!D14</f>
        <v>43</v>
      </c>
      <c r="E14" s="253">
        <f>'CUMPLIMIENTO '!E14</f>
        <v>34</v>
      </c>
      <c r="F14" s="254">
        <f>'CUMPLIMIENTO '!G14</f>
        <v>0.380217289810165</v>
      </c>
      <c r="G14" s="255">
        <f>'CUMPLIMIENTO '!H14</f>
        <v>0.35092007988259732</v>
      </c>
    </row>
    <row r="15" spans="1:9" ht="15.75" hidden="1" x14ac:dyDescent="0.25">
      <c r="A15" s="198" t="str">
        <f>'CUMPLIMIENTO '!A15</f>
        <v>PROGRAMA</v>
      </c>
      <c r="B15" s="106" t="str">
        <f>'CUMPLIMIENTO '!B15</f>
        <v>1.2.1</v>
      </c>
      <c r="C15" s="111" t="str">
        <f>'CUMPLIMIENTO '!C15</f>
        <v>Bolívar Primero en calidad educativa.</v>
      </c>
      <c r="D15" s="199">
        <f>'CUMPLIMIENTO '!D15</f>
        <v>21</v>
      </c>
      <c r="E15" s="199">
        <f>'CUMPLIMIENTO '!E15</f>
        <v>15</v>
      </c>
      <c r="F15" s="61">
        <f>'CUMPLIMIENTO '!G15</f>
        <v>0.34098599173680866</v>
      </c>
      <c r="G15" s="61">
        <f>'CUMPLIMIENTO '!H15</f>
        <v>0.12839000155255395</v>
      </c>
    </row>
    <row r="16" spans="1:9" ht="15.75" hidden="1" x14ac:dyDescent="0.25">
      <c r="A16" s="198" t="str">
        <f>'CUMPLIMIENTO '!A16</f>
        <v>PROGRAMA</v>
      </c>
      <c r="B16" s="106" t="str">
        <f>'CUMPLIMIENTO '!B16</f>
        <v>1.2.2</v>
      </c>
      <c r="C16" s="111" t="str">
        <f>'CUMPLIMIENTO '!C16</f>
        <v>Bolívar primero en cobertura.</v>
      </c>
      <c r="D16" s="199">
        <f>'CUMPLIMIENTO '!D16</f>
        <v>8</v>
      </c>
      <c r="E16" s="199">
        <f>'CUMPLIMIENTO '!E16</f>
        <v>7</v>
      </c>
      <c r="F16" s="61">
        <f>'CUMPLIMIENTO '!G16</f>
        <v>0.38777812259164557</v>
      </c>
      <c r="G16" s="61">
        <f>'CUMPLIMIENTO '!H16</f>
        <v>0.40960833333333335</v>
      </c>
    </row>
    <row r="17" spans="1:7" ht="15.75" hidden="1" x14ac:dyDescent="0.25">
      <c r="A17" s="198" t="str">
        <f>'CUMPLIMIENTO '!A17</f>
        <v>PROGRAMA</v>
      </c>
      <c r="B17" s="106" t="str">
        <f>'CUMPLIMIENTO '!B17</f>
        <v>1.2.3</v>
      </c>
      <c r="C17" s="111" t="str">
        <f>'CUMPLIMIENTO '!C17</f>
        <v>Bolívar primero en eficiencia y fortalecimiento institucional de la educación</v>
      </c>
      <c r="D17" s="199">
        <f>'CUMPLIMIENTO '!D17</f>
        <v>14</v>
      </c>
      <c r="E17" s="199">
        <f>'CUMPLIMIENTO '!E17</f>
        <v>12</v>
      </c>
      <c r="F17" s="61">
        <f>'CUMPLIMIENTO '!G17</f>
        <v>0.41188775510204084</v>
      </c>
      <c r="G17" s="61">
        <f>'CUMPLIMIENTO '!H17</f>
        <v>0.51476190476190475</v>
      </c>
    </row>
    <row r="18" spans="1:7" ht="15.75" hidden="1" x14ac:dyDescent="0.25">
      <c r="A18" s="202" t="str">
        <f>'CUMPLIMIENTO '!A18</f>
        <v>LINEA</v>
      </c>
      <c r="B18" s="203" t="str">
        <f>'CUMPLIMIENTO '!B18</f>
        <v>1.3</v>
      </c>
      <c r="C18" s="202" t="str">
        <f>'CUMPLIMIENTO '!C18</f>
        <v>BOLIVAR PRIMERO EN SALUD</v>
      </c>
      <c r="D18" s="216">
        <f>'CUMPLIMIENTO '!D18</f>
        <v>100</v>
      </c>
      <c r="E18" s="216">
        <f>'CUMPLIMIENTO '!E18</f>
        <v>100</v>
      </c>
      <c r="F18" s="217">
        <f>'CUMPLIMIENTO '!G18</f>
        <v>0.28725768020702352</v>
      </c>
      <c r="G18" s="218">
        <f>'CUMPLIMIENTO '!H18</f>
        <v>0.12644126449682005</v>
      </c>
    </row>
    <row r="19" spans="1:7" ht="15.75" hidden="1" x14ac:dyDescent="0.25">
      <c r="A19" s="198" t="str">
        <f>'CUMPLIMIENTO '!A19</f>
        <v>PROGRAMA</v>
      </c>
      <c r="B19" s="106" t="str">
        <f>'CUMPLIMIENTO '!B19</f>
        <v xml:space="preserve">1.3.1 </v>
      </c>
      <c r="C19" s="111" t="str">
        <f>'CUMPLIMIENTO '!C19</f>
        <v>Salud Ambiental</v>
      </c>
      <c r="D19" s="199">
        <f>'CUMPLIMIENTO '!D19</f>
        <v>6</v>
      </c>
      <c r="E19" s="199">
        <f>'CUMPLIMIENTO '!E19</f>
        <v>6</v>
      </c>
      <c r="F19" s="61">
        <f>'CUMPLIMIENTO '!G19</f>
        <v>0.30396365309408785</v>
      </c>
      <c r="G19" s="61">
        <f>'CUMPLIMIENTO '!H19</f>
        <v>8.8888888888888889E-3</v>
      </c>
    </row>
    <row r="20" spans="1:7" ht="15.75" hidden="1" x14ac:dyDescent="0.25">
      <c r="A20" s="198" t="str">
        <f>'CUMPLIMIENTO '!A20</f>
        <v>PROGRAMA</v>
      </c>
      <c r="B20" s="106" t="str">
        <f>'CUMPLIMIENTO '!B20</f>
        <v>1.3.2</v>
      </c>
      <c r="C20" s="111" t="str">
        <f>'CUMPLIMIENTO '!C20</f>
        <v>Vida Saludables y Condiciones no Transmisibles</v>
      </c>
      <c r="D20" s="199">
        <f>'CUMPLIMIENTO '!D20</f>
        <v>6</v>
      </c>
      <c r="E20" s="199">
        <f>'CUMPLIMIENTO '!E20</f>
        <v>6</v>
      </c>
      <c r="F20" s="61">
        <f>'CUMPLIMIENTO '!G20</f>
        <v>0.17453703703703705</v>
      </c>
      <c r="G20" s="61">
        <f>'CUMPLIMIENTO '!H20</f>
        <v>0</v>
      </c>
    </row>
    <row r="21" spans="1:7" ht="15.75" hidden="1" x14ac:dyDescent="0.25">
      <c r="A21" s="198" t="str">
        <f>'CUMPLIMIENTO '!A21</f>
        <v>PROGRAMA</v>
      </c>
      <c r="B21" s="106" t="str">
        <f>'CUMPLIMIENTO '!B21</f>
        <v>1.3.3</v>
      </c>
      <c r="C21" s="111" t="str">
        <f>'CUMPLIMIENTO '!C21</f>
        <v xml:space="preserve">Convivencia Social y Salud Mental </v>
      </c>
      <c r="D21" s="199">
        <f>'CUMPLIMIENTO '!D21</f>
        <v>4</v>
      </c>
      <c r="E21" s="199">
        <f>'CUMPLIMIENTO '!E21</f>
        <v>4</v>
      </c>
      <c r="F21" s="61">
        <f>'CUMPLIMIENTO '!G21</f>
        <v>0.22361111111111109</v>
      </c>
      <c r="G21" s="61">
        <f>'CUMPLIMIENTO '!H21</f>
        <v>6.1111111111111109E-2</v>
      </c>
    </row>
    <row r="22" spans="1:7" ht="15.75" hidden="1" x14ac:dyDescent="0.25">
      <c r="A22" s="198" t="str">
        <f>'CUMPLIMIENTO '!A22</f>
        <v>PROGRAMA</v>
      </c>
      <c r="B22" s="106" t="str">
        <f>'CUMPLIMIENTO '!B22</f>
        <v>1.3.4</v>
      </c>
      <c r="C22" s="111" t="str">
        <f>'CUMPLIMIENTO '!C22</f>
        <v>Seguridad Alimentaria y Nutricional</v>
      </c>
      <c r="D22" s="199">
        <f>'CUMPLIMIENTO '!D22</f>
        <v>9</v>
      </c>
      <c r="E22" s="199">
        <f>'CUMPLIMIENTO '!E22</f>
        <v>8</v>
      </c>
      <c r="F22" s="61">
        <f>'CUMPLIMIENTO '!G22</f>
        <v>0.16396604938271606</v>
      </c>
      <c r="G22" s="61">
        <f>'CUMPLIMIENTO '!H22</f>
        <v>7.407407407407407E-2</v>
      </c>
    </row>
    <row r="23" spans="1:7" ht="15.75" hidden="1" x14ac:dyDescent="0.25">
      <c r="A23" s="198" t="str">
        <f>'CUMPLIMIENTO '!A23</f>
        <v>PROGRAMA</v>
      </c>
      <c r="B23" s="106" t="str">
        <f>'CUMPLIMIENTO '!B23</f>
        <v>1.3.5</v>
      </c>
      <c r="C23" s="111" t="str">
        <f>'CUMPLIMIENTO '!C23</f>
        <v>Sexualidad, Derechos Sexuales y Reproductivos</v>
      </c>
      <c r="D23" s="199">
        <f>'CUMPLIMIENTO '!D23</f>
        <v>6</v>
      </c>
      <c r="E23" s="199">
        <f>'CUMPLIMIENTO '!E23</f>
        <v>6</v>
      </c>
      <c r="F23" s="61">
        <f>'CUMPLIMIENTO '!G23</f>
        <v>0.61435185185185182</v>
      </c>
      <c r="G23" s="61">
        <f>'CUMPLIMIENTO '!H23</f>
        <v>0.11851851851851848</v>
      </c>
    </row>
    <row r="24" spans="1:7" ht="15.75" hidden="1" x14ac:dyDescent="0.25">
      <c r="A24" s="198" t="str">
        <f>'CUMPLIMIENTO '!A24</f>
        <v>PROGRAMA</v>
      </c>
      <c r="B24" s="106" t="str">
        <f>'CUMPLIMIENTO '!B24</f>
        <v>1.3.6</v>
      </c>
      <c r="C24" s="111" t="str">
        <f>'CUMPLIMIENTO '!C24</f>
        <v>Vida Saludable y Enfermedades transmisibles</v>
      </c>
      <c r="D24" s="199">
        <f>'CUMPLIMIENTO '!D24</f>
        <v>10</v>
      </c>
      <c r="E24" s="199">
        <f>'CUMPLIMIENTO '!E24</f>
        <v>11</v>
      </c>
      <c r="F24" s="61">
        <f>'CUMPLIMIENTO '!G24</f>
        <v>0.38444444444444448</v>
      </c>
      <c r="G24" s="61">
        <f>'CUMPLIMIENTO '!H24</f>
        <v>0.35833333333333334</v>
      </c>
    </row>
    <row r="25" spans="1:7" ht="15.75" hidden="1" x14ac:dyDescent="0.25">
      <c r="A25" s="198" t="str">
        <f>'CUMPLIMIENTO '!A25</f>
        <v>PROGRAMA</v>
      </c>
      <c r="B25" s="106" t="str">
        <f>'CUMPLIMIENTO '!B25</f>
        <v>1.3.7</v>
      </c>
      <c r="C25" s="111" t="str">
        <f>'CUMPLIMIENTO '!C25</f>
        <v>Salud Publica en Emergencias y Desastres</v>
      </c>
      <c r="D25" s="199">
        <f>'CUMPLIMIENTO '!D25</f>
        <v>5</v>
      </c>
      <c r="E25" s="199">
        <f>'CUMPLIMIENTO '!E25</f>
        <v>4</v>
      </c>
      <c r="F25" s="61">
        <f>'CUMPLIMIENTO '!G25</f>
        <v>0.27913043478260868</v>
      </c>
      <c r="G25" s="61">
        <f>'CUMPLIMIENTO '!H25</f>
        <v>0.25</v>
      </c>
    </row>
    <row r="26" spans="1:7" ht="15.75" hidden="1" x14ac:dyDescent="0.25">
      <c r="A26" s="198" t="str">
        <f>'CUMPLIMIENTO '!A26</f>
        <v>PROGRAMA</v>
      </c>
      <c r="B26" s="106" t="str">
        <f>'CUMPLIMIENTO '!B26</f>
        <v>1.3.8</v>
      </c>
      <c r="C26" s="111" t="str">
        <f>'CUMPLIMIENTO '!C26</f>
        <v>Salud y Ambito Laboral</v>
      </c>
      <c r="D26" s="199">
        <f>'CUMPLIMIENTO '!D26</f>
        <v>4</v>
      </c>
      <c r="E26" s="199">
        <f>'CUMPLIMIENTO '!E26</f>
        <v>4</v>
      </c>
      <c r="F26" s="61">
        <f>'CUMPLIMIENTO '!G26</f>
        <v>0.21906565656565657</v>
      </c>
      <c r="G26" s="61">
        <f>'CUMPLIMIENTO '!H26</f>
        <v>0.25</v>
      </c>
    </row>
    <row r="27" spans="1:7" ht="15.75" hidden="1" x14ac:dyDescent="0.25">
      <c r="A27" s="198" t="str">
        <f>'CUMPLIMIENTO '!A27</f>
        <v>PROGRAMA</v>
      </c>
      <c r="B27" s="106" t="str">
        <f>'CUMPLIMIENTO '!B27</f>
        <v>1.3.9</v>
      </c>
      <c r="C27" s="111" t="str">
        <f>'CUMPLIMIENTO '!C27</f>
        <v>Gestión Diferencial de las Poblaciones Vulnerables</v>
      </c>
      <c r="D27" s="199">
        <f>'CUMPLIMIENTO '!D27</f>
        <v>22</v>
      </c>
      <c r="E27" s="199">
        <f>'CUMPLIMIENTO '!E27</f>
        <v>22</v>
      </c>
      <c r="F27" s="61">
        <f>'CUMPLIMIENTO '!G27</f>
        <v>0.22224888359369785</v>
      </c>
      <c r="G27" s="61">
        <f>'CUMPLIMIENTO '!H27</f>
        <v>1.7045454545454544E-2</v>
      </c>
    </row>
    <row r="28" spans="1:7" ht="15.75" hidden="1" x14ac:dyDescent="0.25">
      <c r="A28" s="198" t="str">
        <f>'CUMPLIMIENTO '!A28</f>
        <v>PROGRAMA</v>
      </c>
      <c r="B28" s="106" t="str">
        <f>'CUMPLIMIENTO '!B28</f>
        <v>1.3.10</v>
      </c>
      <c r="C28" s="111" t="str">
        <f>'CUMPLIMIENTO '!C28</f>
        <v>Fortalecimiento de la Autoridad Sanitaria en Salud</v>
      </c>
      <c r="D28" s="199">
        <f>'CUMPLIMIENTO '!D28</f>
        <v>28</v>
      </c>
      <c r="E28" s="200">
        <f>'CUMPLIMIENTO '!E28</f>
        <v>29</v>
      </c>
      <c r="F28" s="61">
        <f>'CUMPLIMIENTO '!G28</f>
        <v>0.29796334722086598</v>
      </c>
      <c r="G28" s="61">
        <f>'CUMPLIMIENTO '!H28</f>
        <v>0.29579782790309106</v>
      </c>
    </row>
    <row r="29" spans="1:7" ht="15.75" hidden="1" x14ac:dyDescent="0.25">
      <c r="A29" s="251" t="str">
        <f>'CUMPLIMIENTO '!A29</f>
        <v>LINEA</v>
      </c>
      <c r="B29" s="252" t="str">
        <f>'CUMPLIMIENTO '!B29</f>
        <v>1.4</v>
      </c>
      <c r="C29" s="251" t="str">
        <f>'CUMPLIMIENTO '!C29</f>
        <v>HÁBITAT</v>
      </c>
      <c r="D29" s="253">
        <f>'CUMPLIMIENTO '!D29</f>
        <v>8</v>
      </c>
      <c r="E29" s="253">
        <f>'CUMPLIMIENTO '!E29</f>
        <v>5</v>
      </c>
      <c r="F29" s="254">
        <f>'CUMPLIMIENTO '!G29</f>
        <v>0.19584814814814816</v>
      </c>
      <c r="G29" s="255">
        <f>'CUMPLIMIENTO '!H29</f>
        <v>0.63424242424242427</v>
      </c>
    </row>
    <row r="30" spans="1:7" ht="15.75" hidden="1" x14ac:dyDescent="0.25">
      <c r="A30" s="198" t="str">
        <f>'CUMPLIMIENTO '!A30</f>
        <v>PROGRAMA</v>
      </c>
      <c r="B30" s="106" t="str">
        <f>'CUMPLIMIENTO '!B30</f>
        <v>1.4.1</v>
      </c>
      <c r="C30" s="111" t="str">
        <f>'CUMPLIMIENTO '!C30</f>
        <v>Primero la vivienda</v>
      </c>
      <c r="D30" s="199">
        <f>'CUMPLIMIENTO '!D30</f>
        <v>2</v>
      </c>
      <c r="E30" s="199" t="str">
        <f>'CUMPLIMIENTO '!E30</f>
        <v>NP</v>
      </c>
      <c r="F30" s="61">
        <f>'CUMPLIMIENTO '!G30</f>
        <v>0.15540000000000001</v>
      </c>
      <c r="G30" s="61">
        <f>'CUMPLIMIENTO '!H30</f>
        <v>0.94181818181818178</v>
      </c>
    </row>
    <row r="31" spans="1:7" ht="15.75" hidden="1" x14ac:dyDescent="0.25">
      <c r="A31" s="198" t="str">
        <f>'CUMPLIMIENTO '!A31</f>
        <v>PROGRAMA</v>
      </c>
      <c r="B31" s="106" t="str">
        <f>'CUMPLIMIENTO '!B31</f>
        <v>1.4.2</v>
      </c>
      <c r="C31" s="111" t="str">
        <f>'CUMPLIMIENTO '!C31</f>
        <v>Primero el Agua</v>
      </c>
      <c r="D31" s="199">
        <f>'CUMPLIMIENTO '!D31</f>
        <v>6</v>
      </c>
      <c r="E31" s="199">
        <f>'CUMPLIMIENTO '!E31</f>
        <v>5</v>
      </c>
      <c r="F31" s="61">
        <f>'CUMPLIMIENTO '!G31</f>
        <v>0.23629629629629631</v>
      </c>
      <c r="G31" s="61">
        <f>'CUMPLIMIENTO '!H31</f>
        <v>0.32666666666666666</v>
      </c>
    </row>
    <row r="32" spans="1:7" ht="15.75" hidden="1" x14ac:dyDescent="0.25">
      <c r="A32" s="202" t="str">
        <f>'CUMPLIMIENTO '!A32</f>
        <v>LINEA</v>
      </c>
      <c r="B32" s="203" t="str">
        <f>'CUMPLIMIENTO '!B32</f>
        <v>1.5</v>
      </c>
      <c r="C32" s="202" t="str">
        <f>'CUMPLIMIENTO '!C32</f>
        <v>BOLÍVAR PRIMERO EN RECREACIÓN Y DEPORTES</v>
      </c>
      <c r="D32" s="216">
        <f>'CUMPLIMIENTO '!D32</f>
        <v>36</v>
      </c>
      <c r="E32" s="216">
        <f>'CUMPLIMIENTO '!E32</f>
        <v>31</v>
      </c>
      <c r="F32" s="217">
        <f>'CUMPLIMIENTO '!G32</f>
        <v>0.36201956749579395</v>
      </c>
      <c r="G32" s="218">
        <f>'CUMPLIMIENTO '!H32</f>
        <v>9.3472883991794042E-2</v>
      </c>
    </row>
    <row r="33" spans="1:7" ht="15.75" hidden="1" x14ac:dyDescent="0.25">
      <c r="A33" s="198" t="str">
        <f>'CUMPLIMIENTO '!A33</f>
        <v>PROGRAMA</v>
      </c>
      <c r="B33" s="106" t="str">
        <f>'CUMPLIMIENTO '!B33</f>
        <v>1.5.1</v>
      </c>
      <c r="C33" s="111" t="str">
        <f>'CUMPLIMIENTO '!C33</f>
        <v>Infraestructura Deportiva</v>
      </c>
      <c r="D33" s="199">
        <f>'CUMPLIMIENTO '!D33</f>
        <v>4</v>
      </c>
      <c r="E33" s="199">
        <f>'CUMPLIMIENTO '!E33</f>
        <v>1</v>
      </c>
      <c r="F33" s="61">
        <f>'CUMPLIMIENTO '!G33</f>
        <v>1.2500000000000001E-2</v>
      </c>
      <c r="G33" s="61">
        <f>'CUMPLIMIENTO '!H33</f>
        <v>0</v>
      </c>
    </row>
    <row r="34" spans="1:7" ht="15.75" hidden="1" x14ac:dyDescent="0.25">
      <c r="A34" s="198" t="str">
        <f>'CUMPLIMIENTO '!A34</f>
        <v>PROGRAMA</v>
      </c>
      <c r="B34" s="106" t="str">
        <f>'CUMPLIMIENTO '!B34</f>
        <v>1.5.2</v>
      </c>
      <c r="C34" s="111" t="str">
        <f>'CUMPLIMIENTO '!C34</f>
        <v>Altos logros y liderazgo deportivo Bolívar en los juegos nacionales 2023</v>
      </c>
      <c r="D34" s="199">
        <f>'CUMPLIMIENTO '!D34</f>
        <v>13</v>
      </c>
      <c r="E34" s="199">
        <f>'CUMPLIMIENTO '!E34</f>
        <v>12</v>
      </c>
      <c r="F34" s="61">
        <f>'CUMPLIMIENTO '!G34</f>
        <v>0.57189542483660138</v>
      </c>
      <c r="G34" s="61">
        <f>'CUMPLIMIENTO '!H34</f>
        <v>0.39417063728409762</v>
      </c>
    </row>
    <row r="35" spans="1:7" ht="15.75" hidden="1" x14ac:dyDescent="0.25">
      <c r="A35" s="198" t="str">
        <f>'CUMPLIMIENTO '!A35</f>
        <v>PROGRAMA</v>
      </c>
      <c r="B35" s="106" t="str">
        <f>'CUMPLIMIENTO '!B35</f>
        <v>1.5.3</v>
      </c>
      <c r="C35" s="111" t="str">
        <f>'CUMPLIMIENTO '!C35</f>
        <v>Deporte formativo escuelas para todos  y  Deporte formativo supérate Intercolegiados</v>
      </c>
      <c r="D35" s="199">
        <f>'CUMPLIMIENTO '!D35</f>
        <v>4</v>
      </c>
      <c r="E35" s="199">
        <f>'CUMPLIMIENTO '!E35</f>
        <v>4</v>
      </c>
      <c r="F35" s="61">
        <f>'CUMPLIMIENTO '!G35</f>
        <v>0.4841583333333333</v>
      </c>
      <c r="G35" s="61">
        <f>'CUMPLIMIENTO '!H35</f>
        <v>0</v>
      </c>
    </row>
    <row r="36" spans="1:7" ht="15.75" hidden="1" x14ac:dyDescent="0.25">
      <c r="A36" s="198" t="str">
        <f>'CUMPLIMIENTO '!A36</f>
        <v>PROGRAMA</v>
      </c>
      <c r="B36" s="106" t="str">
        <f>'CUMPLIMIENTO '!B36</f>
        <v>1.5.4</v>
      </c>
      <c r="C36" s="111" t="str">
        <f>'CUMPLIMIENTO '!C36</f>
        <v>Deporte social Comunitario</v>
      </c>
      <c r="D36" s="199">
        <f>'CUMPLIMIENTO '!D36</f>
        <v>3</v>
      </c>
      <c r="E36" s="199">
        <f>'CUMPLIMIENTO '!E36</f>
        <v>3</v>
      </c>
      <c r="F36" s="61">
        <f>'CUMPLIMIENTO '!G36</f>
        <v>0.46812996031746029</v>
      </c>
      <c r="G36" s="61">
        <f>'CUMPLIMIENTO '!H36</f>
        <v>0</v>
      </c>
    </row>
    <row r="37" spans="1:7" ht="15.75" hidden="1" x14ac:dyDescent="0.25">
      <c r="A37" s="198" t="str">
        <f>'CUMPLIMIENTO '!A37</f>
        <v>PROGRAMA</v>
      </c>
      <c r="B37" s="106" t="str">
        <f>'CUMPLIMIENTO '!B37</f>
        <v>1.5.5</v>
      </c>
      <c r="C37" s="111" t="str">
        <f>'CUMPLIMIENTO '!C37</f>
        <v>Las escuelas recreativas…un espacio lúdico del Bolívar primero</v>
      </c>
      <c r="D37" s="199">
        <f>'CUMPLIMIENTO '!D37</f>
        <v>6</v>
      </c>
      <c r="E37" s="199">
        <f>'CUMPLIMIENTO '!E37</f>
        <v>6</v>
      </c>
      <c r="F37" s="61">
        <f>'CUMPLIMIENTO '!G37</f>
        <v>0.3675913461538462</v>
      </c>
      <c r="G37" s="61">
        <f>'CUMPLIMIENTO '!H37</f>
        <v>0</v>
      </c>
    </row>
    <row r="38" spans="1:7" ht="15.75" hidden="1" x14ac:dyDescent="0.25">
      <c r="A38" s="198" t="str">
        <f>'CUMPLIMIENTO '!A38</f>
        <v>PROGRAMA</v>
      </c>
      <c r="B38" s="106" t="str">
        <f>'CUMPLIMIENTO '!B38</f>
        <v>1.5.6</v>
      </c>
      <c r="C38" s="111" t="str">
        <f>'CUMPLIMIENTO '!C38</f>
        <v>Hábitos y estilos de vida saludable “Bolívar primero…por tú salud ponte pilas</v>
      </c>
      <c r="D38" s="199">
        <f>'CUMPLIMIENTO '!D38</f>
        <v>6</v>
      </c>
      <c r="E38" s="199">
        <f>'CUMPLIMIENTO '!E38</f>
        <v>5</v>
      </c>
      <c r="F38" s="61">
        <f>'CUMPLIMIENTO '!G38</f>
        <v>0.26784234033352255</v>
      </c>
      <c r="G38" s="61">
        <f>'CUMPLIMIENTO '!H38</f>
        <v>0.16666666666666666</v>
      </c>
    </row>
    <row r="39" spans="1:7" ht="15.75" hidden="1" x14ac:dyDescent="0.25">
      <c r="A39" s="251" t="str">
        <f>'CUMPLIMIENTO '!A39</f>
        <v>LINEA</v>
      </c>
      <c r="B39" s="252" t="str">
        <f>'CUMPLIMIENTO '!B39</f>
        <v>1.6</v>
      </c>
      <c r="C39" s="251" t="str">
        <f>'CUMPLIMIENTO '!C39</f>
        <v>BOLÍVAR PROMUEVE EL ARTE, LA CULTURA Y SALVAGUARDA SU PATRIMONIO</v>
      </c>
      <c r="D39" s="253">
        <f>'CUMPLIMIENTO '!D39</f>
        <v>18</v>
      </c>
      <c r="E39" s="253">
        <f>'CUMPLIMIENTO '!E39</f>
        <v>12</v>
      </c>
      <c r="F39" s="254">
        <f>'CUMPLIMIENTO '!G39</f>
        <v>0.37134063003220613</v>
      </c>
      <c r="G39" s="255">
        <f>'CUMPLIMIENTO '!H39</f>
        <v>0.5</v>
      </c>
    </row>
    <row r="40" spans="1:7" ht="15.75" hidden="1" x14ac:dyDescent="0.25">
      <c r="A40" s="198" t="str">
        <f>'CUMPLIMIENTO '!A40</f>
        <v>PROGRAMA</v>
      </c>
      <c r="B40" s="106" t="str">
        <f>'CUMPLIMIENTO '!B40</f>
        <v>1.6.1</v>
      </c>
      <c r="C40" s="111" t="str">
        <f>'CUMPLIMIENTO '!C40</f>
        <v>Bolívar primero en arte y patrimonio</v>
      </c>
      <c r="D40" s="199">
        <f>'CUMPLIMIENTO '!D40</f>
        <v>6</v>
      </c>
      <c r="E40" s="199">
        <f>'CUMPLIMIENTO '!E40</f>
        <v>4</v>
      </c>
      <c r="F40" s="61">
        <f>'CUMPLIMIENTO '!G40</f>
        <v>0.24822916666666664</v>
      </c>
      <c r="G40" s="61">
        <f>'CUMPLIMIENTO '!H40</f>
        <v>0.41</v>
      </c>
    </row>
    <row r="41" spans="1:7" ht="15.75" hidden="1" x14ac:dyDescent="0.25">
      <c r="A41" s="198" t="str">
        <f>'CUMPLIMIENTO '!A41</f>
        <v>PROGRAMA</v>
      </c>
      <c r="B41" s="106" t="str">
        <f>'CUMPLIMIENTO '!B41</f>
        <v>1.6.2</v>
      </c>
      <c r="C41" s="111" t="str">
        <f>'CUMPLIMIENTO '!C41</f>
        <v>Bolívar primero en cultura</v>
      </c>
      <c r="D41" s="199">
        <f>'CUMPLIMIENTO '!D41</f>
        <v>12</v>
      </c>
      <c r="E41" s="199">
        <f>'CUMPLIMIENTO '!E41</f>
        <v>8</v>
      </c>
      <c r="F41" s="61">
        <f>'CUMPLIMIENTO '!G41</f>
        <v>0.4944520933977456</v>
      </c>
      <c r="G41" s="61">
        <f>'CUMPLIMIENTO '!H41</f>
        <v>0.59000000000000008</v>
      </c>
    </row>
    <row r="42" spans="1:7" ht="18.75" hidden="1" x14ac:dyDescent="0.25">
      <c r="A42" s="256" t="str">
        <f>'CUMPLIMIENTO '!A42</f>
        <v>EJE ESTRATEGICO</v>
      </c>
      <c r="B42" s="257">
        <f>'CUMPLIMIENTO '!B42</f>
        <v>2</v>
      </c>
      <c r="C42" s="258" t="str">
        <f>'CUMPLIMIENTO '!C42</f>
        <v>BOLÍVAR COMPETITIVO PARA LA INCLUSIÓN SOCIAL</v>
      </c>
      <c r="D42" s="259">
        <f>'CUMPLIMIENTO '!D42</f>
        <v>82</v>
      </c>
      <c r="E42" s="259">
        <f>'CUMPLIMIENTO '!E42</f>
        <v>45</v>
      </c>
      <c r="F42" s="260">
        <f>'CUMPLIMIENTO '!G42</f>
        <v>0.24329478481946754</v>
      </c>
      <c r="G42" s="260">
        <f>'CUMPLIMIENTO '!H42</f>
        <v>0.32985855013965804</v>
      </c>
    </row>
    <row r="43" spans="1:7" ht="15.75" hidden="1" x14ac:dyDescent="0.25">
      <c r="A43" s="202" t="str">
        <f>'CUMPLIMIENTO '!A43</f>
        <v>LINEA</v>
      </c>
      <c r="B43" s="203" t="str">
        <f>'CUMPLIMIENTO '!B43</f>
        <v>2.1</v>
      </c>
      <c r="C43" s="202" t="str">
        <f>'CUMPLIMIENTO '!C43</f>
        <v>BOLÍVAR PRIMERO EN INFRAESTRUCTURA Y TRANSPORTE</v>
      </c>
      <c r="D43" s="216">
        <f>'CUMPLIMIENTO '!D43</f>
        <v>4</v>
      </c>
      <c r="E43" s="216">
        <f>'CUMPLIMIENTO '!E43</f>
        <v>4</v>
      </c>
      <c r="F43" s="217">
        <f>'CUMPLIMIENTO '!G43</f>
        <v>0.52222222222222225</v>
      </c>
      <c r="G43" s="218">
        <f>'CUMPLIMIENTO '!H43</f>
        <v>0.49444444444444446</v>
      </c>
    </row>
    <row r="44" spans="1:7" ht="15.75" hidden="1" x14ac:dyDescent="0.25">
      <c r="A44" s="198" t="str">
        <f>'CUMPLIMIENTO '!A44</f>
        <v>PROGRAMA</v>
      </c>
      <c r="B44" s="106" t="str">
        <f>'CUMPLIMIENTO '!B44</f>
        <v>2.1.1</v>
      </c>
      <c r="C44" s="111" t="str">
        <f>'CUMPLIMIENTO '!C44</f>
        <v>Plan de conectividad para Bolívar</v>
      </c>
      <c r="D44" s="199">
        <f>'CUMPLIMIENTO '!D44</f>
        <v>3</v>
      </c>
      <c r="E44" s="199">
        <f>'CUMPLIMIENTO '!E44</f>
        <v>3</v>
      </c>
      <c r="F44" s="61">
        <f>'CUMPLIMIENTO '!G44</f>
        <v>0.64444444444444449</v>
      </c>
      <c r="G44" s="61">
        <f>'CUMPLIMIENTO '!H44</f>
        <v>0.48888888888888893</v>
      </c>
    </row>
    <row r="45" spans="1:7" ht="15.75" hidden="1" x14ac:dyDescent="0.25">
      <c r="A45" s="198" t="str">
        <f>'CUMPLIMIENTO '!A45</f>
        <v>PROGRAMA</v>
      </c>
      <c r="B45" s="106" t="str">
        <f>'CUMPLIMIENTO '!B45</f>
        <v xml:space="preserve">2.1.2 </v>
      </c>
      <c r="C45" s="111" t="str">
        <f>'CUMPLIMIENTO '!C45</f>
        <v>Bolívar se desarrolla por el Río</v>
      </c>
      <c r="D45" s="199">
        <f>'CUMPLIMIENTO '!D45</f>
        <v>1</v>
      </c>
      <c r="E45" s="199">
        <f>'CUMPLIMIENTO '!E45</f>
        <v>1</v>
      </c>
      <c r="F45" s="61">
        <f>'CUMPLIMIENTO '!G45</f>
        <v>0.4</v>
      </c>
      <c r="G45" s="61">
        <f>'CUMPLIMIENTO '!H45</f>
        <v>0.5</v>
      </c>
    </row>
    <row r="46" spans="1:7" ht="15.75" hidden="1" x14ac:dyDescent="0.25">
      <c r="A46" s="251" t="str">
        <f>'CUMPLIMIENTO '!A46</f>
        <v>LINEA</v>
      </c>
      <c r="B46" s="252" t="str">
        <f>'CUMPLIMIENTO '!B46</f>
        <v>2.2</v>
      </c>
      <c r="C46" s="251" t="str">
        <f>'CUMPLIMIENTO '!C46</f>
        <v>BOLÍVAR PRIMERO EN MOVILIDAD</v>
      </c>
      <c r="D46" s="253">
        <f>'CUMPLIMIENTO '!D46</f>
        <v>7</v>
      </c>
      <c r="E46" s="253">
        <f>'CUMPLIMIENTO '!E46</f>
        <v>3</v>
      </c>
      <c r="F46" s="254">
        <f>'CUMPLIMIENTO '!G46</f>
        <v>0.21714285714285717</v>
      </c>
      <c r="G46" s="255">
        <f>'CUMPLIMIENTO '!H46</f>
        <v>0.125</v>
      </c>
    </row>
    <row r="47" spans="1:7" ht="15.75" hidden="1" x14ac:dyDescent="0.25">
      <c r="A47" s="198" t="str">
        <f>'CUMPLIMIENTO '!A47</f>
        <v>PROGRAMA</v>
      </c>
      <c r="B47" s="106" t="str">
        <f>'CUMPLIMIENTO '!B47</f>
        <v>2.2.1</v>
      </c>
      <c r="C47" s="111" t="str">
        <f>'CUMPLIMIENTO '!C47</f>
        <v>Bolívar Primero con Movilidad Segura.</v>
      </c>
      <c r="D47" s="199">
        <f>'CUMPLIMIENTO '!D47</f>
        <v>5</v>
      </c>
      <c r="E47" s="199">
        <f>'CUMPLIMIENTO '!E47</f>
        <v>3</v>
      </c>
      <c r="F47" s="61">
        <f>'CUMPLIMIENTO '!G47</f>
        <v>0.43428571428571433</v>
      </c>
      <c r="G47" s="61">
        <f>'CUMPLIMIENTO '!H47</f>
        <v>0.25</v>
      </c>
    </row>
    <row r="48" spans="1:7" ht="15.75" hidden="1" x14ac:dyDescent="0.25">
      <c r="A48" s="198" t="str">
        <f>'CUMPLIMIENTO '!A48</f>
        <v>PROGRAMA</v>
      </c>
      <c r="B48" s="106" t="str">
        <f>'CUMPLIMIENTO '!B48</f>
        <v xml:space="preserve">2.2.2 </v>
      </c>
      <c r="C48" s="111" t="str">
        <f>'CUMPLIMIENTO '!C48</f>
        <v>Bolívar Primero con Infraestructura y Transporte y Movilidad Activa</v>
      </c>
      <c r="D48" s="199">
        <f>'CUMPLIMIENTO '!D48</f>
        <v>2</v>
      </c>
      <c r="E48" s="199" t="str">
        <f>'CUMPLIMIENTO '!E48</f>
        <v>NP</v>
      </c>
      <c r="F48" s="61">
        <f>'CUMPLIMIENTO '!G48</f>
        <v>0</v>
      </c>
      <c r="G48" s="61">
        <f>'CUMPLIMIENTO '!H48</f>
        <v>0</v>
      </c>
    </row>
    <row r="49" spans="1:7" ht="15.75" hidden="1" x14ac:dyDescent="0.25">
      <c r="A49" s="202" t="str">
        <f>'CUMPLIMIENTO '!A49</f>
        <v>LINEA</v>
      </c>
      <c r="B49" s="203" t="str">
        <f>'CUMPLIMIENTO '!B49</f>
        <v>2.3</v>
      </c>
      <c r="C49" s="202" t="str">
        <f>'CUMPLIMIENTO '!C49</f>
        <v>BOLÍVAR PRIMERO EN TECNOLOGÍAS DE LA INFORMACIÓN Y LAS COMUNICACIONES</v>
      </c>
      <c r="D49" s="216">
        <f>'CUMPLIMIENTO '!D49</f>
        <v>4</v>
      </c>
      <c r="E49" s="216">
        <f>'CUMPLIMIENTO '!E49</f>
        <v>1</v>
      </c>
      <c r="F49" s="217">
        <f>'CUMPLIMIENTO '!G49</f>
        <v>0.33750000000000002</v>
      </c>
      <c r="G49" s="218">
        <f>'CUMPLIMIENTO '!H49</f>
        <v>0.10625000000000001</v>
      </c>
    </row>
    <row r="50" spans="1:7" ht="15.75" hidden="1" x14ac:dyDescent="0.25">
      <c r="A50" s="198" t="str">
        <f>'CUMPLIMIENTO '!A50</f>
        <v>PROGRAMA</v>
      </c>
      <c r="B50" s="106" t="str">
        <f>'CUMPLIMIENTO '!B50</f>
        <v>2.3.1</v>
      </c>
      <c r="C50" s="111" t="str">
        <f>'CUMPLIMIENTO '!C50</f>
        <v>TIC’s para la competitividad y la inclusión social</v>
      </c>
      <c r="D50" s="199">
        <f>'CUMPLIMIENTO '!D50</f>
        <v>4</v>
      </c>
      <c r="E50" s="199">
        <f>'CUMPLIMIENTO '!E50</f>
        <v>1</v>
      </c>
      <c r="F50" s="61">
        <f>'CUMPLIMIENTO '!G50</f>
        <v>0.33750000000000002</v>
      </c>
      <c r="G50" s="61">
        <f>'CUMPLIMIENTO '!H50</f>
        <v>0.10625000000000001</v>
      </c>
    </row>
    <row r="51" spans="1:7" ht="15.75" hidden="1" x14ac:dyDescent="0.25">
      <c r="A51" s="251" t="str">
        <f>'CUMPLIMIENTO '!A51</f>
        <v>LINEA</v>
      </c>
      <c r="B51" s="252" t="str">
        <f>'CUMPLIMIENTO '!B51</f>
        <v>2.4</v>
      </c>
      <c r="C51" s="251" t="str">
        <f>'CUMPLIMIENTO '!C51</f>
        <v>BOLÍVAR PRIMERO EN DESARROLLO ECONÓMICO</v>
      </c>
      <c r="D51" s="253">
        <f>'CUMPLIMIENTO '!D51</f>
        <v>7</v>
      </c>
      <c r="E51" s="253">
        <f>'CUMPLIMIENTO '!E51</f>
        <v>3</v>
      </c>
      <c r="F51" s="254">
        <f>'CUMPLIMIENTO '!G51</f>
        <v>0.28287037037037033</v>
      </c>
      <c r="G51" s="255">
        <f>'CUMPLIMIENTO '!H51</f>
        <v>0.45833333333333331</v>
      </c>
    </row>
    <row r="52" spans="1:7" ht="15.75" hidden="1" x14ac:dyDescent="0.25">
      <c r="A52" s="198" t="str">
        <f>'CUMPLIMIENTO '!A52</f>
        <v>PROGRAMA</v>
      </c>
      <c r="B52" s="106" t="str">
        <f>'CUMPLIMIENTO '!B52</f>
        <v>2.4.1</v>
      </c>
      <c r="C52" s="111" t="str">
        <f>'CUMPLIMIENTO '!C52</f>
        <v>2.4.1.	Promoción del Departamento para la competitividad</v>
      </c>
      <c r="D52" s="199">
        <f>'CUMPLIMIENTO '!D52</f>
        <v>4</v>
      </c>
      <c r="E52" s="199">
        <f>'CUMPLIMIENTO '!E52</f>
        <v>2</v>
      </c>
      <c r="F52" s="61">
        <f>'CUMPLIMIENTO '!G52</f>
        <v>0.19166666666666665</v>
      </c>
      <c r="G52" s="61">
        <f>'CUMPLIMIENTO '!H52</f>
        <v>0.25</v>
      </c>
    </row>
    <row r="53" spans="1:7" ht="15.75" hidden="1" x14ac:dyDescent="0.25">
      <c r="A53" s="198" t="str">
        <f>'CUMPLIMIENTO '!A53</f>
        <v>PROGRAMA</v>
      </c>
      <c r="B53" s="106" t="str">
        <f>'CUMPLIMIENTO '!B53</f>
        <v>2.4.2</v>
      </c>
      <c r="C53" s="111" t="str">
        <f>'CUMPLIMIENTO '!C53</f>
        <v>Bolivar Primero en emprendimiento y encadenamientos productivos</v>
      </c>
      <c r="D53" s="199">
        <f>'CUMPLIMIENTO '!D53</f>
        <v>3</v>
      </c>
      <c r="E53" s="199">
        <f>'CUMPLIMIENTO '!E53</f>
        <v>1</v>
      </c>
      <c r="F53" s="61">
        <f>'CUMPLIMIENTO '!G53</f>
        <v>0.37407407407407406</v>
      </c>
      <c r="G53" s="61">
        <f>'CUMPLIMIENTO '!H53</f>
        <v>0.66666666666666663</v>
      </c>
    </row>
    <row r="54" spans="1:7" ht="15.75" hidden="1" x14ac:dyDescent="0.25">
      <c r="A54" s="202" t="str">
        <f>'CUMPLIMIENTO '!A54</f>
        <v>LINEA</v>
      </c>
      <c r="B54" s="203" t="str">
        <f>'CUMPLIMIENTO '!B54</f>
        <v>2.5</v>
      </c>
      <c r="C54" s="202" t="str">
        <f>'CUMPLIMIENTO '!C54</f>
        <v>BOLÍVAR PRIMERO EN AGRICULTURA, EXPLOTACIONES PECUARIAS, PESCA FORESTAL Y SEGURIDAD ALIMENTARIA</v>
      </c>
      <c r="D54" s="216">
        <f>'CUMPLIMIENTO '!D54</f>
        <v>8</v>
      </c>
      <c r="E54" s="216">
        <f>'CUMPLIMIENTO '!E54</f>
        <v>6</v>
      </c>
      <c r="F54" s="217">
        <f>'CUMPLIMIENTO '!G54</f>
        <v>0.26021690090122751</v>
      </c>
      <c r="G54" s="218">
        <f>'CUMPLIMIENTO '!H54</f>
        <v>0.37503049785364378</v>
      </c>
    </row>
    <row r="55" spans="1:7" ht="15.75" hidden="1" x14ac:dyDescent="0.25">
      <c r="A55" s="198" t="str">
        <f>'CUMPLIMIENTO '!A55</f>
        <v>PROGRAMA</v>
      </c>
      <c r="B55" s="106" t="str">
        <f>'CUMPLIMIENTO '!B55</f>
        <v>2.5.1</v>
      </c>
      <c r="C55" s="111" t="str">
        <f>'CUMPLIMIENTO '!C55</f>
        <v>Tecnología al campo</v>
      </c>
      <c r="D55" s="199">
        <f>'CUMPLIMIENTO '!D55</f>
        <v>1</v>
      </c>
      <c r="E55" s="199">
        <f>'CUMPLIMIENTO '!E55</f>
        <v>1</v>
      </c>
      <c r="F55" s="61">
        <f>'CUMPLIMIENTO '!G55</f>
        <v>2.032520325203252E-2</v>
      </c>
      <c r="G55" s="61">
        <f>'CUMPLIMIENTO '!H55</f>
        <v>0.1360544217687075</v>
      </c>
    </row>
    <row r="56" spans="1:7" ht="15.75" hidden="1" x14ac:dyDescent="0.25">
      <c r="A56" s="198" t="str">
        <f>'CUMPLIMIENTO '!A56</f>
        <v>PROGRAMA</v>
      </c>
      <c r="B56" s="106" t="str">
        <f>'CUMPLIMIENTO '!B56</f>
        <v>2.5.2</v>
      </c>
      <c r="C56" s="111" t="str">
        <f>'CUMPLIMIENTO '!C56</f>
        <v>Bolívar fomenta la agroindustria</v>
      </c>
      <c r="D56" s="199">
        <f>'CUMPLIMIENTO '!D56</f>
        <v>1</v>
      </c>
      <c r="E56" s="199">
        <f>'CUMPLIMIENTO '!E56</f>
        <v>1</v>
      </c>
      <c r="F56" s="61">
        <f>'CUMPLIMIENTO '!G56</f>
        <v>6.6559999999999994E-2</v>
      </c>
      <c r="G56" s="61">
        <f>'CUMPLIMIENTO '!H56</f>
        <v>2.8307508939213348E-2</v>
      </c>
    </row>
    <row r="57" spans="1:7" ht="15.75" hidden="1" x14ac:dyDescent="0.25">
      <c r="A57" s="198" t="str">
        <f>'CUMPLIMIENTO '!A57</f>
        <v>PROGRAMA</v>
      </c>
      <c r="B57" s="106" t="str">
        <f>'CUMPLIMIENTO '!B57</f>
        <v>2.5.3</v>
      </c>
      <c r="C57" s="111" t="str">
        <f>'CUMPLIMIENTO '!C57</f>
        <v>Del campo al mercado</v>
      </c>
      <c r="D57" s="199">
        <f>'CUMPLIMIENTO '!D57</f>
        <v>3</v>
      </c>
      <c r="E57" s="199">
        <f>'CUMPLIMIENTO '!E57</f>
        <v>2</v>
      </c>
      <c r="F57" s="61">
        <f>'CUMPLIMIENTO '!G57</f>
        <v>0.10006837606837608</v>
      </c>
      <c r="G57" s="61">
        <f>'CUMPLIMIENTO '!H57</f>
        <v>0.54842975206611566</v>
      </c>
    </row>
    <row r="58" spans="1:7" ht="15.75" hidden="1" x14ac:dyDescent="0.25">
      <c r="A58" s="198" t="str">
        <f>'CUMPLIMIENTO '!A58</f>
        <v>PROGRAMA</v>
      </c>
      <c r="B58" s="106" t="str">
        <f>'CUMPLIMIENTO '!B58</f>
        <v>2.5.4</v>
      </c>
      <c r="C58" s="111" t="str">
        <f>'CUMPLIMIENTO '!C58</f>
        <v>Apoyo a los municipios en el ordenamiento social de la propiedad.</v>
      </c>
      <c r="D58" s="199">
        <f>'CUMPLIMIENTO '!D58</f>
        <v>1</v>
      </c>
      <c r="E58" s="199">
        <f>'CUMPLIMIENTO '!E58</f>
        <v>1</v>
      </c>
      <c r="F58" s="61">
        <f>'CUMPLIMIENTO '!G58</f>
        <v>0.30434782608695654</v>
      </c>
      <c r="G58" s="61">
        <f>'CUMPLIMIENTO '!H58</f>
        <v>0.21739130434782608</v>
      </c>
    </row>
    <row r="59" spans="1:7" ht="15.75" hidden="1" x14ac:dyDescent="0.25">
      <c r="A59" s="198" t="str">
        <f>'CUMPLIMIENTO '!A59</f>
        <v>PROGRAMA</v>
      </c>
      <c r="B59" s="106" t="str">
        <f>'CUMPLIMIENTO '!B59</f>
        <v xml:space="preserve">2.5.5 </v>
      </c>
      <c r="C59" s="111" t="str">
        <f>'CUMPLIMIENTO '!C59</f>
        <v xml:space="preserve">Bancarización </v>
      </c>
      <c r="D59" s="199">
        <f>'CUMPLIMIENTO '!D59</f>
        <v>1</v>
      </c>
      <c r="E59" s="199">
        <f>'CUMPLIMIENTO '!E59</f>
        <v>1</v>
      </c>
      <c r="F59" s="61">
        <f>'CUMPLIMIENTO '!G59</f>
        <v>7.0000000000000007E-2</v>
      </c>
      <c r="G59" s="61">
        <f>'CUMPLIMIENTO '!H59</f>
        <v>0.32</v>
      </c>
    </row>
    <row r="60" spans="1:7" ht="15.75" hidden="1" x14ac:dyDescent="0.25">
      <c r="A60" s="198" t="str">
        <f>'CUMPLIMIENTO '!A60</f>
        <v>PROGRAMA</v>
      </c>
      <c r="B60" s="106" t="str">
        <f>'CUMPLIMIENTO '!B60</f>
        <v>2.5.6</v>
      </c>
      <c r="C60" s="111" t="str">
        <f>'CUMPLIMIENTO '!C60</f>
        <v xml:space="preserve">Seguridad alimentaria </v>
      </c>
      <c r="D60" s="199">
        <f>'CUMPLIMIENTO '!D60</f>
        <v>1</v>
      </c>
      <c r="E60" s="199" t="str">
        <f>'CUMPLIMIENTO '!E60</f>
        <v>NP</v>
      </c>
      <c r="F60" s="61">
        <f>'CUMPLIMIENTO '!G60</f>
        <v>1</v>
      </c>
      <c r="G60" s="61">
        <f>'CUMPLIMIENTO '!H60</f>
        <v>1</v>
      </c>
    </row>
    <row r="61" spans="1:7" ht="15.75" hidden="1" x14ac:dyDescent="0.25">
      <c r="A61" s="251" t="str">
        <f>'CUMPLIMIENTO '!A61</f>
        <v>LINEA</v>
      </c>
      <c r="B61" s="252" t="str">
        <f>'CUMPLIMIENTO '!B61</f>
        <v>2.6</v>
      </c>
      <c r="C61" s="251" t="str">
        <f>'CUMPLIMIENTO '!C61</f>
        <v>BOLIVAR PRIMERO EN PRODUCTIVIDAD Y COMPETITIVIDAD MINERO ENERGÉTICA</v>
      </c>
      <c r="D61" s="253">
        <f>'CUMPLIMIENTO '!D61</f>
        <v>18</v>
      </c>
      <c r="E61" s="253">
        <f>'CUMPLIMIENTO '!E61</f>
        <v>6</v>
      </c>
      <c r="F61" s="254">
        <f>'CUMPLIMIENTO '!G61</f>
        <v>0.14849206349206351</v>
      </c>
      <c r="G61" s="255">
        <f>'CUMPLIMIENTO '!H61</f>
        <v>0.23641470737153236</v>
      </c>
    </row>
    <row r="62" spans="1:7" ht="15.75" hidden="1" x14ac:dyDescent="0.25">
      <c r="A62" s="198" t="str">
        <f>'CUMPLIMIENTO '!A62</f>
        <v>PROGRAMA</v>
      </c>
      <c r="B62" s="106" t="str">
        <f>'CUMPLIMIENTO '!B62</f>
        <v>2.6.1</v>
      </c>
      <c r="C62" s="111" t="str">
        <f>'CUMPLIMIENTO '!C62</f>
        <v>Minería responsable y segura</v>
      </c>
      <c r="D62" s="199">
        <f>'CUMPLIMIENTO '!D62</f>
        <v>3</v>
      </c>
      <c r="E62" s="199" t="str">
        <f>'CUMPLIMIENTO '!E62</f>
        <v>NP</v>
      </c>
      <c r="F62" s="61">
        <f>'CUMPLIMIENTO '!G62</f>
        <v>5.5555555555555552E-2</v>
      </c>
      <c r="G62" s="61">
        <f>'CUMPLIMIENTO '!H62</f>
        <v>0.16666666666666666</v>
      </c>
    </row>
    <row r="63" spans="1:7" ht="15.75" hidden="1" x14ac:dyDescent="0.25">
      <c r="A63" s="198" t="str">
        <f>'CUMPLIMIENTO '!A63</f>
        <v>PROGRAMA</v>
      </c>
      <c r="B63" s="106" t="str">
        <f>'CUMPLIMIENTO '!B63</f>
        <v>2.6.2</v>
      </c>
      <c r="C63" s="111" t="str">
        <f>'CUMPLIMIENTO '!C63</f>
        <v xml:space="preserve">Minería productiva y competitiva. </v>
      </c>
      <c r="D63" s="199">
        <f>'CUMPLIMIENTO '!D63</f>
        <v>4</v>
      </c>
      <c r="E63" s="199">
        <f>'CUMPLIMIENTO '!E63</f>
        <v>3</v>
      </c>
      <c r="F63" s="61">
        <f>'CUMPLIMIENTO '!G63</f>
        <v>0.17857142857142858</v>
      </c>
      <c r="G63" s="61">
        <f>'CUMPLIMIENTO '!H63</f>
        <v>0.2</v>
      </c>
    </row>
    <row r="64" spans="1:7" ht="15.75" hidden="1" x14ac:dyDescent="0.25">
      <c r="A64" s="198" t="str">
        <f>'CUMPLIMIENTO '!A64</f>
        <v>PROGRAMA</v>
      </c>
      <c r="B64" s="106" t="str">
        <f>'CUMPLIMIENTO '!B64</f>
        <v>2.6.3</v>
      </c>
      <c r="C64" s="111" t="str">
        <f>'CUMPLIMIENTO '!C64</f>
        <v>Ambiente y Minería de la mano, bajo el marco de la legalidad.</v>
      </c>
      <c r="D64" s="199">
        <f>'CUMPLIMIENTO '!D64</f>
        <v>5</v>
      </c>
      <c r="E64" s="199">
        <f>'CUMPLIMIENTO '!E64</f>
        <v>1</v>
      </c>
      <c r="F64" s="61">
        <f>'CUMPLIMIENTO '!G64</f>
        <v>0.155</v>
      </c>
      <c r="G64" s="61">
        <f>'CUMPLIMIENTO '!H64</f>
        <v>0.2298008095849346</v>
      </c>
    </row>
    <row r="65" spans="1:7" ht="15.75" hidden="1" x14ac:dyDescent="0.25">
      <c r="A65" s="198" t="str">
        <f>'CUMPLIMIENTO '!A65</f>
        <v>PROGRAMA</v>
      </c>
      <c r="B65" s="106" t="str">
        <f>'CUMPLIMIENTO '!B65</f>
        <v>2.6.4</v>
      </c>
      <c r="C65" s="111" t="str">
        <f>'CUMPLIMIENTO '!C65</f>
        <v xml:space="preserve">Minería y el desarrollo social participativo </v>
      </c>
      <c r="D65" s="199">
        <f>'CUMPLIMIENTO '!D65</f>
        <v>3</v>
      </c>
      <c r="E65" s="199">
        <f>'CUMPLIMIENTO '!E65</f>
        <v>1</v>
      </c>
      <c r="F65" s="61">
        <f>'CUMPLIMIENTO '!G65</f>
        <v>8.111111111111112E-2</v>
      </c>
      <c r="G65" s="61">
        <f>'CUMPLIMIENTO '!H65</f>
        <v>6.0606060606060608E-2</v>
      </c>
    </row>
    <row r="66" spans="1:7" ht="15.75" hidden="1" x14ac:dyDescent="0.25">
      <c r="A66" s="198" t="str">
        <f>'CUMPLIMIENTO '!A66</f>
        <v>PROGRAMA</v>
      </c>
      <c r="B66" s="106" t="str">
        <f>'CUMPLIMIENTO '!B66</f>
        <v>2.6.5</v>
      </c>
      <c r="C66" s="111" t="str">
        <f>'CUMPLIMIENTO '!C66</f>
        <v xml:space="preserve">Bolívar primero en gas y energía para todos </v>
      </c>
      <c r="D66" s="199">
        <f>'CUMPLIMIENTO '!D66</f>
        <v>3</v>
      </c>
      <c r="E66" s="199">
        <f>'CUMPLIMIENTO '!E66</f>
        <v>1</v>
      </c>
      <c r="F66" s="61">
        <f>'CUMPLIMIENTO '!G66</f>
        <v>0.2722222222222222</v>
      </c>
      <c r="G66" s="61">
        <f>'CUMPLIMIENTO '!H66</f>
        <v>0.52500000000000002</v>
      </c>
    </row>
    <row r="67" spans="1:7" ht="15.75" hidden="1" x14ac:dyDescent="0.25">
      <c r="A67" s="202" t="str">
        <f>'CUMPLIMIENTO '!A67</f>
        <v>LINEA</v>
      </c>
      <c r="B67" s="203" t="str">
        <f>'CUMPLIMIENTO '!B67</f>
        <v>2.7</v>
      </c>
      <c r="C67" s="202" t="str">
        <f>'CUMPLIMIENTO '!C67</f>
        <v>BOLIVAR PRIMERO EN TURISMO</v>
      </c>
      <c r="D67" s="216">
        <f>'CUMPLIMIENTO '!D67</f>
        <v>15</v>
      </c>
      <c r="E67" s="216">
        <f>'CUMPLIMIENTO '!E67</f>
        <v>11</v>
      </c>
      <c r="F67" s="217">
        <f>'CUMPLIMIENTO '!G67</f>
        <v>0.40225641025641029</v>
      </c>
      <c r="G67" s="218">
        <f>'CUMPLIMIENTO '!H67</f>
        <v>0.47361111111111104</v>
      </c>
    </row>
    <row r="68" spans="1:7" ht="15.75" hidden="1" x14ac:dyDescent="0.25">
      <c r="A68" s="198" t="str">
        <f>'CUMPLIMIENTO '!A68</f>
        <v>PROGRAMA</v>
      </c>
      <c r="B68" s="106" t="str">
        <f>'CUMPLIMIENTO '!B68</f>
        <v xml:space="preserve">2.7.1 </v>
      </c>
      <c r="C68" s="111" t="str">
        <f>'CUMPLIMIENTO '!C68</f>
        <v>Bolívar primero en turismo, destinos mágicos</v>
      </c>
      <c r="D68" s="199">
        <f>'CUMPLIMIENTO '!D68</f>
        <v>15</v>
      </c>
      <c r="E68" s="199">
        <f>'CUMPLIMIENTO '!E68</f>
        <v>11</v>
      </c>
      <c r="F68" s="61">
        <f>'CUMPLIMIENTO '!G68</f>
        <v>0.40225641025641029</v>
      </c>
      <c r="G68" s="61">
        <f>'CUMPLIMIENTO '!H68</f>
        <v>0.47361111111111104</v>
      </c>
    </row>
    <row r="69" spans="1:7" ht="15.75" hidden="1" x14ac:dyDescent="0.25">
      <c r="A69" s="251" t="str">
        <f>'CUMPLIMIENTO '!A69</f>
        <v>LINEA</v>
      </c>
      <c r="B69" s="252" t="str">
        <f>'CUMPLIMIENTO '!B69</f>
        <v>2.8</v>
      </c>
      <c r="C69" s="251" t="str">
        <f>'CUMPLIMIENTO '!C69</f>
        <v>TRABAJO DECENTE Y SOSTENIBILIDAD DEL EMPLEO EN ESCENARIOS DE AMENAZAS</v>
      </c>
      <c r="D69" s="253">
        <f>'CUMPLIMIENTO '!D69</f>
        <v>4</v>
      </c>
      <c r="E69" s="253" t="str">
        <f>'CUMPLIMIENTO '!E69</f>
        <v>NP</v>
      </c>
      <c r="F69" s="254">
        <f>'CUMPLIMIENTO '!G69</f>
        <v>8.3333333333333343E-2</v>
      </c>
      <c r="G69" s="255">
        <f>'CUMPLIMIENTO '!H69</f>
        <v>0.19642857142857142</v>
      </c>
    </row>
    <row r="70" spans="1:7" ht="15.75" hidden="1" x14ac:dyDescent="0.25">
      <c r="A70" s="198" t="str">
        <f>'CUMPLIMIENTO '!A70</f>
        <v>PROGRAMA</v>
      </c>
      <c r="B70" s="106" t="str">
        <f>'CUMPLIMIENTO '!B70</f>
        <v xml:space="preserve">2.8.1 </v>
      </c>
      <c r="C70" s="111" t="str">
        <f>'CUMPLIMIENTO '!C70</f>
        <v>Empleo y trabajo decente</v>
      </c>
      <c r="D70" s="199">
        <f>'CUMPLIMIENTO '!D70</f>
        <v>3</v>
      </c>
      <c r="E70" s="199" t="str">
        <f>'CUMPLIMIENTO '!E70</f>
        <v>NP</v>
      </c>
      <c r="F70" s="61">
        <f>'CUMPLIMIENTO '!G70</f>
        <v>6.6666666666666666E-2</v>
      </c>
      <c r="G70" s="61">
        <f>'CUMPLIMIENTO '!H70</f>
        <v>0.14285714285714285</v>
      </c>
    </row>
    <row r="71" spans="1:7" ht="15.75" hidden="1" x14ac:dyDescent="0.25">
      <c r="A71" s="198" t="str">
        <f>'CUMPLIMIENTO '!A71</f>
        <v>PROGRAMA</v>
      </c>
      <c r="B71" s="106" t="str">
        <f>'CUMPLIMIENTO '!B71</f>
        <v>2.8.2</v>
      </c>
      <c r="C71" s="111" t="str">
        <f>'CUMPLIMIENTO '!C71</f>
        <v>Bolívar Primero en beneficios BEPS y desempleo</v>
      </c>
      <c r="D71" s="199">
        <f>'CUMPLIMIENTO '!D71</f>
        <v>1</v>
      </c>
      <c r="E71" s="199" t="str">
        <f>'CUMPLIMIENTO '!E71</f>
        <v>NP</v>
      </c>
      <c r="F71" s="61">
        <f>'CUMPLIMIENTO '!G71</f>
        <v>0.1</v>
      </c>
      <c r="G71" s="61">
        <f>'CUMPLIMIENTO '!H71</f>
        <v>0.25</v>
      </c>
    </row>
    <row r="72" spans="1:7" ht="15.75" hidden="1" x14ac:dyDescent="0.25">
      <c r="A72" s="202" t="str">
        <f>'CUMPLIMIENTO '!A72</f>
        <v>LINEA</v>
      </c>
      <c r="B72" s="203" t="str">
        <f>'CUMPLIMIENTO '!B72</f>
        <v>2.9</v>
      </c>
      <c r="C72" s="202" t="str">
        <f>'CUMPLIMIENTO '!C72</f>
        <v>BOLIVAR PRIMERO EN CIENCIA TECNOLOGÍA E INNOVACIÓN</v>
      </c>
      <c r="D72" s="216">
        <f>'CUMPLIMIENTO '!D72</f>
        <v>11</v>
      </c>
      <c r="E72" s="216">
        <f>'CUMPLIMIENTO '!E72</f>
        <v>11</v>
      </c>
      <c r="F72" s="217">
        <f>'CUMPLIMIENTO '!G72</f>
        <v>0.17891369047619049</v>
      </c>
      <c r="G72" s="218">
        <f>'CUMPLIMIENTO '!H72</f>
        <v>0.50321428571428573</v>
      </c>
    </row>
    <row r="73" spans="1:7" ht="15.75" hidden="1" x14ac:dyDescent="0.25">
      <c r="A73" s="198" t="str">
        <f>'CUMPLIMIENTO '!A73</f>
        <v>PROGRAMA</v>
      </c>
      <c r="B73" s="106" t="str">
        <f>'CUMPLIMIENTO '!B73</f>
        <v>2.9.1</v>
      </c>
      <c r="C73" s="111" t="str">
        <f>'CUMPLIMIENTO '!C73</f>
        <v>Fortalecimiento del sistema territorial del CTI.</v>
      </c>
      <c r="D73" s="199">
        <f>'CUMPLIMIENTO '!D73</f>
        <v>2</v>
      </c>
      <c r="E73" s="199">
        <f>'CUMPLIMIENTO '!E73</f>
        <v>2</v>
      </c>
      <c r="F73" s="61">
        <f>'CUMPLIMIENTO '!G73</f>
        <v>0.37500000000000006</v>
      </c>
      <c r="G73" s="61">
        <f>'CUMPLIMIENTO '!H73</f>
        <v>1</v>
      </c>
    </row>
    <row r="74" spans="1:7" ht="15.75" hidden="1" x14ac:dyDescent="0.25">
      <c r="A74" s="198" t="str">
        <f>'CUMPLIMIENTO '!A74</f>
        <v>PROGRAMA</v>
      </c>
      <c r="B74" s="106" t="str">
        <f>'CUMPLIMIENTO '!B74</f>
        <v>2.9.2</v>
      </c>
      <c r="C74" s="111" t="str">
        <f>'CUMPLIMIENTO '!C74</f>
        <v>Apropiación social del CTEI y vocaciones para la consolidación de una sociedad del conocimiento.</v>
      </c>
      <c r="D74" s="199">
        <f>'CUMPLIMIENTO '!D74</f>
        <v>6</v>
      </c>
      <c r="E74" s="199">
        <f>'CUMPLIMIENTO '!E74</f>
        <v>6</v>
      </c>
      <c r="F74" s="61">
        <f>'CUMPLIMIENTO '!G74</f>
        <v>0.13208333333333333</v>
      </c>
      <c r="G74" s="61">
        <f>'CUMPLIMIENTO '!H74</f>
        <v>0.41285714285714292</v>
      </c>
    </row>
    <row r="75" spans="1:7" ht="15.75" hidden="1" x14ac:dyDescent="0.25">
      <c r="A75" s="198" t="str">
        <f>'CUMPLIMIENTO '!A75</f>
        <v>PROGRAMA</v>
      </c>
      <c r="B75" s="106" t="str">
        <f>'CUMPLIMIENTO '!B75</f>
        <v>2.9.3</v>
      </c>
      <c r="C75" s="111" t="str">
        <f>'CUMPLIMIENTO '!C75</f>
        <v>Formación del capital humano de alto nivel del CTEI</v>
      </c>
      <c r="D75" s="199">
        <f>'CUMPLIMIENTO '!D75</f>
        <v>2</v>
      </c>
      <c r="E75" s="199">
        <f>'CUMPLIMIENTO '!E75</f>
        <v>2</v>
      </c>
      <c r="F75" s="61">
        <f>'CUMPLIMIENTO '!G75</f>
        <v>0.17857142857142858</v>
      </c>
      <c r="G75" s="61">
        <f>'CUMPLIMIENTO '!H75</f>
        <v>0.5</v>
      </c>
    </row>
    <row r="76" spans="1:7" ht="15.75" hidden="1" x14ac:dyDescent="0.25">
      <c r="A76" s="198" t="str">
        <f>'CUMPLIMIENTO '!A76</f>
        <v>PROGRAMA</v>
      </c>
      <c r="B76" s="106" t="str">
        <f>'CUMPLIMIENTO '!B76</f>
        <v>2.9.4</v>
      </c>
      <c r="C76" s="111" t="str">
        <f>'CUMPLIMIENTO '!C76</f>
        <v>Innovación para el desarrollo sostenible</v>
      </c>
      <c r="D76" s="199">
        <f>'CUMPLIMIENTO '!D76</f>
        <v>1</v>
      </c>
      <c r="E76" s="199">
        <f>'CUMPLIMIENTO '!E76</f>
        <v>1</v>
      </c>
      <c r="F76" s="61">
        <f>'CUMPLIMIENTO '!G76</f>
        <v>0.03</v>
      </c>
      <c r="G76" s="61">
        <f>'CUMPLIMIENTO '!H76</f>
        <v>0.1</v>
      </c>
    </row>
    <row r="77" spans="1:7" ht="15.75" hidden="1" x14ac:dyDescent="0.25">
      <c r="A77" s="251" t="str">
        <f>'CUMPLIMIENTO '!A77</f>
        <v>LINEA</v>
      </c>
      <c r="B77" s="252" t="str">
        <f>'CUMPLIMIENTO '!B77</f>
        <v>2.10</v>
      </c>
      <c r="C77" s="251" t="str">
        <f>'CUMPLIMIENTO '!C77</f>
        <v>FORMACIÓN PARA EL TRABAJO</v>
      </c>
      <c r="D77" s="253">
        <f>'CUMPLIMIENTO '!D77</f>
        <v>4</v>
      </c>
      <c r="E77" s="253" t="str">
        <f>'CUMPLIMIENTO '!E77</f>
        <v>NP</v>
      </c>
      <c r="F77" s="254">
        <f>'CUMPLIMIENTO '!G77</f>
        <v>0</v>
      </c>
      <c r="G77" s="255" t="str">
        <f>'CUMPLIMIENTO '!H77</f>
        <v>NP</v>
      </c>
    </row>
    <row r="78" spans="1:7" ht="15.75" hidden="1" x14ac:dyDescent="0.25">
      <c r="A78" s="198" t="str">
        <f>'CUMPLIMIENTO '!A78</f>
        <v>PROGRAMA</v>
      </c>
      <c r="B78" s="106" t="str">
        <f>'CUMPLIMIENTO '!B78</f>
        <v>2.10.1</v>
      </c>
      <c r="C78" s="111" t="str">
        <f>'CUMPLIMIENTO '!C78</f>
        <v>Bolívar primero facilita el acceso a la educación superior, la educación para el trabajo y el desarrollo humano</v>
      </c>
      <c r="D78" s="199">
        <f>'CUMPLIMIENTO '!D78</f>
        <v>4</v>
      </c>
      <c r="E78" s="199" t="str">
        <f>'CUMPLIMIENTO '!E78</f>
        <v>NP</v>
      </c>
      <c r="F78" s="61">
        <f>'CUMPLIMIENTO '!G78</f>
        <v>0</v>
      </c>
      <c r="G78" s="61" t="str">
        <f>'CUMPLIMIENTO '!H78</f>
        <v>NP</v>
      </c>
    </row>
    <row r="79" spans="1:7" ht="18.75" hidden="1" x14ac:dyDescent="0.25">
      <c r="A79" s="227" t="str">
        <f>'CUMPLIMIENTO '!A79</f>
        <v>EJE ESTRATEGICO</v>
      </c>
      <c r="B79" s="226">
        <f>'CUMPLIMIENTO '!B79</f>
        <v>3</v>
      </c>
      <c r="C79" s="227" t="str">
        <f>'CUMPLIMIENTO '!C79</f>
        <v xml:space="preserve">GESTIÓN AMBIENTAL Y ORDENAMIENTO TERRITORIAL
</v>
      </c>
      <c r="D79" s="187">
        <f>'CUMPLIMIENTO '!D79</f>
        <v>23</v>
      </c>
      <c r="E79" s="187">
        <f>'CUMPLIMIENTO '!E79</f>
        <v>14</v>
      </c>
      <c r="F79" s="188">
        <f>'CUMPLIMIENTO '!G79</f>
        <v>0.22340166188027338</v>
      </c>
      <c r="G79" s="188">
        <f>'CUMPLIMIENTO '!H79</f>
        <v>0.28496980676328504</v>
      </c>
    </row>
    <row r="80" spans="1:7" ht="22.15" hidden="1" customHeight="1" x14ac:dyDescent="0.25">
      <c r="A80" s="202" t="str">
        <f>'CUMPLIMIENTO '!A80</f>
        <v>LINEA</v>
      </c>
      <c r="B80" s="203" t="str">
        <f>'CUMPLIMIENTO '!B80</f>
        <v>3.1</v>
      </c>
      <c r="C80" s="202" t="str">
        <f>'CUMPLIMIENTO '!C80</f>
        <v>BOLIVAR PRIMERO GESTIÓN AMBIENTAL Y DESARROLLO TERRITORIAL</v>
      </c>
      <c r="D80" s="216">
        <f>'CUMPLIMIENTO '!D80</f>
        <v>5</v>
      </c>
      <c r="E80" s="216">
        <f>'CUMPLIMIENTO '!E80</f>
        <v>2</v>
      </c>
      <c r="F80" s="217">
        <f>'CUMPLIMIENTO '!G80</f>
        <v>0.2</v>
      </c>
      <c r="G80" s="218">
        <f>'CUMPLIMIENTO '!H80</f>
        <v>0.5</v>
      </c>
    </row>
    <row r="81" spans="1:7" ht="15.75" hidden="1" x14ac:dyDescent="0.25">
      <c r="A81" s="198" t="str">
        <f>'CUMPLIMIENTO '!A81</f>
        <v>PROGRAMA</v>
      </c>
      <c r="B81" s="106" t="str">
        <f>'CUMPLIMIENTO '!B81</f>
        <v xml:space="preserve">3.1.1 </v>
      </c>
      <c r="C81" s="111" t="str">
        <f>'CUMPLIMIENTO '!C81</f>
        <v>Ordenamiento territorial y para un bolívar primero en institucionalidad</v>
      </c>
      <c r="D81" s="199">
        <f>'CUMPLIMIENTO '!D81</f>
        <v>5</v>
      </c>
      <c r="E81" s="199">
        <f>'CUMPLIMIENTO '!E81</f>
        <v>2</v>
      </c>
      <c r="F81" s="61">
        <f>'CUMPLIMIENTO '!G81</f>
        <v>0.2</v>
      </c>
      <c r="G81" s="61">
        <f>'CUMPLIMIENTO '!H81</f>
        <v>0.5</v>
      </c>
    </row>
    <row r="82" spans="1:7" ht="22.15" hidden="1" customHeight="1" x14ac:dyDescent="0.25">
      <c r="A82" s="268" t="str">
        <f>'CUMPLIMIENTO '!A82</f>
        <v>LINEA</v>
      </c>
      <c r="B82" s="269" t="str">
        <f>'CUMPLIMIENTO '!B82</f>
        <v>3.2</v>
      </c>
      <c r="C82" s="268" t="str">
        <f>'CUMPLIMIENTO '!C82</f>
        <v>BOLÍVAR PRIMERO EN CONSERVACIÓN AMBIENTAL</v>
      </c>
      <c r="D82" s="270">
        <f>'CUMPLIMIENTO '!D82</f>
        <v>5</v>
      </c>
      <c r="E82" s="270">
        <f>'CUMPLIMIENTO '!E82</f>
        <v>4</v>
      </c>
      <c r="F82" s="271">
        <f>'CUMPLIMIENTO '!G82</f>
        <v>0.23333333333333334</v>
      </c>
      <c r="G82" s="272">
        <f>'CUMPLIMIENTO '!H82</f>
        <v>0.25</v>
      </c>
    </row>
    <row r="83" spans="1:7" ht="15.75" hidden="1" x14ac:dyDescent="0.25">
      <c r="A83" s="198" t="str">
        <f>'CUMPLIMIENTO '!A83</f>
        <v>PROGRAMA</v>
      </c>
      <c r="B83" s="106" t="str">
        <f>'CUMPLIMIENTO '!B83</f>
        <v>3.2.1</v>
      </c>
      <c r="C83" s="111" t="str">
        <f>'CUMPLIMIENTO '!C83</f>
        <v>Ambiente por un Bolívar primero en conservación</v>
      </c>
      <c r="D83" s="199">
        <f>'CUMPLIMIENTO '!D83</f>
        <v>5</v>
      </c>
      <c r="E83" s="199">
        <f>'CUMPLIMIENTO '!E83</f>
        <v>4</v>
      </c>
      <c r="F83" s="61">
        <f>'CUMPLIMIENTO '!G83</f>
        <v>0.23333333333333334</v>
      </c>
      <c r="G83" s="61">
        <f>'CUMPLIMIENTO '!H83</f>
        <v>0.25</v>
      </c>
    </row>
    <row r="84" spans="1:7" ht="22.15" hidden="1" customHeight="1" x14ac:dyDescent="0.25">
      <c r="A84" s="202" t="str">
        <f>'CUMPLIMIENTO '!A84</f>
        <v>LINEA</v>
      </c>
      <c r="B84" s="203" t="str">
        <f>'CUMPLIMIENTO '!B84</f>
        <v>3.3</v>
      </c>
      <c r="C84" s="202" t="str">
        <f>'CUMPLIMIENTO '!C84</f>
        <v>BOLIVAR PRIMERO EN ADAPTACIÓN Y MITIGACIÓN DEL CAMBIO CLIMÁTICO</v>
      </c>
      <c r="D84" s="216">
        <f>'CUMPLIMIENTO '!D84</f>
        <v>2</v>
      </c>
      <c r="E84" s="216">
        <f>'CUMPLIMIENTO '!E84</f>
        <v>1</v>
      </c>
      <c r="F84" s="217">
        <f>'CUMPLIMIENTO '!G84</f>
        <v>2.5000000000000001E-2</v>
      </c>
      <c r="G84" s="218">
        <f>'CUMPLIMIENTO '!H84</f>
        <v>0.05</v>
      </c>
    </row>
    <row r="85" spans="1:7" ht="15.75" hidden="1" x14ac:dyDescent="0.25">
      <c r="A85" s="198" t="str">
        <f>'CUMPLIMIENTO '!A85</f>
        <v>PROGRAMA</v>
      </c>
      <c r="B85" s="106" t="str">
        <f>'CUMPLIMIENTO '!B85</f>
        <v>3.3.1</v>
      </c>
      <c r="C85" s="111" t="str">
        <f>'CUMPLIMIENTO '!C85</f>
        <v>Cambio Climatico</v>
      </c>
      <c r="D85" s="199">
        <f>'CUMPLIMIENTO '!D85</f>
        <v>2</v>
      </c>
      <c r="E85" s="199" t="str">
        <f>'CUMPLIMIENTO '!E85</f>
        <v>NP</v>
      </c>
      <c r="F85" s="61">
        <f>'CUMPLIMIENTO '!G85</f>
        <v>2.5000000000000001E-2</v>
      </c>
      <c r="G85" s="61">
        <f>'CUMPLIMIENTO '!H85</f>
        <v>0.05</v>
      </c>
    </row>
    <row r="86" spans="1:7" ht="22.15" hidden="1" customHeight="1" x14ac:dyDescent="0.25">
      <c r="A86" s="268" t="str">
        <f>'CUMPLIMIENTO '!A86</f>
        <v>LINEA</v>
      </c>
      <c r="B86" s="269" t="str">
        <f>'CUMPLIMIENTO '!B86</f>
        <v>3.4</v>
      </c>
      <c r="C86" s="268" t="str">
        <f>'CUMPLIMIENTO '!C86</f>
        <v>GESTIÓN DEL RIESGO</v>
      </c>
      <c r="D86" s="270">
        <f>'CUMPLIMIENTO '!D86</f>
        <v>11</v>
      </c>
      <c r="E86" s="270">
        <f>'CUMPLIMIENTO '!E86</f>
        <v>7</v>
      </c>
      <c r="F86" s="271">
        <f>'CUMPLIMIENTO '!G86</f>
        <v>0.43527331418776022</v>
      </c>
      <c r="G86" s="272">
        <f>'CUMPLIMIENTO '!H86</f>
        <v>0.33987922705314011</v>
      </c>
    </row>
    <row r="87" spans="1:7" ht="15.75" hidden="1" x14ac:dyDescent="0.25">
      <c r="A87" s="198" t="str">
        <f>'CUMPLIMIENTO '!A87</f>
        <v>PROGRAMA</v>
      </c>
      <c r="B87" s="106" t="str">
        <f>'CUMPLIMIENTO '!B87</f>
        <v xml:space="preserve">3.4.1 </v>
      </c>
      <c r="C87" s="111" t="str">
        <f>'CUMPLIMIENTO '!C87</f>
        <v>Conocimiento del Riesgo</v>
      </c>
      <c r="D87" s="199">
        <f>'CUMPLIMIENTO '!D87</f>
        <v>3</v>
      </c>
      <c r="E87" s="199">
        <f>'CUMPLIMIENTO '!E87</f>
        <v>1</v>
      </c>
      <c r="F87" s="61">
        <f>'CUMPLIMIENTO '!G87</f>
        <v>0.28354037267080745</v>
      </c>
      <c r="G87" s="61">
        <f>'CUMPLIMIENTO '!H87</f>
        <v>0.52463768115942022</v>
      </c>
    </row>
    <row r="88" spans="1:7" ht="15.75" hidden="1" x14ac:dyDescent="0.25">
      <c r="A88" s="198" t="str">
        <f>'CUMPLIMIENTO '!A88</f>
        <v>PROGRAMA</v>
      </c>
      <c r="B88" s="106" t="str">
        <f>'CUMPLIMIENTO '!B88</f>
        <v xml:space="preserve">3.4.2 </v>
      </c>
      <c r="C88" s="111" t="str">
        <f>'CUMPLIMIENTO '!C88</f>
        <v>Disminución y/o Elimicación del Riesgo</v>
      </c>
      <c r="D88" s="199">
        <f>'CUMPLIMIENTO '!D88</f>
        <v>3</v>
      </c>
      <c r="E88" s="199">
        <f>'CUMPLIMIENTO '!E88</f>
        <v>3</v>
      </c>
      <c r="F88" s="61">
        <f>'CUMPLIMIENTO '!G88</f>
        <v>0.55161290322580647</v>
      </c>
      <c r="G88" s="61">
        <f>'CUMPLIMIENTO '!H88</f>
        <v>7.4999999999999997E-2</v>
      </c>
    </row>
    <row r="89" spans="1:7" ht="15.75" hidden="1" x14ac:dyDescent="0.25">
      <c r="A89" s="198" t="str">
        <f>'CUMPLIMIENTO '!A89</f>
        <v>PROGRAMA</v>
      </c>
      <c r="B89" s="106" t="str">
        <f>'CUMPLIMIENTO '!B89</f>
        <v>3.4.3</v>
      </c>
      <c r="C89" s="111" t="str">
        <f>'CUMPLIMIENTO '!C89</f>
        <v>Atencion de Desastre</v>
      </c>
      <c r="D89" s="199">
        <f>'CUMPLIMIENTO '!D89</f>
        <v>5</v>
      </c>
      <c r="E89" s="199">
        <f>'CUMPLIMIENTO '!E89</f>
        <v>3</v>
      </c>
      <c r="F89" s="61">
        <f>'CUMPLIMIENTO '!G89</f>
        <v>0.47066666666666668</v>
      </c>
      <c r="G89" s="61">
        <f>'CUMPLIMIENTO '!H89</f>
        <v>0.42000000000000004</v>
      </c>
    </row>
    <row r="90" spans="1:7" ht="37.5" x14ac:dyDescent="0.25">
      <c r="A90" s="273" t="str">
        <f>'CUMPLIMIENTO '!A90</f>
        <v>EJE ESTRATEGICO</v>
      </c>
      <c r="B90" s="274">
        <f>'CUMPLIMIENTO '!B90</f>
        <v>4</v>
      </c>
      <c r="C90" s="277" t="str">
        <f>'CUMPLIMIENTO '!C90</f>
        <v>BOLÍVAR PRIMERO EN FORTALECIMIENTO INSTITUCIONAL Y SEGURIDAD EFECTIVA PARA TODOS</v>
      </c>
      <c r="D90" s="275">
        <f>'CUMPLIMIENTO '!D90</f>
        <v>68</v>
      </c>
      <c r="E90" s="275">
        <f>'CUMPLIMIENTO '!E90</f>
        <v>47</v>
      </c>
      <c r="F90" s="276">
        <f>'CUMPLIMIENTO '!G90</f>
        <v>0.21518996587883446</v>
      </c>
      <c r="G90" s="276">
        <f>'CUMPLIMIENTO '!H90</f>
        <v>0.20474983465608465</v>
      </c>
    </row>
    <row r="91" spans="1:7" ht="15.75" x14ac:dyDescent="0.25">
      <c r="A91" s="202" t="str">
        <f>'CUMPLIMIENTO '!A91</f>
        <v>LINEA</v>
      </c>
      <c r="B91" s="203" t="str">
        <f>'CUMPLIMIENTO '!B91</f>
        <v>4.1</v>
      </c>
      <c r="C91" s="202" t="str">
        <f>'CUMPLIMIENTO '!C91</f>
        <v>BOLÍVAR SEGURO</v>
      </c>
      <c r="D91" s="216">
        <f>'CUMPLIMIENTO '!D91</f>
        <v>4</v>
      </c>
      <c r="E91" s="216">
        <f>'CUMPLIMIENTO '!E91</f>
        <v>2</v>
      </c>
      <c r="F91" s="217">
        <f>'CUMPLIMIENTO '!G91</f>
        <v>5.9583333333333335E-2</v>
      </c>
      <c r="G91" s="218">
        <f>'CUMPLIMIENTO '!H91</f>
        <v>0.25</v>
      </c>
    </row>
    <row r="92" spans="1:7" ht="15.75" hidden="1" x14ac:dyDescent="0.25">
      <c r="A92" s="198" t="str">
        <f>'CUMPLIMIENTO '!A92</f>
        <v>PROGRAMA</v>
      </c>
      <c r="B92" s="106" t="str">
        <f>'CUMPLIMIENTO '!B92</f>
        <v>4.1.1</v>
      </c>
      <c r="C92" s="111" t="str">
        <f>'CUMPLIMIENTO '!C92</f>
        <v>Fortalecimiento integral de la seguridad y convivencia</v>
      </c>
      <c r="D92" s="199">
        <f>'CUMPLIMIENTO '!D92</f>
        <v>4</v>
      </c>
      <c r="E92" s="199">
        <f>'CUMPLIMIENTO '!E92</f>
        <v>2</v>
      </c>
      <c r="F92" s="61">
        <f>'CUMPLIMIENTO '!G92</f>
        <v>5.9583333333333335E-2</v>
      </c>
      <c r="G92" s="61">
        <f>'CUMPLIMIENTO '!H92</f>
        <v>0.25</v>
      </c>
    </row>
    <row r="93" spans="1:7" ht="15.75" x14ac:dyDescent="0.25">
      <c r="A93" s="268" t="str">
        <f>'CUMPLIMIENTO '!A93</f>
        <v>LINEA</v>
      </c>
      <c r="B93" s="269" t="str">
        <f>'CUMPLIMIENTO '!B93</f>
        <v>4.2</v>
      </c>
      <c r="C93" s="268" t="str">
        <f>'CUMPLIMIENTO '!C93</f>
        <v>BOLÍVAR PRIMERO EN DERECHOS HUMANOS</v>
      </c>
      <c r="D93" s="270">
        <f>'CUMPLIMIENTO '!D93</f>
        <v>7</v>
      </c>
      <c r="E93" s="270">
        <f>'CUMPLIMIENTO '!E93</f>
        <v>7</v>
      </c>
      <c r="F93" s="271">
        <f>'CUMPLIMIENTO '!G93</f>
        <v>0.3392857142857143</v>
      </c>
      <c r="G93" s="272">
        <f>'CUMPLIMIENTO '!H93</f>
        <v>0.51904761904761909</v>
      </c>
    </row>
    <row r="94" spans="1:7" ht="15.75" hidden="1" x14ac:dyDescent="0.25">
      <c r="A94" s="198" t="str">
        <f>'CUMPLIMIENTO '!A94</f>
        <v>PROGRAMA</v>
      </c>
      <c r="B94" s="106" t="str">
        <f>'CUMPLIMIENTO '!B94</f>
        <v>4.2.1</v>
      </c>
      <c r="C94" s="111" t="str">
        <f>'CUMPLIMIENTO '!C94</f>
        <v>Garantía integral de los derechos humanos.</v>
      </c>
      <c r="D94" s="199">
        <f>'CUMPLIMIENTO '!D94</f>
        <v>7</v>
      </c>
      <c r="E94" s="199">
        <f>'CUMPLIMIENTO '!E94</f>
        <v>7</v>
      </c>
      <c r="F94" s="61">
        <f>'CUMPLIMIENTO '!G94</f>
        <v>0.3392857142857143</v>
      </c>
      <c r="G94" s="61">
        <f>'CUMPLIMIENTO '!H94</f>
        <v>0.51904761904761909</v>
      </c>
    </row>
    <row r="95" spans="1:7" ht="15.75" x14ac:dyDescent="0.25">
      <c r="A95" s="202" t="str">
        <f>'CUMPLIMIENTO '!A95</f>
        <v>LINEA</v>
      </c>
      <c r="B95" s="203" t="str">
        <f>'CUMPLIMIENTO '!B95</f>
        <v>4.3</v>
      </c>
      <c r="C95" s="202" t="str">
        <f>'CUMPLIMIENTO '!C95</f>
        <v>BOLÍVAR CON SISTEMA INTEGRAL DE PLANIFICACION DEPARTAMENTAL</v>
      </c>
      <c r="D95" s="216">
        <f>'CUMPLIMIENTO '!D95</f>
        <v>13</v>
      </c>
      <c r="E95" s="216">
        <f>'CUMPLIMIENTO '!E95</f>
        <v>10</v>
      </c>
      <c r="F95" s="217">
        <f>'CUMPLIMIENTO '!G95</f>
        <v>0.3098710317460317</v>
      </c>
      <c r="G95" s="218">
        <f>'CUMPLIMIENTO '!H95</f>
        <v>0.30888888888888888</v>
      </c>
    </row>
    <row r="96" spans="1:7" ht="15.75" hidden="1" x14ac:dyDescent="0.25">
      <c r="A96" s="198" t="str">
        <f>'CUMPLIMIENTO '!A96</f>
        <v>PROGRAMA</v>
      </c>
      <c r="B96" s="106" t="str">
        <f>'CUMPLIMIENTO '!B96</f>
        <v>4.3.1</v>
      </c>
      <c r="C96" s="111" t="str">
        <f>'CUMPLIMIENTO '!C96</f>
        <v>Fortalecimiento al sistema de Planeación departamental.</v>
      </c>
      <c r="D96" s="199">
        <f>'CUMPLIMIENTO '!D96</f>
        <v>8</v>
      </c>
      <c r="E96" s="199">
        <f>'CUMPLIMIENTO '!E96</f>
        <v>7</v>
      </c>
      <c r="F96" s="61">
        <f>'CUMPLIMIENTO '!G96</f>
        <v>0.39196428571428565</v>
      </c>
      <c r="G96" s="61">
        <f>'CUMPLIMIENTO '!H96</f>
        <v>0.33333333333333331</v>
      </c>
    </row>
    <row r="97" spans="1:7" ht="15.75" hidden="1" x14ac:dyDescent="0.25">
      <c r="A97" s="198" t="str">
        <f>'CUMPLIMIENTO '!A97</f>
        <v>PROGRAMA</v>
      </c>
      <c r="B97" s="106" t="str">
        <f>'CUMPLIMIENTO '!B97</f>
        <v>4.3.2</v>
      </c>
      <c r="C97" s="111" t="str">
        <f>'CUMPLIMIENTO '!C97</f>
        <v>Programa Descentralización y planeación territorial</v>
      </c>
      <c r="D97" s="199">
        <f>'CUMPLIMIENTO '!D97</f>
        <v>5</v>
      </c>
      <c r="E97" s="199">
        <f>'CUMPLIMIENTO '!E97</f>
        <v>3</v>
      </c>
      <c r="F97" s="61">
        <f>'CUMPLIMIENTO '!G97</f>
        <v>0.22777777777777777</v>
      </c>
      <c r="G97" s="61">
        <f>'CUMPLIMIENTO '!H97</f>
        <v>0.28444444444444444</v>
      </c>
    </row>
    <row r="98" spans="1:7" ht="15.75" x14ac:dyDescent="0.25">
      <c r="A98" s="268" t="str">
        <f>'CUMPLIMIENTO '!A98</f>
        <v>LINEA</v>
      </c>
      <c r="B98" s="269" t="str">
        <f>'CUMPLIMIENTO '!B98</f>
        <v>4.4</v>
      </c>
      <c r="C98" s="268" t="str">
        <f>'CUMPLIMIENTO '!C98</f>
        <v xml:space="preserve">BOLÍVAR CON INSTITUCIONALIDAD AL SERVICIO DE LA CIUDADANÍA. </v>
      </c>
      <c r="D98" s="270">
        <f>'CUMPLIMIENTO '!D98</f>
        <v>26</v>
      </c>
      <c r="E98" s="270">
        <f>'CUMPLIMIENTO '!E98</f>
        <v>21</v>
      </c>
      <c r="F98" s="271">
        <f>'CUMPLIMIENTO '!G98</f>
        <v>0.34112987463808625</v>
      </c>
      <c r="G98" s="272">
        <f>'CUMPLIMIENTO '!H98</f>
        <v>0.12556249999999999</v>
      </c>
    </row>
    <row r="99" spans="1:7" ht="15.75" hidden="1" x14ac:dyDescent="0.25">
      <c r="A99" s="198" t="str">
        <f>'CUMPLIMIENTO '!A99</f>
        <v>PROGRAMA</v>
      </c>
      <c r="B99" s="106" t="str">
        <f>'CUMPLIMIENTO '!B99</f>
        <v>4.4.1</v>
      </c>
      <c r="C99" s="111" t="str">
        <f>'CUMPLIMIENTO '!C99</f>
        <v>Atención y servicios al ciudadano de calidad al alcance de todos.</v>
      </c>
      <c r="D99" s="199">
        <f>'CUMPLIMIENTO '!D99</f>
        <v>5</v>
      </c>
      <c r="E99" s="199">
        <f>'CUMPLIMIENTO '!E99</f>
        <v>2</v>
      </c>
      <c r="F99" s="61">
        <f>'CUMPLIMIENTO '!G99</f>
        <v>0.167625</v>
      </c>
      <c r="G99" s="61">
        <f>'CUMPLIMIENTO '!H99</f>
        <v>1.5000000000000001E-2</v>
      </c>
    </row>
    <row r="100" spans="1:7" ht="15.75" hidden="1" x14ac:dyDescent="0.25">
      <c r="A100" s="198" t="str">
        <f>'CUMPLIMIENTO '!A100</f>
        <v>PROGRAMA</v>
      </c>
      <c r="B100" s="106" t="str">
        <f>'CUMPLIMIENTO '!B100</f>
        <v>4.4.2</v>
      </c>
      <c r="C100" s="111" t="str">
        <f>'CUMPLIMIENTO '!C100</f>
        <v>Gestión Documental</v>
      </c>
      <c r="D100" s="199">
        <f>'CUMPLIMIENTO '!D100</f>
        <v>4</v>
      </c>
      <c r="E100" s="199">
        <f>'CUMPLIMIENTO '!E100</f>
        <v>2</v>
      </c>
      <c r="F100" s="61">
        <f>'CUMPLIMIENTO '!G100</f>
        <v>0.21513888888888891</v>
      </c>
      <c r="G100" s="61">
        <f>'CUMPLIMIENTO '!H100</f>
        <v>0.16999999999999998</v>
      </c>
    </row>
    <row r="101" spans="1:7" ht="15.75" hidden="1" x14ac:dyDescent="0.25">
      <c r="A101" s="198" t="str">
        <f>'CUMPLIMIENTO '!A101</f>
        <v>PROGRAMA</v>
      </c>
      <c r="B101" s="106" t="str">
        <f>'CUMPLIMIENTO '!B101</f>
        <v>4.4.3</v>
      </c>
      <c r="C101" s="111" t="str">
        <f>'CUMPLIMIENTO '!C101</f>
        <v>Gobierno Digital</v>
      </c>
      <c r="D101" s="199">
        <f>'CUMPLIMIENTO '!D101</f>
        <v>8</v>
      </c>
      <c r="E101" s="199">
        <f>'CUMPLIMIENTO '!E101</f>
        <v>8</v>
      </c>
      <c r="F101" s="61">
        <f>'CUMPLIMIENTO '!G101</f>
        <v>0.72017489035087723</v>
      </c>
      <c r="G101" s="61">
        <f>'CUMPLIMIENTO '!H101</f>
        <v>0.13200000000000001</v>
      </c>
    </row>
    <row r="102" spans="1:7" ht="15.75" hidden="1" x14ac:dyDescent="0.25">
      <c r="A102" s="198" t="str">
        <f>'CUMPLIMIENTO '!A102</f>
        <v>PROGRAMA</v>
      </c>
      <c r="B102" s="106" t="str">
        <f>'CUMPLIMIENTO '!B102</f>
        <v>4.4.4</v>
      </c>
      <c r="C102" s="111" t="str">
        <f>'CUMPLIMIENTO '!C102</f>
        <v>Infraestructura física para todos</v>
      </c>
      <c r="D102" s="199">
        <f>'CUMPLIMIENTO '!D102</f>
        <v>3</v>
      </c>
      <c r="E102" s="199">
        <f>'CUMPLIMIENTO '!E102</f>
        <v>3</v>
      </c>
      <c r="F102" s="61">
        <f>'CUMPLIMIENTO '!G102</f>
        <v>0.77276688453159048</v>
      </c>
      <c r="G102" s="61">
        <f>'CUMPLIMIENTO '!H102</f>
        <v>8.3333333333333329E-2</v>
      </c>
    </row>
    <row r="103" spans="1:7" ht="15.75" hidden="1" x14ac:dyDescent="0.25">
      <c r="A103" s="198" t="str">
        <f>'CUMPLIMIENTO '!A103</f>
        <v>PROGRAMA</v>
      </c>
      <c r="B103" s="106" t="str">
        <f>'CUMPLIMIENTO '!B103</f>
        <v>4.4.5</v>
      </c>
      <c r="C103" s="111" t="str">
        <f>'CUMPLIMIENTO '!C103</f>
        <v>Asistencia Municipal</v>
      </c>
      <c r="D103" s="199">
        <f>'CUMPLIMIENTO '!D103</f>
        <v>1</v>
      </c>
      <c r="E103" s="199">
        <f>'CUMPLIMIENTO '!E103</f>
        <v>1</v>
      </c>
      <c r="F103" s="61">
        <f>'CUMPLIMIENTO '!G103</f>
        <v>0.2</v>
      </c>
      <c r="G103" s="61">
        <f>'CUMPLIMIENTO '!H103</f>
        <v>0.25</v>
      </c>
    </row>
    <row r="104" spans="1:7" ht="15.75" hidden="1" x14ac:dyDescent="0.25">
      <c r="A104" s="198" t="str">
        <f>'CUMPLIMIENTO '!A104</f>
        <v>PROGRAMA</v>
      </c>
      <c r="B104" s="106" t="str">
        <f>'CUMPLIMIENTO '!B104</f>
        <v>4.4.6</v>
      </c>
      <c r="C104" s="111" t="str">
        <f>'CUMPLIMIENTO '!C104</f>
        <v>Programa: Cuerpos Bomberos</v>
      </c>
      <c r="D104" s="199">
        <f>'CUMPLIMIENTO '!D104</f>
        <v>1</v>
      </c>
      <c r="E104" s="199">
        <f>'CUMPLIMIENTO '!E104</f>
        <v>1</v>
      </c>
      <c r="F104" s="61">
        <f>'CUMPLIMIENTO '!G104</f>
        <v>0.12</v>
      </c>
      <c r="G104" s="61">
        <f>'CUMPLIMIENTO '!H104</f>
        <v>0.25</v>
      </c>
    </row>
    <row r="105" spans="1:7" ht="15.75" hidden="1" x14ac:dyDescent="0.25">
      <c r="A105" s="198" t="str">
        <f>'CUMPLIMIENTO '!A105</f>
        <v>PROGRAMA</v>
      </c>
      <c r="B105" s="106" t="str">
        <f>'CUMPLIMIENTO '!B105</f>
        <v>4.4.7</v>
      </c>
      <c r="C105" s="111" t="str">
        <f>'CUMPLIMIENTO '!C105</f>
        <v>Mejores funcionarios, mejor gobierno</v>
      </c>
      <c r="D105" s="199">
        <f>'CUMPLIMIENTO '!D105</f>
        <v>1</v>
      </c>
      <c r="E105" s="199">
        <f>'CUMPLIMIENTO '!E105</f>
        <v>1</v>
      </c>
      <c r="F105" s="61">
        <f>'CUMPLIMIENTO '!G105</f>
        <v>0.5</v>
      </c>
      <c r="G105" s="61">
        <f>'CUMPLIMIENTO '!H105</f>
        <v>0</v>
      </c>
    </row>
    <row r="106" spans="1:7" ht="15.75" hidden="1" x14ac:dyDescent="0.25">
      <c r="A106" s="198" t="str">
        <f>'CUMPLIMIENTO '!A106</f>
        <v>PROGRAMA</v>
      </c>
      <c r="B106" s="106" t="str">
        <f>'CUMPLIMIENTO '!B106</f>
        <v>4.4.8</v>
      </c>
      <c r="C106" s="111" t="str">
        <f>'CUMPLIMIENTO '!C106</f>
        <v>Bolívar primero en el territorio: diálogo y acción</v>
      </c>
      <c r="D106" s="199">
        <f>'CUMPLIMIENTO '!D106</f>
        <v>3</v>
      </c>
      <c r="E106" s="199">
        <f>'CUMPLIMIENTO '!E106</f>
        <v>3</v>
      </c>
      <c r="F106" s="61">
        <f>'CUMPLIMIENTO '!G106</f>
        <v>3.3333333333333333E-2</v>
      </c>
      <c r="G106" s="61">
        <f>'CUMPLIMIENTO '!H106</f>
        <v>0.10416666666666667</v>
      </c>
    </row>
    <row r="107" spans="1:7" ht="15.75" x14ac:dyDescent="0.25">
      <c r="A107" s="202" t="str">
        <f>'CUMPLIMIENTO '!A107</f>
        <v>LINEA</v>
      </c>
      <c r="B107" s="203" t="str">
        <f>'CUMPLIMIENTO '!B107</f>
        <v>4.5</v>
      </c>
      <c r="C107" s="202" t="str">
        <f>'CUMPLIMIENTO '!C107</f>
        <v xml:space="preserve">BOLÍVAR CONTROLA LAS FINANZAS PÚBLICAS. </v>
      </c>
      <c r="D107" s="216">
        <f>'CUMPLIMIENTO '!D107</f>
        <v>7</v>
      </c>
      <c r="E107" s="216">
        <f>'CUMPLIMIENTO '!E107</f>
        <v>2</v>
      </c>
      <c r="F107" s="217">
        <f>'CUMPLIMIENTO '!G107</f>
        <v>3.5714285714285712E-2</v>
      </c>
      <c r="G107" s="218">
        <f>'CUMPLIMIENTO '!H107</f>
        <v>0</v>
      </c>
    </row>
    <row r="108" spans="1:7" ht="24.6" hidden="1" customHeight="1" x14ac:dyDescent="0.25">
      <c r="A108" s="198" t="str">
        <f>'CUMPLIMIENTO '!A108</f>
        <v>PROGRAMA</v>
      </c>
      <c r="B108" s="106" t="str">
        <f>'CUMPLIMIENTO '!B108</f>
        <v>4.5.1</v>
      </c>
      <c r="C108" s="111" t="str">
        <f>'CUMPLIMIENTO '!C108</f>
        <v xml:space="preserve">Fortalecimiento financiero administrativo y fiscal de la secretaria de hacienda </v>
      </c>
      <c r="D108" s="199">
        <f>'CUMPLIMIENTO '!D108</f>
        <v>7</v>
      </c>
      <c r="E108" s="199">
        <f>'CUMPLIMIENTO '!E108</f>
        <v>2</v>
      </c>
      <c r="F108" s="61">
        <f>'CUMPLIMIENTO '!G108</f>
        <v>3.5714285714285712E-2</v>
      </c>
      <c r="G108" s="61">
        <f>'CUMPLIMIENTO '!H108</f>
        <v>0</v>
      </c>
    </row>
    <row r="109" spans="1:7" ht="15.75" x14ac:dyDescent="0.25">
      <c r="A109" s="268" t="str">
        <f>'CUMPLIMIENTO '!A109</f>
        <v>LINEA</v>
      </c>
      <c r="B109" s="269" t="str">
        <f>'CUMPLIMIENTO '!B109</f>
        <v>4.6</v>
      </c>
      <c r="C109" s="268" t="str">
        <f>'CUMPLIMIENTO '!C109</f>
        <v>BOLÍVAR PRIMERO PROPICIA LA PARTICIPACIÓN CIUDADANA.</v>
      </c>
      <c r="D109" s="270">
        <f>'CUMPLIMIENTO '!D109</f>
        <v>11</v>
      </c>
      <c r="E109" s="270">
        <f>'CUMPLIMIENTO '!E109</f>
        <v>5</v>
      </c>
      <c r="F109" s="271">
        <f>'CUMPLIMIENTO '!G109</f>
        <v>0.20555555555555557</v>
      </c>
      <c r="G109" s="272">
        <f>'CUMPLIMIENTO '!H109</f>
        <v>2.5000000000000001E-2</v>
      </c>
    </row>
    <row r="110" spans="1:7" ht="15.75" hidden="1" x14ac:dyDescent="0.25">
      <c r="A110" s="198" t="str">
        <f>'CUMPLIMIENTO '!A110</f>
        <v>PROGRAMA</v>
      </c>
      <c r="B110" s="106" t="str">
        <f>'CUMPLIMIENTO '!B110</f>
        <v>4.6.1</v>
      </c>
      <c r="C110" s="111" t="str">
        <f>'CUMPLIMIENTO '!C110</f>
        <v>Participación Ciudadana</v>
      </c>
      <c r="D110" s="199">
        <f>'CUMPLIMIENTO '!D110</f>
        <v>4</v>
      </c>
      <c r="E110" s="199">
        <f>'CUMPLIMIENTO '!E110</f>
        <v>2</v>
      </c>
      <c r="F110" s="61">
        <f>'CUMPLIMIENTO '!G110</f>
        <v>0.140625</v>
      </c>
      <c r="G110" s="61">
        <f>'CUMPLIMIENTO '!H110</f>
        <v>0.05</v>
      </c>
    </row>
    <row r="111" spans="1:7" ht="15.75" hidden="1" x14ac:dyDescent="0.25">
      <c r="A111" s="198" t="str">
        <f>'CUMPLIMIENTO '!A111</f>
        <v>PROGRAMA</v>
      </c>
      <c r="B111" s="106" t="str">
        <f>'CUMPLIMIENTO '!B111</f>
        <v xml:space="preserve">4.6.2 </v>
      </c>
      <c r="C111" s="111" t="str">
        <f>'CUMPLIMIENTO '!C111</f>
        <v>Organismos comunales</v>
      </c>
      <c r="D111" s="199">
        <f>'CUMPLIMIENTO '!D111</f>
        <v>3</v>
      </c>
      <c r="E111" s="199">
        <f>'CUMPLIMIENTO '!E111</f>
        <v>2</v>
      </c>
      <c r="F111" s="61">
        <f>'CUMPLIMIENTO '!G111</f>
        <v>0.11666666666666665</v>
      </c>
      <c r="G111" s="61">
        <f>'CUMPLIMIENTO '!H111</f>
        <v>0</v>
      </c>
    </row>
    <row r="112" spans="1:7" ht="15.75" hidden="1" x14ac:dyDescent="0.25">
      <c r="A112" s="198" t="str">
        <f>'CUMPLIMIENTO '!A112</f>
        <v>PROGRAMA</v>
      </c>
      <c r="B112" s="106" t="str">
        <f>'CUMPLIMIENTO '!B112</f>
        <v>4.6.3</v>
      </c>
      <c r="C112" s="111" t="str">
        <f>'CUMPLIMIENTO '!C112</f>
        <v>Procesos electorales</v>
      </c>
      <c r="D112" s="199">
        <f>'CUMPLIMIENTO '!D112</f>
        <v>1</v>
      </c>
      <c r="E112" s="199">
        <f>'CUMPLIMIENTO '!E112</f>
        <v>1</v>
      </c>
      <c r="F112" s="61">
        <f>'CUMPLIMIENTO '!G112</f>
        <v>0.5</v>
      </c>
      <c r="G112" s="61" t="str">
        <f>'CUMPLIMIENTO '!H112</f>
        <v>NP</v>
      </c>
    </row>
    <row r="113" spans="1:7" ht="15.75" hidden="1" x14ac:dyDescent="0.25">
      <c r="A113" s="198" t="str">
        <f>'CUMPLIMIENTO '!A113</f>
        <v>PROGRAMA</v>
      </c>
      <c r="B113" s="106" t="str">
        <f>'CUMPLIMIENTO '!B113</f>
        <v>4.6.4</v>
      </c>
      <c r="C113" s="111" t="str">
        <f>'CUMPLIMIENTO '!C113</f>
        <v>Construcción de Cultura Ciudadana</v>
      </c>
      <c r="D113" s="199">
        <f>'CUMPLIMIENTO '!D113</f>
        <v>3</v>
      </c>
      <c r="E113" s="199" t="str">
        <f>'CUMPLIMIENTO '!E113</f>
        <v>NP</v>
      </c>
      <c r="F113" s="61">
        <f>'CUMPLIMIENTO '!G113</f>
        <v>0</v>
      </c>
      <c r="G113" s="61" t="str">
        <f>'CUMPLIMIENTO '!H113</f>
        <v>NP</v>
      </c>
    </row>
    <row r="114" spans="1:7" ht="18.75" hidden="1" x14ac:dyDescent="0.25">
      <c r="A114" s="227" t="str">
        <f>'CUMPLIMIENTO '!A114</f>
        <v>EJE ESTRATEGICO</v>
      </c>
      <c r="B114" s="226">
        <f>'CUMPLIMIENTO '!B114</f>
        <v>5</v>
      </c>
      <c r="C114" s="227" t="str">
        <f>'CUMPLIMIENTO '!C114</f>
        <v>BOLÍVAR PRIMERO EN RURALIDAD</v>
      </c>
      <c r="D114" s="187">
        <f>'CUMPLIMIENTO '!D114</f>
        <v>34</v>
      </c>
      <c r="E114" s="187">
        <f>'CUMPLIMIENTO '!E114</f>
        <v>11</v>
      </c>
      <c r="F114" s="188">
        <f>'CUMPLIMIENTO '!G114</f>
        <v>0.31751547831253712</v>
      </c>
      <c r="G114" s="188">
        <f>'CUMPLIMIENTO '!H114</f>
        <v>0.37496305418719206</v>
      </c>
    </row>
    <row r="115" spans="1:7" ht="15.75" hidden="1" x14ac:dyDescent="0.25">
      <c r="A115" s="202" t="str">
        <f>'CUMPLIMIENTO '!A115</f>
        <v>LINEA</v>
      </c>
      <c r="B115" s="203" t="str">
        <f>'CUMPLIMIENTO '!B115</f>
        <v>5.1</v>
      </c>
      <c r="C115" s="202" t="str">
        <f>'CUMPLIMIENTO '!C115</f>
        <v>BOLÍVAR AL CAMPO: PLAN DE ATENCIÓN RURAL INTEGRAL Y PRIORITARIA - PARIP</v>
      </c>
      <c r="D115" s="216">
        <f>'CUMPLIMIENTO '!D115</f>
        <v>34</v>
      </c>
      <c r="E115" s="216">
        <f>'CUMPLIMIENTO '!E115</f>
        <v>11</v>
      </c>
      <c r="F115" s="217">
        <f>'CUMPLIMIENTO '!G115</f>
        <v>0.31751547831253712</v>
      </c>
      <c r="G115" s="218">
        <f>'CUMPLIMIENTO '!H115</f>
        <v>0.37496305418719206</v>
      </c>
    </row>
    <row r="116" spans="1:7" ht="15.75" hidden="1" x14ac:dyDescent="0.25">
      <c r="A116" s="198" t="str">
        <f>'CUMPLIMIENTO '!A116</f>
        <v>PROGRAMA</v>
      </c>
      <c r="B116" s="106" t="str">
        <f>'CUMPLIMIENTO '!B116</f>
        <v>5.1.1</v>
      </c>
      <c r="C116" s="111" t="str">
        <f>'CUMPLIMIENTO '!C116</f>
        <v xml:space="preserve">Bolívar garantiza derechos sociales en el campo.  </v>
      </c>
      <c r="D116" s="199">
        <f>'CUMPLIMIENTO '!D116</f>
        <v>9</v>
      </c>
      <c r="E116" s="199" t="str">
        <f>'CUMPLIMIENTO '!E116</f>
        <v>NP</v>
      </c>
      <c r="F116" s="61">
        <f>'CUMPLIMIENTO '!G116</f>
        <v>1.9166666666666665E-2</v>
      </c>
      <c r="G116" s="61">
        <f>'CUMPLIMIENTO '!H116</f>
        <v>0.12023809523809523</v>
      </c>
    </row>
    <row r="117" spans="1:7" ht="15.75" hidden="1" x14ac:dyDescent="0.25">
      <c r="A117" s="198" t="str">
        <f>'CUMPLIMIENTO '!A117</f>
        <v>PROGRAMA</v>
      </c>
      <c r="B117" s="106" t="str">
        <f>'CUMPLIMIENTO '!B117</f>
        <v>5.1.2</v>
      </c>
      <c r="C117" s="111" t="str">
        <f>'CUMPLIMIENTO '!C117</f>
        <v>Bolívar Educa en el campo</v>
      </c>
      <c r="D117" s="199">
        <f>'CUMPLIMIENTO '!D117</f>
        <v>4</v>
      </c>
      <c r="E117" s="199" t="str">
        <f>'CUMPLIMIENTO '!E117</f>
        <v>NP</v>
      </c>
      <c r="F117" s="61">
        <f>'CUMPLIMIENTO '!G117</f>
        <v>0.36909090909090914</v>
      </c>
      <c r="G117" s="61">
        <f>'CUMPLIMIENTO '!H117</f>
        <v>0.69620689655172407</v>
      </c>
    </row>
    <row r="118" spans="1:7" ht="15.75" hidden="1" x14ac:dyDescent="0.25">
      <c r="A118" s="198" t="str">
        <f>'CUMPLIMIENTO '!A118</f>
        <v>PROGRAMA</v>
      </c>
      <c r="B118" s="106" t="str">
        <f>'CUMPLIMIENTO '!B118</f>
        <v>5.1.3</v>
      </c>
      <c r="C118" s="111" t="str">
        <f>'CUMPLIMIENTO '!C118</f>
        <v>Bolívar lleva Servicios Públicos al campo.</v>
      </c>
      <c r="D118" s="199">
        <f>'CUMPLIMIENTO '!D118</f>
        <v>3</v>
      </c>
      <c r="E118" s="199">
        <f>'CUMPLIMIENTO '!E118</f>
        <v>1</v>
      </c>
      <c r="F118" s="61">
        <f>'CUMPLIMIENTO '!G118</f>
        <v>0.48</v>
      </c>
      <c r="G118" s="61">
        <f>'CUMPLIMIENTO '!H118</f>
        <v>0.375</v>
      </c>
    </row>
    <row r="119" spans="1:7" ht="15.75" hidden="1" x14ac:dyDescent="0.25">
      <c r="A119" s="198" t="str">
        <f>'CUMPLIMIENTO '!A119</f>
        <v>PROGRAMA</v>
      </c>
      <c r="B119" s="106" t="str">
        <f>'CUMPLIMIENTO '!B119</f>
        <v>5.1.4</v>
      </c>
      <c r="C119" s="111" t="str">
        <f>'CUMPLIMIENTO '!C119</f>
        <v xml:space="preserve">Ingreso, trabajo y productividad en el campo. </v>
      </c>
      <c r="D119" s="199">
        <f>'CUMPLIMIENTO '!D119</f>
        <v>10</v>
      </c>
      <c r="E119" s="199">
        <f>'CUMPLIMIENTO '!E119</f>
        <v>7</v>
      </c>
      <c r="F119" s="61">
        <f>'CUMPLIMIENTO '!G119</f>
        <v>0.28860000000000002</v>
      </c>
      <c r="G119" s="61">
        <f>'CUMPLIMIENTO '!H119</f>
        <v>5.5555555555555552E-2</v>
      </c>
    </row>
    <row r="120" spans="1:7" ht="15.75" hidden="1" x14ac:dyDescent="0.25">
      <c r="A120" s="198" t="str">
        <f>'CUMPLIMIENTO '!A120</f>
        <v>PROGRAMA</v>
      </c>
      <c r="B120" s="106" t="str">
        <f>'CUMPLIMIENTO '!B120</f>
        <v>5.1.5</v>
      </c>
      <c r="C120" s="111" t="str">
        <f>'CUMPLIMIENTO '!C120</f>
        <v>Infraestructura rural.</v>
      </c>
      <c r="D120" s="199">
        <f>'CUMPLIMIENTO '!D120</f>
        <v>2</v>
      </c>
      <c r="E120" s="199">
        <f>'CUMPLIMIENTO '!E120</f>
        <v>2</v>
      </c>
      <c r="F120" s="61">
        <f>'CUMPLIMIENTO '!G120</f>
        <v>0.71323529411764697</v>
      </c>
      <c r="G120" s="61">
        <f>'CUMPLIMIENTO '!H120</f>
        <v>0.85</v>
      </c>
    </row>
    <row r="121" spans="1:7" ht="15.75" hidden="1" x14ac:dyDescent="0.25">
      <c r="A121" s="198" t="str">
        <f>'CUMPLIMIENTO '!A121</f>
        <v>PROGRAMA</v>
      </c>
      <c r="B121" s="106" t="str">
        <f>'CUMPLIMIENTO '!B121</f>
        <v>5.1.6</v>
      </c>
      <c r="C121" s="111" t="str">
        <f>'CUMPLIMIENTO '!C121</f>
        <v>Cultura, deporte y recreación en el campo.</v>
      </c>
      <c r="D121" s="199">
        <f>'CUMPLIMIENTO '!D121</f>
        <v>6</v>
      </c>
      <c r="E121" s="199">
        <f>'CUMPLIMIENTO '!E121</f>
        <v>1</v>
      </c>
      <c r="F121" s="61">
        <f>'CUMPLIMIENTO '!G121</f>
        <v>3.5000000000000003E-2</v>
      </c>
      <c r="G121" s="61">
        <f>'CUMPLIMIENTO '!H121</f>
        <v>0.15277777777777776</v>
      </c>
    </row>
    <row r="122" spans="1:7" ht="18.75" hidden="1" x14ac:dyDescent="0.25">
      <c r="A122" s="230" t="str">
        <f>'CUMPLIMIENTO '!A122</f>
        <v>EJE ESTRATEGICO</v>
      </c>
      <c r="B122" s="229">
        <f>'CUMPLIMIENTO '!B122</f>
        <v>6</v>
      </c>
      <c r="C122" s="230" t="str">
        <f>'CUMPLIMIENTO '!C122</f>
        <v>GRUPOS POBLACIONALES</v>
      </c>
      <c r="D122" s="231">
        <f>'CUMPLIMIENTO '!D122</f>
        <v>128</v>
      </c>
      <c r="E122" s="231">
        <f>'CUMPLIMIENTO '!E122</f>
        <v>83</v>
      </c>
      <c r="F122" s="232">
        <f>'CUMPLIMIENTO '!G122</f>
        <v>0.29743627103134557</v>
      </c>
      <c r="G122" s="232">
        <f>'CUMPLIMIENTO '!H122</f>
        <v>0.18931768927175735</v>
      </c>
    </row>
    <row r="123" spans="1:7" ht="15.75" hidden="1" x14ac:dyDescent="0.25">
      <c r="A123" s="202" t="str">
        <f>'CUMPLIMIENTO '!A123</f>
        <v>LINEA</v>
      </c>
      <c r="B123" s="203" t="str">
        <f>'CUMPLIMIENTO '!B123</f>
        <v>6.1</v>
      </c>
      <c r="C123" s="221" t="str">
        <f>'CUMPLIMIENTO '!C123</f>
        <v xml:space="preserve">CAPITULO ATENCIÓN A VÍCTIMAS, CONSTRUCCIÓN DE PAZ Y RECONCILIACIÓN </v>
      </c>
      <c r="D123" s="216">
        <f>'CUMPLIMIENTO '!D123</f>
        <v>52</v>
      </c>
      <c r="E123" s="216">
        <f>'CUMPLIMIENTO '!E123</f>
        <v>38</v>
      </c>
      <c r="F123" s="217">
        <f>'CUMPLIMIENTO '!G123</f>
        <v>0.22420701145984015</v>
      </c>
      <c r="G123" s="218">
        <f>'CUMPLIMIENTO '!H123</f>
        <v>0.27793974732750243</v>
      </c>
    </row>
    <row r="124" spans="1:7" ht="15.75" hidden="1" x14ac:dyDescent="0.25">
      <c r="A124" s="198" t="str">
        <f>'CUMPLIMIENTO '!A124</f>
        <v>PROGRAMA</v>
      </c>
      <c r="B124" s="106" t="str">
        <f>'CUMPLIMIENTO '!B124</f>
        <v>6.1.1</v>
      </c>
      <c r="C124" s="111" t="str">
        <f>'CUMPLIMIENTO '!C124</f>
        <v>Atención y Asistencia</v>
      </c>
      <c r="D124" s="199">
        <f>'CUMPLIMIENTO '!D124</f>
        <v>16</v>
      </c>
      <c r="E124" s="199">
        <f>'CUMPLIMIENTO '!E124</f>
        <v>9</v>
      </c>
      <c r="F124" s="61">
        <f>'CUMPLIMIENTO '!G124</f>
        <v>0.25437813283208016</v>
      </c>
      <c r="G124" s="61">
        <f>'CUMPLIMIENTO '!H124</f>
        <v>0.29777777777777775</v>
      </c>
    </row>
    <row r="125" spans="1:7" ht="15.75" hidden="1" x14ac:dyDescent="0.25">
      <c r="A125" s="198" t="str">
        <f>'CUMPLIMIENTO '!A125</f>
        <v>PROGRAMA</v>
      </c>
      <c r="B125" s="106" t="str">
        <f>'CUMPLIMIENTO '!B125</f>
        <v>6.1.2</v>
      </c>
      <c r="C125" s="111" t="str">
        <f>'CUMPLIMIENTO '!C125</f>
        <v>Prevención y Protección</v>
      </c>
      <c r="D125" s="199">
        <f>'CUMPLIMIENTO '!D125</f>
        <v>5</v>
      </c>
      <c r="E125" s="199">
        <f>'CUMPLIMIENTO '!E125</f>
        <v>5</v>
      </c>
      <c r="F125" s="61">
        <f>'CUMPLIMIENTO '!G125</f>
        <v>0.16250000000000001</v>
      </c>
      <c r="G125" s="61">
        <f>'CUMPLIMIENTO '!H125</f>
        <v>0.2</v>
      </c>
    </row>
    <row r="126" spans="1:7" ht="15.75" hidden="1" x14ac:dyDescent="0.25">
      <c r="A126" s="198" t="str">
        <f>'CUMPLIMIENTO '!A126</f>
        <v>PROGRAMA</v>
      </c>
      <c r="B126" s="106" t="str">
        <f>'CUMPLIMIENTO '!B126</f>
        <v xml:space="preserve">6.1.3 </v>
      </c>
      <c r="C126" s="111" t="str">
        <f>'CUMPLIMIENTO '!C126</f>
        <v xml:space="preserve">Reparación Colectiva, retornos y reubicaciones </v>
      </c>
      <c r="D126" s="199">
        <f>'CUMPLIMIENTO '!D126</f>
        <v>3</v>
      </c>
      <c r="E126" s="199">
        <f>'CUMPLIMIENTO '!E126</f>
        <v>3</v>
      </c>
      <c r="F126" s="61">
        <f>'CUMPLIMIENTO '!G126</f>
        <v>0.16250000000000001</v>
      </c>
      <c r="G126" s="61">
        <f>'CUMPLIMIENTO '!H126</f>
        <v>0.12222222222222223</v>
      </c>
    </row>
    <row r="127" spans="1:7" ht="15.75" hidden="1" x14ac:dyDescent="0.25">
      <c r="A127" s="198" t="str">
        <f>'CUMPLIMIENTO '!A127</f>
        <v>PROGRAMA</v>
      </c>
      <c r="B127" s="106" t="str">
        <f>'CUMPLIMIENTO '!B127</f>
        <v xml:space="preserve">6.1.4 </v>
      </c>
      <c r="C127" s="111" t="str">
        <f>'CUMPLIMIENTO '!C127</f>
        <v>Participación efectiva</v>
      </c>
      <c r="D127" s="199">
        <f>'CUMPLIMIENTO '!D127</f>
        <v>5</v>
      </c>
      <c r="E127" s="199">
        <f>'CUMPLIMIENTO '!E127</f>
        <v>4</v>
      </c>
      <c r="F127" s="61">
        <f>'CUMPLIMIENTO '!G127</f>
        <v>0.10482336956521739</v>
      </c>
      <c r="G127" s="61">
        <f>'CUMPLIMIENTO '!H127</f>
        <v>0.10500000000000001</v>
      </c>
    </row>
    <row r="128" spans="1:7" ht="15.75" hidden="1" x14ac:dyDescent="0.25">
      <c r="A128" s="198" t="str">
        <f>'CUMPLIMIENTO '!A128</f>
        <v>PROGRAMA</v>
      </c>
      <c r="B128" s="106" t="str">
        <f>'CUMPLIMIENTO '!B128</f>
        <v xml:space="preserve">6.1.5 </v>
      </c>
      <c r="C128" s="111" t="str">
        <f>'CUMPLIMIENTO '!C128</f>
        <v xml:space="preserve">Fortalecimiento para la Gestión institucional y Sistemas de Información </v>
      </c>
      <c r="D128" s="199">
        <f>'CUMPLIMIENTO '!D128</f>
        <v>11</v>
      </c>
      <c r="E128" s="199">
        <f>'CUMPLIMIENTO '!E128</f>
        <v>10</v>
      </c>
      <c r="F128" s="61">
        <f>'CUMPLIMIENTO '!G128</f>
        <v>0.35759313766714318</v>
      </c>
      <c r="G128" s="61">
        <f>'CUMPLIMIENTO '!H128</f>
        <v>0.21224489795918369</v>
      </c>
    </row>
    <row r="129" spans="1:11" ht="15.75" hidden="1" x14ac:dyDescent="0.25">
      <c r="A129" s="198" t="str">
        <f>'CUMPLIMIENTO '!A129</f>
        <v>PROGRAMA</v>
      </c>
      <c r="B129" s="106" t="str">
        <f>'CUMPLIMIENTO '!B129</f>
        <v>6.1.6</v>
      </c>
      <c r="C129" s="111" t="str">
        <f>'CUMPLIMIENTO '!C129</f>
        <v>Restitución de tierras</v>
      </c>
      <c r="D129" s="199">
        <f>'CUMPLIMIENTO '!D129</f>
        <v>4</v>
      </c>
      <c r="E129" s="199">
        <f>'CUMPLIMIENTO '!E129</f>
        <v>4</v>
      </c>
      <c r="F129" s="61">
        <f>'CUMPLIMIENTO '!G129</f>
        <v>0.38063063063063063</v>
      </c>
      <c r="G129" s="61">
        <f>'CUMPLIMIENTO '!H129</f>
        <v>0.8</v>
      </c>
    </row>
    <row r="130" spans="1:11" ht="15.75" hidden="1" x14ac:dyDescent="0.25">
      <c r="A130" s="198" t="str">
        <f>'CUMPLIMIENTO '!A130</f>
        <v>PROGRAMA</v>
      </c>
      <c r="B130" s="106" t="str">
        <f>'CUMPLIMIENTO '!B130</f>
        <v>6.1.7</v>
      </c>
      <c r="C130" s="111" t="str">
        <f>'CUMPLIMIENTO '!C130</f>
        <v>Programa: Inclusión y reincorporación comunitaria para la consolidación de la paz</v>
      </c>
      <c r="D130" s="199">
        <f>'CUMPLIMIENTO '!D130</f>
        <v>8</v>
      </c>
      <c r="E130" s="199">
        <f>'CUMPLIMIENTO '!E130</f>
        <v>3</v>
      </c>
      <c r="F130" s="61">
        <f>'CUMPLIMIENTO '!G130</f>
        <v>0.14702380952380953</v>
      </c>
      <c r="G130" s="61">
        <f>'CUMPLIMIENTO '!H130</f>
        <v>0.20833333333333331</v>
      </c>
    </row>
    <row r="131" spans="1:11" ht="15.75" hidden="1" x14ac:dyDescent="0.25">
      <c r="A131" s="202" t="str">
        <f>'CUMPLIMIENTO '!A131</f>
        <v>LINEA</v>
      </c>
      <c r="B131" s="203" t="str">
        <f>'CUMPLIMIENTO '!B131</f>
        <v>6.2</v>
      </c>
      <c r="C131" s="202" t="str">
        <f>'CUMPLIMIENTO '!C131</f>
        <v>CAPITULO DE MINORÍAS ÉTNICAS.</v>
      </c>
      <c r="D131" s="216">
        <f>'CUMPLIMIENTO '!D131</f>
        <v>37</v>
      </c>
      <c r="E131" s="216">
        <f>'CUMPLIMIENTO '!E131</f>
        <v>10</v>
      </c>
      <c r="F131" s="217">
        <f>'CUMPLIMIENTO '!G131</f>
        <v>0.12273065476190476</v>
      </c>
      <c r="G131" s="218">
        <f>'CUMPLIMIENTO '!H131</f>
        <v>0.12968749999999998</v>
      </c>
    </row>
    <row r="132" spans="1:11" ht="15.75" hidden="1" x14ac:dyDescent="0.25">
      <c r="A132" s="198" t="str">
        <f>'CUMPLIMIENTO '!A132</f>
        <v>PROGRAMA</v>
      </c>
      <c r="B132" s="106" t="str">
        <f>'CUMPLIMIENTO '!B132</f>
        <v>6.2.1</v>
      </c>
      <c r="C132" s="111" t="str">
        <f>'CUMPLIMIENTO '!C132</f>
        <v xml:space="preserve">Fortalecimiento de los procesos organizacionales de la población NARP. </v>
      </c>
      <c r="D132" s="199">
        <f>'CUMPLIMIENTO '!D132</f>
        <v>4</v>
      </c>
      <c r="E132" s="199">
        <f>'CUMPLIMIENTO '!E132</f>
        <v>4</v>
      </c>
      <c r="F132" s="61">
        <f>'CUMPLIMIENTO '!G132</f>
        <v>0.453125</v>
      </c>
      <c r="G132" s="61">
        <f>'CUMPLIMIENTO '!H132</f>
        <v>0.4375</v>
      </c>
    </row>
    <row r="133" spans="1:11" ht="15.75" hidden="1" x14ac:dyDescent="0.25">
      <c r="A133" s="198" t="str">
        <f>'CUMPLIMIENTO '!A133</f>
        <v>PROGRAMA</v>
      </c>
      <c r="B133" s="106" t="str">
        <f>'CUMPLIMIENTO '!B133</f>
        <v>6.2.2</v>
      </c>
      <c r="C133" s="111" t="str">
        <f>'CUMPLIMIENTO '!C133</f>
        <v>Mujer y género en población negra, afrocolombiana, raizal, palenquera, indígena y rom</v>
      </c>
      <c r="D133" s="199">
        <f>'CUMPLIMIENTO '!D133</f>
        <v>4</v>
      </c>
      <c r="E133" s="199">
        <f>'CUMPLIMIENTO '!E133</f>
        <v>2</v>
      </c>
      <c r="F133" s="61">
        <f>'CUMPLIMIENTO '!G133</f>
        <v>4.0625000000000001E-2</v>
      </c>
      <c r="G133" s="61">
        <f>'CUMPLIMIENTO '!H133</f>
        <v>0.1</v>
      </c>
    </row>
    <row r="134" spans="1:11" ht="15.75" hidden="1" x14ac:dyDescent="0.25">
      <c r="A134" s="198" t="str">
        <f>'CUMPLIMIENTO '!A134</f>
        <v>PROGRAMA</v>
      </c>
      <c r="B134" s="106" t="str">
        <f>'CUMPLIMIENTO '!B134</f>
        <v>6.2.3</v>
      </c>
      <c r="C134" s="111" t="str">
        <f>'CUMPLIMIENTO '!C134</f>
        <v>Arte, cultura y patrimonio</v>
      </c>
      <c r="D134" s="199">
        <f>'CUMPLIMIENTO '!D134</f>
        <v>7</v>
      </c>
      <c r="E134" s="199" t="str">
        <f>'CUMPLIMIENTO '!E134</f>
        <v>NP</v>
      </c>
      <c r="F134" s="61">
        <f>'CUMPLIMIENTO '!G134</f>
        <v>0</v>
      </c>
      <c r="G134" s="61">
        <f>'CUMPLIMIENTO '!H134</f>
        <v>0</v>
      </c>
    </row>
    <row r="135" spans="1:11" ht="15.75" hidden="1" x14ac:dyDescent="0.25">
      <c r="A135" s="198" t="str">
        <f>'CUMPLIMIENTO '!A135</f>
        <v>PROGRAMA</v>
      </c>
      <c r="B135" s="106" t="str">
        <f>'CUMPLIMIENTO '!B135</f>
        <v>6,2,4</v>
      </c>
      <c r="C135" s="111" t="str">
        <f>'CUMPLIMIENTO '!C135</f>
        <v>Recreación y deporte.</v>
      </c>
      <c r="D135" s="199">
        <f>'CUMPLIMIENTO '!D135</f>
        <v>1</v>
      </c>
      <c r="E135" s="199" t="str">
        <f>'CUMPLIMIENTO '!E135</f>
        <v>NP</v>
      </c>
      <c r="F135" s="61">
        <f>'CUMPLIMIENTO '!G135</f>
        <v>0</v>
      </c>
      <c r="G135" s="61">
        <f>'CUMPLIMIENTO '!H135</f>
        <v>0</v>
      </c>
    </row>
    <row r="136" spans="1:11" ht="15.75" hidden="1" x14ac:dyDescent="0.25">
      <c r="A136" s="198" t="str">
        <f>'CUMPLIMIENTO '!A136</f>
        <v>PROGRAMA</v>
      </c>
      <c r="B136" s="106" t="str">
        <f>'CUMPLIMIENTO '!B136</f>
        <v>6,2,5</v>
      </c>
      <c r="C136" s="111" t="str">
        <f>'CUMPLIMIENTO '!C136</f>
        <v>Desarrollo económico</v>
      </c>
      <c r="D136" s="199">
        <f>'CUMPLIMIENTO '!D136</f>
        <v>7</v>
      </c>
      <c r="E136" s="199">
        <f>'CUMPLIMIENTO '!E136</f>
        <v>1</v>
      </c>
      <c r="F136" s="61">
        <f>'CUMPLIMIENTO '!G136</f>
        <v>7.1428571428571425E-2</v>
      </c>
      <c r="G136" s="61">
        <f>'CUMPLIMIENTO '!H136</f>
        <v>0.16666666666666666</v>
      </c>
    </row>
    <row r="137" spans="1:11" ht="15.75" hidden="1" x14ac:dyDescent="0.25">
      <c r="A137" s="198" t="str">
        <f>'CUMPLIMIENTO '!A137</f>
        <v>PROGRAMA</v>
      </c>
      <c r="B137" s="106" t="str">
        <f>'CUMPLIMIENTO '!B137</f>
        <v>6.2.6</v>
      </c>
      <c r="C137" s="111" t="str">
        <f>'CUMPLIMIENTO '!C137</f>
        <v>Educación</v>
      </c>
      <c r="D137" s="199">
        <f>'CUMPLIMIENTO '!D137</f>
        <v>6</v>
      </c>
      <c r="E137" s="199" t="str">
        <f>'CUMPLIMIENTO '!E137</f>
        <v>NP</v>
      </c>
      <c r="F137" s="61">
        <f>'CUMPLIMIENTO '!G137</f>
        <v>0</v>
      </c>
      <c r="G137" s="61">
        <f>'CUMPLIMIENTO '!H137</f>
        <v>0</v>
      </c>
    </row>
    <row r="138" spans="1:11" ht="15.75" hidden="1" x14ac:dyDescent="0.25">
      <c r="A138" s="198" t="str">
        <f>'CUMPLIMIENTO '!A138</f>
        <v>PROGRAMA</v>
      </c>
      <c r="B138" s="106" t="str">
        <f>'CUMPLIMIENTO '!B138</f>
        <v>6.2.7</v>
      </c>
      <c r="C138" s="111" t="str">
        <f>'CUMPLIMIENTO '!C138</f>
        <v>Derechos Humanos</v>
      </c>
      <c r="D138" s="199">
        <f>'CUMPLIMIENTO '!D138</f>
        <v>3</v>
      </c>
      <c r="E138" s="199">
        <f>'CUMPLIMIENTO '!E138</f>
        <v>1</v>
      </c>
      <c r="F138" s="61">
        <f>'CUMPLIMIENTO '!G138</f>
        <v>0.16666666666666666</v>
      </c>
      <c r="G138" s="61">
        <f>'CUMPLIMIENTO '!H138</f>
        <v>0</v>
      </c>
    </row>
    <row r="139" spans="1:11" ht="15.75" hidden="1" x14ac:dyDescent="0.25">
      <c r="A139" s="198" t="str">
        <f>'CUMPLIMIENTO '!A139</f>
        <v>PROGRAMA</v>
      </c>
      <c r="B139" s="106" t="str">
        <f>'CUMPLIMIENTO '!B139</f>
        <v>6.2.8</v>
      </c>
      <c r="C139" s="111" t="str">
        <f>'CUMPLIMIENTO '!C139</f>
        <v>Atención a población indígena.</v>
      </c>
      <c r="D139" s="199">
        <f>'CUMPLIMIENTO '!D139</f>
        <v>5</v>
      </c>
      <c r="E139" s="199">
        <f>'CUMPLIMIENTO '!E139</f>
        <v>2</v>
      </c>
      <c r="F139" s="61">
        <f>'CUMPLIMIENTO '!G139</f>
        <v>0.25</v>
      </c>
      <c r="G139" s="61">
        <f>'CUMPLIMIENTO '!H139</f>
        <v>0.33333333333333331</v>
      </c>
      <c r="H139" s="62"/>
    </row>
    <row r="140" spans="1:11" ht="15.75" hidden="1" x14ac:dyDescent="0.25">
      <c r="A140" s="202" t="str">
        <f>'CUMPLIMIENTO '!A140</f>
        <v>LINEA</v>
      </c>
      <c r="B140" s="203" t="str">
        <f>'CUMPLIMIENTO '!B140</f>
        <v>6.3</v>
      </c>
      <c r="C140" s="221" t="str">
        <f>'CUMPLIMIENTO '!C140</f>
        <v>CAPITULO NIÑOS Y NIÑAS EN SU PRIMERA INFANCIA, INFANCIA Y ADOLESCENCIA.</v>
      </c>
      <c r="D140" s="216">
        <f>'CUMPLIMIENTO '!D140</f>
        <v>9</v>
      </c>
      <c r="E140" s="216">
        <f>'CUMPLIMIENTO '!E140</f>
        <v>7</v>
      </c>
      <c r="F140" s="217">
        <f>'CUMPLIMIENTO '!G140</f>
        <v>0.53456790123456799</v>
      </c>
      <c r="G140" s="218">
        <f>'CUMPLIMIENTO '!H140</f>
        <v>0.25</v>
      </c>
    </row>
    <row r="141" spans="1:11" ht="15.75" hidden="1" x14ac:dyDescent="0.25">
      <c r="A141" s="198" t="str">
        <f>'CUMPLIMIENTO '!A141</f>
        <v>PROGRAMA</v>
      </c>
      <c r="B141" s="106" t="str">
        <f>'CUMPLIMIENTO '!B141</f>
        <v>6.3.1</v>
      </c>
      <c r="C141" s="111" t="str">
        <f>'CUMPLIMIENTO '!C141</f>
        <v>Niños y niñas en su primera infancia, infancia y adolescencia</v>
      </c>
      <c r="D141" s="199">
        <f>'CUMPLIMIENTO '!D141</f>
        <v>9</v>
      </c>
      <c r="E141" s="199">
        <f>'CUMPLIMIENTO '!E141</f>
        <v>7</v>
      </c>
      <c r="F141" s="61">
        <f>'CUMPLIMIENTO '!G141</f>
        <v>0.53456790123456799</v>
      </c>
      <c r="G141" s="61">
        <f>'CUMPLIMIENTO '!H141</f>
        <v>0.25</v>
      </c>
    </row>
    <row r="142" spans="1:11" ht="15.75" hidden="1" x14ac:dyDescent="0.25">
      <c r="A142" s="202" t="str">
        <f>'CUMPLIMIENTO '!A142</f>
        <v>LINEA</v>
      </c>
      <c r="B142" s="203" t="str">
        <f>'CUMPLIMIENTO '!B142</f>
        <v>6.4</v>
      </c>
      <c r="C142" s="202" t="str">
        <f>'CUMPLIMIENTO '!C142</f>
        <v>JUVENTUD</v>
      </c>
      <c r="D142" s="216">
        <f>'CUMPLIMIENTO '!D142</f>
        <v>4</v>
      </c>
      <c r="E142" s="216">
        <f>'CUMPLIMIENTO '!E142</f>
        <v>4</v>
      </c>
      <c r="F142" s="217">
        <f>'CUMPLIMIENTO '!G142</f>
        <v>0.44374999999999998</v>
      </c>
      <c r="G142" s="218">
        <f>'CUMPLIMIENTO '!H142</f>
        <v>0.35638297872340424</v>
      </c>
      <c r="J142" s="77"/>
      <c r="K142" s="77"/>
    </row>
    <row r="143" spans="1:11" ht="15.75" hidden="1" x14ac:dyDescent="0.25">
      <c r="A143" s="198" t="str">
        <f>'CUMPLIMIENTO '!A143</f>
        <v>PROGRAMA</v>
      </c>
      <c r="B143" s="106" t="str">
        <f>'CUMPLIMIENTO '!B143</f>
        <v>6.4.1</v>
      </c>
      <c r="C143" s="111" t="str">
        <f>'CUMPLIMIENTO '!C143</f>
        <v>Juventud</v>
      </c>
      <c r="D143" s="199">
        <f>'CUMPLIMIENTO '!D143</f>
        <v>4</v>
      </c>
      <c r="E143" s="199">
        <f>'CUMPLIMIENTO '!E143</f>
        <v>4</v>
      </c>
      <c r="F143" s="61">
        <f>'CUMPLIMIENTO '!G143</f>
        <v>0.44374999999999998</v>
      </c>
      <c r="G143" s="61">
        <f>'CUMPLIMIENTO '!H143</f>
        <v>0.35638297872340424</v>
      </c>
      <c r="J143" s="77"/>
      <c r="K143" s="77"/>
    </row>
    <row r="144" spans="1:11" ht="15.75" hidden="1" x14ac:dyDescent="0.25">
      <c r="A144" s="202" t="str">
        <f>'CUMPLIMIENTO '!A144</f>
        <v>LINEA</v>
      </c>
      <c r="B144" s="203" t="str">
        <f>'CUMPLIMIENTO '!B144</f>
        <v>6.5</v>
      </c>
      <c r="C144" s="213" t="str">
        <f>'CUMPLIMIENTO '!C144</f>
        <v xml:space="preserve">BOLÍVAR GARANTIZA DERECHOS Y CUBRE LAS NECESIDADES DE ENVEJECIMIENTO Y VEJEZ. </v>
      </c>
      <c r="D144" s="216">
        <f>'CUMPLIMIENTO '!D144</f>
        <v>7</v>
      </c>
      <c r="E144" s="216">
        <f>'CUMPLIMIENTO '!E144</f>
        <v>6</v>
      </c>
      <c r="F144" s="217">
        <f>'CUMPLIMIENTO '!G144</f>
        <v>0.38174603174603178</v>
      </c>
      <c r="G144" s="218">
        <f>'CUMPLIMIENTO '!H144</f>
        <v>0</v>
      </c>
      <c r="J144" s="77"/>
      <c r="K144" s="77"/>
    </row>
    <row r="145" spans="1:11" ht="15.75" hidden="1" x14ac:dyDescent="0.25">
      <c r="A145" s="198" t="str">
        <f>'CUMPLIMIENTO '!A145</f>
        <v>PROGRAMA</v>
      </c>
      <c r="B145" s="106" t="str">
        <f>'CUMPLIMIENTO '!B145</f>
        <v>6.5.1</v>
      </c>
      <c r="C145" s="111" t="str">
        <f>'CUMPLIMIENTO '!C145</f>
        <v>Bolívar garantiza derechos y cubre las necesidades de envejecimiento y vejez.</v>
      </c>
      <c r="D145" s="199">
        <f>'CUMPLIMIENTO '!D145</f>
        <v>7</v>
      </c>
      <c r="E145" s="199">
        <f>'CUMPLIMIENTO '!E145</f>
        <v>6</v>
      </c>
      <c r="F145" s="61">
        <f>'CUMPLIMIENTO '!G145</f>
        <v>0.38174603174603178</v>
      </c>
      <c r="G145" s="61">
        <f>'CUMPLIMIENTO '!H145</f>
        <v>0</v>
      </c>
      <c r="J145" s="77"/>
      <c r="K145" s="77"/>
    </row>
    <row r="146" spans="1:11" ht="15.75" hidden="1" x14ac:dyDescent="0.25">
      <c r="A146" s="202" t="str">
        <f>'CUMPLIMIENTO '!A146</f>
        <v>LINEA</v>
      </c>
      <c r="B146" s="203" t="str">
        <f>'CUMPLIMIENTO '!B146</f>
        <v>6.6</v>
      </c>
      <c r="C146" s="213" t="str">
        <f>'CUMPLIMIENTO '!C146</f>
        <v>BOLÍVAR PRIMERO GARANTIZA LA EQUIDAD DE GÉNERO Y LA AUTONOMÍA DE LA MUJER BOLIVARENSE.</v>
      </c>
      <c r="D146" s="216">
        <f>'CUMPLIMIENTO '!D146</f>
        <v>9</v>
      </c>
      <c r="E146" s="216">
        <f>'CUMPLIMIENTO '!E146</f>
        <v>8</v>
      </c>
      <c r="F146" s="217">
        <f>'CUMPLIMIENTO '!G146</f>
        <v>0.44444444444444442</v>
      </c>
      <c r="G146" s="218">
        <f>'CUMPLIMIENTO '!H146</f>
        <v>0.25</v>
      </c>
      <c r="J146" s="77"/>
      <c r="K146" s="77"/>
    </row>
    <row r="147" spans="1:11" ht="15.75" hidden="1" x14ac:dyDescent="0.25">
      <c r="A147" s="198" t="str">
        <f>'CUMPLIMIENTO '!A147</f>
        <v>PROGRAMA</v>
      </c>
      <c r="B147" s="106" t="str">
        <f>'CUMPLIMIENTO '!B147</f>
        <v>6.6.1</v>
      </c>
      <c r="C147" s="111" t="str">
        <f>'CUMPLIMIENTO '!C147</f>
        <v>Mujer Bolivarense</v>
      </c>
      <c r="D147" s="199">
        <f>'CUMPLIMIENTO '!D147</f>
        <v>9</v>
      </c>
      <c r="E147" s="199">
        <f>'CUMPLIMIENTO '!E147</f>
        <v>8</v>
      </c>
      <c r="F147" s="61">
        <f>'CUMPLIMIENTO '!G147</f>
        <v>0.44444444444444442</v>
      </c>
      <c r="G147" s="61">
        <f>'CUMPLIMIENTO '!H147</f>
        <v>0.25</v>
      </c>
      <c r="J147" s="77"/>
      <c r="K147" s="77"/>
    </row>
    <row r="148" spans="1:11" ht="15.75" hidden="1" x14ac:dyDescent="0.25">
      <c r="A148" s="202" t="str">
        <f>'CUMPLIMIENTO '!A148</f>
        <v>LINEA</v>
      </c>
      <c r="B148" s="203" t="str">
        <f>'CUMPLIMIENTO '!B148</f>
        <v>6.7</v>
      </c>
      <c r="C148" s="202" t="str">
        <f>'CUMPLIMIENTO '!C148</f>
        <v>CAPITULO LGTBIQ</v>
      </c>
      <c r="D148" s="216">
        <f>'CUMPLIMIENTO '!D148</f>
        <v>4</v>
      </c>
      <c r="E148" s="216">
        <f>'CUMPLIMIENTO '!E148</f>
        <v>4</v>
      </c>
      <c r="F148" s="217">
        <f>'CUMPLIMIENTO '!G148</f>
        <v>0.47291666666666665</v>
      </c>
      <c r="G148" s="218">
        <f>'CUMPLIMIENTO '!H148</f>
        <v>0.14583333333333331</v>
      </c>
      <c r="J148" s="150"/>
      <c r="K148" s="150"/>
    </row>
    <row r="149" spans="1:11" ht="15.75" hidden="1" x14ac:dyDescent="0.25">
      <c r="A149" s="198" t="str">
        <f>'CUMPLIMIENTO '!A149</f>
        <v>PROGRAMA</v>
      </c>
      <c r="B149" s="106" t="str">
        <f>'CUMPLIMIENTO '!B149</f>
        <v>6.7.1</v>
      </c>
      <c r="C149" s="111" t="str">
        <f>'CUMPLIMIENTO '!C149</f>
        <v>LGTBIQ</v>
      </c>
      <c r="D149" s="199">
        <f>'CUMPLIMIENTO '!D149</f>
        <v>4</v>
      </c>
      <c r="E149" s="199">
        <f>'CUMPLIMIENTO '!E149</f>
        <v>4</v>
      </c>
      <c r="F149" s="61">
        <f>'CUMPLIMIENTO '!G149</f>
        <v>0.47291666666666665</v>
      </c>
      <c r="G149" s="61">
        <f>'CUMPLIMIENTO '!H149</f>
        <v>0.14583333333333331</v>
      </c>
    </row>
    <row r="150" spans="1:11" ht="15.75" hidden="1" x14ac:dyDescent="0.25">
      <c r="A150" s="202" t="str">
        <f>'CUMPLIMIENTO '!A150</f>
        <v>LINEA</v>
      </c>
      <c r="B150" s="203" t="str">
        <f>'CUMPLIMIENTO '!B150</f>
        <v>6.8</v>
      </c>
      <c r="C150" s="202" t="str">
        <f>'CUMPLIMIENTO '!C150</f>
        <v>CAPITULO POBLACIÓN EN SITUACIÓN DE DISCAPACIDAD</v>
      </c>
      <c r="D150" s="216">
        <f>'CUMPLIMIENTO '!D150</f>
        <v>2</v>
      </c>
      <c r="E150" s="216">
        <f>'CUMPLIMIENTO '!E150</f>
        <v>2</v>
      </c>
      <c r="F150" s="217">
        <f>'CUMPLIMIENTO '!G150</f>
        <v>0.2</v>
      </c>
      <c r="G150" s="218">
        <f>'CUMPLIMIENTO '!H150</f>
        <v>0.31666666666666665</v>
      </c>
    </row>
    <row r="151" spans="1:11" ht="15.75" hidden="1" x14ac:dyDescent="0.25">
      <c r="A151" s="198" t="str">
        <f>'CUMPLIMIENTO '!A151</f>
        <v>PROGRAMA</v>
      </c>
      <c r="B151" s="106" t="str">
        <f>'CUMPLIMIENTO '!B151</f>
        <v>6.8.1</v>
      </c>
      <c r="C151" s="111" t="str">
        <f>'CUMPLIMIENTO '!C151</f>
        <v>Población en situación de discapacidad</v>
      </c>
      <c r="D151" s="199">
        <f>'CUMPLIMIENTO '!D151</f>
        <v>2</v>
      </c>
      <c r="E151" s="199">
        <f>'CUMPLIMIENTO '!E151</f>
        <v>2</v>
      </c>
      <c r="F151" s="61">
        <f>'CUMPLIMIENTO '!G151</f>
        <v>0.2</v>
      </c>
      <c r="G151" s="61">
        <f>'CUMPLIMIENTO '!H151</f>
        <v>0.31666666666666665</v>
      </c>
    </row>
    <row r="152" spans="1:11" ht="15.75" hidden="1" x14ac:dyDescent="0.25">
      <c r="A152" s="202" t="str">
        <f>'CUMPLIMIENTO '!A152</f>
        <v>LINEA</v>
      </c>
      <c r="B152" s="203" t="str">
        <f>'CUMPLIMIENTO '!B152</f>
        <v>6.9</v>
      </c>
      <c r="C152" s="202" t="str">
        <f>'CUMPLIMIENTO '!C152</f>
        <v>ASUNTOS RELIGIOSOS</v>
      </c>
      <c r="D152" s="216">
        <f>'CUMPLIMIENTO '!D152</f>
        <v>2</v>
      </c>
      <c r="E152" s="216">
        <f>'CUMPLIMIENTO '!E152</f>
        <v>2</v>
      </c>
      <c r="F152" s="217">
        <f>'CUMPLIMIENTO '!G152</f>
        <v>0.15</v>
      </c>
      <c r="G152" s="218">
        <f>'CUMPLIMIENTO '!H152</f>
        <v>0.16666666666666666</v>
      </c>
    </row>
    <row r="153" spans="1:11" ht="15.75" hidden="1" x14ac:dyDescent="0.25">
      <c r="A153" s="198" t="str">
        <f>'CUMPLIMIENTO '!A153</f>
        <v>PROGRAMA</v>
      </c>
      <c r="B153" s="106" t="str">
        <f>'CUMPLIMIENTO '!B153</f>
        <v>6.9.1</v>
      </c>
      <c r="C153" s="111" t="str">
        <f>'CUMPLIMIENTO '!C153</f>
        <v>Asuntos religiosos</v>
      </c>
      <c r="D153" s="199">
        <f>'CUMPLIMIENTO '!D153</f>
        <v>2</v>
      </c>
      <c r="E153" s="199">
        <f>'CUMPLIMIENTO '!E153</f>
        <v>2</v>
      </c>
      <c r="F153" s="61">
        <f>'CUMPLIMIENTO '!G153</f>
        <v>0.15</v>
      </c>
      <c r="G153" s="61">
        <f>'CUMPLIMIENTO '!H153</f>
        <v>0.16666666666666666</v>
      </c>
    </row>
    <row r="154" spans="1:11" ht="15.75" hidden="1" x14ac:dyDescent="0.25">
      <c r="A154" s="202" t="str">
        <f>'CUMPLIMIENTO '!A154</f>
        <v>LINEA</v>
      </c>
      <c r="B154" s="203" t="str">
        <f>'CUMPLIMIENTO '!B154</f>
        <v>6.10</v>
      </c>
      <c r="C154" s="202" t="str">
        <f>'CUMPLIMIENTO '!C154</f>
        <v>SISTEMA PENITENCIARIO</v>
      </c>
      <c r="D154" s="216">
        <f>'CUMPLIMIENTO '!D154</f>
        <v>2</v>
      </c>
      <c r="E154" s="216">
        <f>'CUMPLIMIENTO '!E154</f>
        <v>2</v>
      </c>
      <c r="F154" s="217">
        <f>'CUMPLIMIENTO '!G154</f>
        <v>0</v>
      </c>
      <c r="G154" s="218">
        <f>'CUMPLIMIENTO '!H154</f>
        <v>0</v>
      </c>
    </row>
    <row r="155" spans="1:11" ht="15.75" hidden="1" x14ac:dyDescent="0.25">
      <c r="A155" s="198" t="str">
        <f>'CUMPLIMIENTO '!A155</f>
        <v>PROGRAMA</v>
      </c>
      <c r="B155" s="106" t="str">
        <f>'CUMPLIMIENTO '!B155</f>
        <v>6.10.1</v>
      </c>
      <c r="C155" s="111" t="str">
        <f>'CUMPLIMIENTO '!C155</f>
        <v>Sistema Penitenciario</v>
      </c>
      <c r="D155" s="199">
        <f>'CUMPLIMIENTO '!D155</f>
        <v>2</v>
      </c>
      <c r="E155" s="199">
        <f>'CUMPLIMIENTO '!E155</f>
        <v>2</v>
      </c>
      <c r="F155" s="61">
        <f>'CUMPLIMIENTO '!G155</f>
        <v>0</v>
      </c>
      <c r="G155" s="61">
        <f>'CUMPLIMIENTO '!H155</f>
        <v>0</v>
      </c>
    </row>
    <row r="157" spans="1:11" ht="23.25" x14ac:dyDescent="0.35">
      <c r="A157" s="625" t="str">
        <f>C90</f>
        <v>BOLÍVAR PRIMERO EN FORTALECIMIENTO INSTITUCIONAL Y SEGURIDAD EFECTIVA PARA TODOS</v>
      </c>
      <c r="B157" s="625"/>
      <c r="C157" s="625"/>
      <c r="D157" s="625"/>
      <c r="E157" s="625"/>
      <c r="F157" s="625"/>
      <c r="G157" s="625"/>
    </row>
    <row r="187" spans="10:12" ht="18.75" x14ac:dyDescent="0.3">
      <c r="J187" s="518"/>
      <c r="K187" s="522" t="s">
        <v>2033</v>
      </c>
      <c r="L187" s="522" t="s">
        <v>2034</v>
      </c>
    </row>
    <row r="188" spans="10:12" x14ac:dyDescent="0.25">
      <c r="J188" s="519"/>
      <c r="K188" s="523" t="s">
        <v>2035</v>
      </c>
      <c r="L188" s="517" t="s">
        <v>2037</v>
      </c>
    </row>
    <row r="189" spans="10:12" x14ac:dyDescent="0.25">
      <c r="J189" s="520"/>
      <c r="K189" s="523" t="s">
        <v>2036</v>
      </c>
      <c r="L189" s="517" t="s">
        <v>2038</v>
      </c>
    </row>
    <row r="190" spans="10:12" x14ac:dyDescent="0.25">
      <c r="J190" s="521"/>
      <c r="K190" s="523" t="s">
        <v>2040</v>
      </c>
      <c r="L190" s="517" t="s">
        <v>2039</v>
      </c>
    </row>
  </sheetData>
  <autoFilter ref="A9:G155" xr:uid="{A9C5D684-4882-4199-835C-A4262CB1F79C}">
    <filterColumn colId="1">
      <filters>
        <filter val="4"/>
        <filter val="4.1"/>
        <filter val="4.2"/>
        <filter val="4.3"/>
        <filter val="4.4"/>
        <filter val="4.5"/>
        <filter val="4.6"/>
      </filters>
    </filterColumn>
  </autoFilter>
  <mergeCells count="2">
    <mergeCell ref="A3:D6"/>
    <mergeCell ref="A157:G157"/>
  </mergeCells>
  <printOptions horizontalCentered="1"/>
  <pageMargins left="0.51181102362204722" right="0.51181102362204722" top="0" bottom="0" header="0.11811023622047245" footer="0.11811023622047245"/>
  <pageSetup scale="7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FA95A-2EEF-4D8B-AAFB-4D974660B307}">
  <sheetPr codeName="Hoja11" filterMode="1">
    <pageSetUpPr fitToPage="1"/>
  </sheetPr>
  <dimension ref="A3:K188"/>
  <sheetViews>
    <sheetView topLeftCell="A118" zoomScale="90" zoomScaleNormal="90" workbookViewId="0">
      <selection activeCell="F185" sqref="F185:H188"/>
    </sheetView>
  </sheetViews>
  <sheetFormatPr baseColWidth="10" defaultRowHeight="15" x14ac:dyDescent="0.25"/>
  <cols>
    <col min="1" max="1" width="23.5703125" customWidth="1"/>
    <col min="2" max="2" width="8.28515625" style="214" customWidth="1"/>
    <col min="3" max="3" width="70.7109375" style="109" customWidth="1"/>
    <col min="4" max="7" width="14.7109375" customWidth="1"/>
    <col min="9" max="9" width="7.7109375" bestFit="1" customWidth="1"/>
  </cols>
  <sheetData>
    <row r="3" spans="1:9" x14ac:dyDescent="0.25">
      <c r="A3" s="623" t="s">
        <v>2023</v>
      </c>
      <c r="B3" s="624"/>
      <c r="C3" s="624"/>
      <c r="D3" s="624"/>
    </row>
    <row r="4" spans="1:9" x14ac:dyDescent="0.25">
      <c r="A4" s="624"/>
      <c r="B4" s="624"/>
      <c r="C4" s="624"/>
      <c r="D4" s="624"/>
    </row>
    <row r="5" spans="1:9" x14ac:dyDescent="0.25">
      <c r="A5" s="624"/>
      <c r="B5" s="624"/>
      <c r="C5" s="624"/>
      <c r="D5" s="624"/>
    </row>
    <row r="6" spans="1:9" x14ac:dyDescent="0.25">
      <c r="A6" s="624"/>
      <c r="B6" s="624"/>
      <c r="C6" s="624"/>
      <c r="D6" s="624"/>
    </row>
    <row r="7" spans="1:9" x14ac:dyDescent="0.25">
      <c r="A7" t="s">
        <v>1836</v>
      </c>
      <c r="B7" s="214" t="s">
        <v>2022</v>
      </c>
    </row>
    <row r="8" spans="1:9" x14ac:dyDescent="0.25">
      <c r="A8" t="s">
        <v>1837</v>
      </c>
      <c r="B8" s="214" t="s">
        <v>1838</v>
      </c>
    </row>
    <row r="9" spans="1:9" ht="63" x14ac:dyDescent="0.25">
      <c r="A9" s="201" t="s">
        <v>1834</v>
      </c>
      <c r="B9" s="201" t="s">
        <v>1833</v>
      </c>
      <c r="C9" s="201" t="s">
        <v>1835</v>
      </c>
      <c r="D9" s="201" t="s">
        <v>1813</v>
      </c>
      <c r="E9" s="201" t="s">
        <v>1814</v>
      </c>
      <c r="F9" s="496" t="s">
        <v>1811</v>
      </c>
      <c r="G9" s="497" t="s">
        <v>2030</v>
      </c>
    </row>
    <row r="10" spans="1:9" ht="21" hidden="1" x14ac:dyDescent="0.35">
      <c r="A10" s="192" t="str">
        <f>'CUMPLIMIENTO '!A10</f>
        <v>PDD</v>
      </c>
      <c r="B10" s="215">
        <f>'CUMPLIMIENTO '!B10</f>
        <v>0</v>
      </c>
      <c r="C10" s="193" t="str">
        <f>'CUMPLIMIENTO '!C10</f>
        <v>BOLIVAR PRIMERO 2020 - 2023</v>
      </c>
      <c r="D10" s="219">
        <f>'CUMPLIMIENTO '!D10</f>
        <v>554</v>
      </c>
      <c r="E10" s="219">
        <f>'CUMPLIMIENTO '!E10</f>
        <v>388</v>
      </c>
      <c r="F10" s="220">
        <f>'CUMPLIMIENTO '!G10</f>
        <v>0.26338387305792299</v>
      </c>
      <c r="G10" s="220">
        <f>'CUMPLIMIENTO '!H10</f>
        <v>0.28726565544596755</v>
      </c>
    </row>
    <row r="11" spans="1:9" ht="18.75" hidden="1" x14ac:dyDescent="0.25">
      <c r="A11" s="222" t="str">
        <f>'CUMPLIMIENTO '!A11</f>
        <v>EJE ESTRATEGICO</v>
      </c>
      <c r="B11" s="223">
        <f>'CUMPLIMIENTO '!B11</f>
        <v>1</v>
      </c>
      <c r="C11" s="222" t="str">
        <f>'CUMPLIMIENTO '!C11</f>
        <v>BOLIVAR PROGRESA, SUPERACIÓN DE LA POBREZA</v>
      </c>
      <c r="D11" s="224">
        <f>'CUMPLIMIENTO '!D11</f>
        <v>219</v>
      </c>
      <c r="E11" s="224">
        <f>'CUMPLIMIENTO '!E11</f>
        <v>188</v>
      </c>
      <c r="F11" s="225">
        <f>'CUMPLIMIENTO '!G11</f>
        <v>0.28346507642507995</v>
      </c>
      <c r="G11" s="225">
        <f>'CUMPLIMIENTO '!H11</f>
        <v>0.33973499765782816</v>
      </c>
    </row>
    <row r="12" spans="1:9" s="110" customFormat="1" ht="15.75" hidden="1" x14ac:dyDescent="0.25">
      <c r="A12" s="202" t="str">
        <f>'CUMPLIMIENTO '!A12</f>
        <v>LINEA</v>
      </c>
      <c r="B12" s="203" t="str">
        <f>'CUMPLIMIENTO '!B12</f>
        <v xml:space="preserve">1.1 </v>
      </c>
      <c r="C12" s="202" t="str">
        <f>'CUMPLIMIENTO '!C12</f>
        <v>PLAN DEPARTAMENTAL DE EMERGENCIA SOCIAL PARA LA IGUALDAD Y LA INCLUSIÓN</v>
      </c>
      <c r="D12" s="216">
        <f>'CUMPLIMIENTO '!D12</f>
        <v>14</v>
      </c>
      <c r="E12" s="216">
        <f>'CUMPLIMIENTO '!E12</f>
        <v>6</v>
      </c>
      <c r="F12" s="217">
        <f>'CUMPLIMIENTO '!G12</f>
        <v>0.10410714285714286</v>
      </c>
      <c r="G12" s="218">
        <f>'CUMPLIMIENTO '!H12</f>
        <v>0.33333333333333331</v>
      </c>
      <c r="I12"/>
    </row>
    <row r="13" spans="1:9" s="110" customFormat="1" ht="30" hidden="1" x14ac:dyDescent="0.25">
      <c r="A13" s="208" t="str">
        <f>'CUMPLIMIENTO '!A13</f>
        <v>PROGRAMA</v>
      </c>
      <c r="B13" s="209" t="str">
        <f>'CUMPLIMIENTO '!B13</f>
        <v>1.1.1</v>
      </c>
      <c r="C13" s="210" t="str">
        <f>'CUMPLIMIENTO '!C13</f>
        <v>Plan departamental de emergencia social para la igualdad y la inclusión PLADES.</v>
      </c>
      <c r="D13" s="211">
        <f>'CUMPLIMIENTO '!D13</f>
        <v>14</v>
      </c>
      <c r="E13" s="211">
        <f>'CUMPLIMIENTO '!E13</f>
        <v>6</v>
      </c>
      <c r="F13" s="212">
        <f>'CUMPLIMIENTO '!G13</f>
        <v>0.10410714285714286</v>
      </c>
      <c r="G13" s="212">
        <f>'CUMPLIMIENTO '!H13</f>
        <v>0.33333333333333331</v>
      </c>
      <c r="I13"/>
    </row>
    <row r="14" spans="1:9" ht="15.75" hidden="1" x14ac:dyDescent="0.25">
      <c r="A14" s="251" t="str">
        <f>'CUMPLIMIENTO '!A14</f>
        <v>LINEA</v>
      </c>
      <c r="B14" s="252" t="str">
        <f>'CUMPLIMIENTO '!B14</f>
        <v xml:space="preserve">1.2 </v>
      </c>
      <c r="C14" s="251" t="str">
        <f>'CUMPLIMIENTO '!C14</f>
        <v>BOLÍVAR PRIMERO EDUCA</v>
      </c>
      <c r="D14" s="253">
        <f>'CUMPLIMIENTO '!D14</f>
        <v>43</v>
      </c>
      <c r="E14" s="253">
        <f>'CUMPLIMIENTO '!E14</f>
        <v>34</v>
      </c>
      <c r="F14" s="254">
        <f>'CUMPLIMIENTO '!G14</f>
        <v>0.380217289810165</v>
      </c>
      <c r="G14" s="255">
        <f>'CUMPLIMIENTO '!H14</f>
        <v>0.35092007988259732</v>
      </c>
    </row>
    <row r="15" spans="1:9" ht="15.75" hidden="1" x14ac:dyDescent="0.25">
      <c r="A15" s="198" t="str">
        <f>'CUMPLIMIENTO '!A15</f>
        <v>PROGRAMA</v>
      </c>
      <c r="B15" s="106" t="str">
        <f>'CUMPLIMIENTO '!B15</f>
        <v>1.2.1</v>
      </c>
      <c r="C15" s="111" t="str">
        <f>'CUMPLIMIENTO '!C15</f>
        <v>Bolívar Primero en calidad educativa.</v>
      </c>
      <c r="D15" s="199">
        <f>'CUMPLIMIENTO '!D15</f>
        <v>21</v>
      </c>
      <c r="E15" s="199">
        <f>'CUMPLIMIENTO '!E15</f>
        <v>15</v>
      </c>
      <c r="F15" s="61">
        <f>'CUMPLIMIENTO '!G15</f>
        <v>0.34098599173680866</v>
      </c>
      <c r="G15" s="61">
        <f>'CUMPLIMIENTO '!H15</f>
        <v>0.12839000155255395</v>
      </c>
    </row>
    <row r="16" spans="1:9" ht="15.75" hidden="1" x14ac:dyDescent="0.25">
      <c r="A16" s="198" t="str">
        <f>'CUMPLIMIENTO '!A16</f>
        <v>PROGRAMA</v>
      </c>
      <c r="B16" s="106" t="str">
        <f>'CUMPLIMIENTO '!B16</f>
        <v>1.2.2</v>
      </c>
      <c r="C16" s="111" t="str">
        <f>'CUMPLIMIENTO '!C16</f>
        <v>Bolívar primero en cobertura.</v>
      </c>
      <c r="D16" s="199">
        <f>'CUMPLIMIENTO '!D16</f>
        <v>8</v>
      </c>
      <c r="E16" s="199">
        <f>'CUMPLIMIENTO '!E16</f>
        <v>7</v>
      </c>
      <c r="F16" s="61">
        <f>'CUMPLIMIENTO '!G16</f>
        <v>0.38777812259164557</v>
      </c>
      <c r="G16" s="61">
        <f>'CUMPLIMIENTO '!H16</f>
        <v>0.40960833333333335</v>
      </c>
    </row>
    <row r="17" spans="1:7" ht="15.75" hidden="1" x14ac:dyDescent="0.25">
      <c r="A17" s="198" t="str">
        <f>'CUMPLIMIENTO '!A17</f>
        <v>PROGRAMA</v>
      </c>
      <c r="B17" s="106" t="str">
        <f>'CUMPLIMIENTO '!B17</f>
        <v>1.2.3</v>
      </c>
      <c r="C17" s="111" t="str">
        <f>'CUMPLIMIENTO '!C17</f>
        <v>Bolívar primero en eficiencia y fortalecimiento institucional de la educación</v>
      </c>
      <c r="D17" s="199">
        <f>'CUMPLIMIENTO '!D17</f>
        <v>14</v>
      </c>
      <c r="E17" s="199">
        <f>'CUMPLIMIENTO '!E17</f>
        <v>12</v>
      </c>
      <c r="F17" s="61">
        <f>'CUMPLIMIENTO '!G17</f>
        <v>0.41188775510204084</v>
      </c>
      <c r="G17" s="61">
        <f>'CUMPLIMIENTO '!H17</f>
        <v>0.51476190476190475</v>
      </c>
    </row>
    <row r="18" spans="1:7" ht="15.75" hidden="1" x14ac:dyDescent="0.25">
      <c r="A18" s="202" t="str">
        <f>'CUMPLIMIENTO '!A18</f>
        <v>LINEA</v>
      </c>
      <c r="B18" s="203" t="str">
        <f>'CUMPLIMIENTO '!B18</f>
        <v>1.3</v>
      </c>
      <c r="C18" s="202" t="str">
        <f>'CUMPLIMIENTO '!C18</f>
        <v>BOLIVAR PRIMERO EN SALUD</v>
      </c>
      <c r="D18" s="216">
        <f>'CUMPLIMIENTO '!D18</f>
        <v>100</v>
      </c>
      <c r="E18" s="216">
        <f>'CUMPLIMIENTO '!E18</f>
        <v>100</v>
      </c>
      <c r="F18" s="217">
        <f>'CUMPLIMIENTO '!G18</f>
        <v>0.28725768020702352</v>
      </c>
      <c r="G18" s="218">
        <f>'CUMPLIMIENTO '!H18</f>
        <v>0.12644126449682005</v>
      </c>
    </row>
    <row r="19" spans="1:7" ht="15.75" hidden="1" x14ac:dyDescent="0.25">
      <c r="A19" s="198" t="str">
        <f>'CUMPLIMIENTO '!A19</f>
        <v>PROGRAMA</v>
      </c>
      <c r="B19" s="106" t="str">
        <f>'CUMPLIMIENTO '!B19</f>
        <v xml:space="preserve">1.3.1 </v>
      </c>
      <c r="C19" s="111" t="str">
        <f>'CUMPLIMIENTO '!C19</f>
        <v>Salud Ambiental</v>
      </c>
      <c r="D19" s="199">
        <f>'CUMPLIMIENTO '!D19</f>
        <v>6</v>
      </c>
      <c r="E19" s="199">
        <f>'CUMPLIMIENTO '!E19</f>
        <v>6</v>
      </c>
      <c r="F19" s="61">
        <f>'CUMPLIMIENTO '!G19</f>
        <v>0.30396365309408785</v>
      </c>
      <c r="G19" s="61">
        <f>'CUMPLIMIENTO '!H19</f>
        <v>8.8888888888888889E-3</v>
      </c>
    </row>
    <row r="20" spans="1:7" ht="15.75" hidden="1" x14ac:dyDescent="0.25">
      <c r="A20" s="198" t="str">
        <f>'CUMPLIMIENTO '!A20</f>
        <v>PROGRAMA</v>
      </c>
      <c r="B20" s="106" t="str">
        <f>'CUMPLIMIENTO '!B20</f>
        <v>1.3.2</v>
      </c>
      <c r="C20" s="111" t="str">
        <f>'CUMPLIMIENTO '!C20</f>
        <v>Vida Saludables y Condiciones no Transmisibles</v>
      </c>
      <c r="D20" s="199">
        <f>'CUMPLIMIENTO '!D20</f>
        <v>6</v>
      </c>
      <c r="E20" s="199">
        <f>'CUMPLIMIENTO '!E20</f>
        <v>6</v>
      </c>
      <c r="F20" s="61">
        <f>'CUMPLIMIENTO '!G20</f>
        <v>0.17453703703703705</v>
      </c>
      <c r="G20" s="61">
        <f>'CUMPLIMIENTO '!H20</f>
        <v>0</v>
      </c>
    </row>
    <row r="21" spans="1:7" ht="15.75" hidden="1" x14ac:dyDescent="0.25">
      <c r="A21" s="198" t="str">
        <f>'CUMPLIMIENTO '!A21</f>
        <v>PROGRAMA</v>
      </c>
      <c r="B21" s="106" t="str">
        <f>'CUMPLIMIENTO '!B21</f>
        <v>1.3.3</v>
      </c>
      <c r="C21" s="111" t="str">
        <f>'CUMPLIMIENTO '!C21</f>
        <v xml:space="preserve">Convivencia Social y Salud Mental </v>
      </c>
      <c r="D21" s="199">
        <f>'CUMPLIMIENTO '!D21</f>
        <v>4</v>
      </c>
      <c r="E21" s="199">
        <f>'CUMPLIMIENTO '!E21</f>
        <v>4</v>
      </c>
      <c r="F21" s="61">
        <f>'CUMPLIMIENTO '!G21</f>
        <v>0.22361111111111109</v>
      </c>
      <c r="G21" s="61">
        <f>'CUMPLIMIENTO '!H21</f>
        <v>6.1111111111111109E-2</v>
      </c>
    </row>
    <row r="22" spans="1:7" ht="15.75" hidden="1" x14ac:dyDescent="0.25">
      <c r="A22" s="198" t="str">
        <f>'CUMPLIMIENTO '!A22</f>
        <v>PROGRAMA</v>
      </c>
      <c r="B22" s="106" t="str">
        <f>'CUMPLIMIENTO '!B22</f>
        <v>1.3.4</v>
      </c>
      <c r="C22" s="111" t="str">
        <f>'CUMPLIMIENTO '!C22</f>
        <v>Seguridad Alimentaria y Nutricional</v>
      </c>
      <c r="D22" s="199">
        <f>'CUMPLIMIENTO '!D22</f>
        <v>9</v>
      </c>
      <c r="E22" s="199">
        <f>'CUMPLIMIENTO '!E22</f>
        <v>8</v>
      </c>
      <c r="F22" s="61">
        <f>'CUMPLIMIENTO '!G22</f>
        <v>0.16396604938271606</v>
      </c>
      <c r="G22" s="61">
        <f>'CUMPLIMIENTO '!H22</f>
        <v>7.407407407407407E-2</v>
      </c>
    </row>
    <row r="23" spans="1:7" ht="15.75" hidden="1" x14ac:dyDescent="0.25">
      <c r="A23" s="198" t="str">
        <f>'CUMPLIMIENTO '!A23</f>
        <v>PROGRAMA</v>
      </c>
      <c r="B23" s="106" t="str">
        <f>'CUMPLIMIENTO '!B23</f>
        <v>1.3.5</v>
      </c>
      <c r="C23" s="111" t="str">
        <f>'CUMPLIMIENTO '!C23</f>
        <v>Sexualidad, Derechos Sexuales y Reproductivos</v>
      </c>
      <c r="D23" s="199">
        <f>'CUMPLIMIENTO '!D23</f>
        <v>6</v>
      </c>
      <c r="E23" s="199">
        <f>'CUMPLIMIENTO '!E23</f>
        <v>6</v>
      </c>
      <c r="F23" s="61">
        <f>'CUMPLIMIENTO '!G23</f>
        <v>0.61435185185185182</v>
      </c>
      <c r="G23" s="61">
        <f>'CUMPLIMIENTO '!H23</f>
        <v>0.11851851851851848</v>
      </c>
    </row>
    <row r="24" spans="1:7" ht="15.75" hidden="1" x14ac:dyDescent="0.25">
      <c r="A24" s="198" t="str">
        <f>'CUMPLIMIENTO '!A24</f>
        <v>PROGRAMA</v>
      </c>
      <c r="B24" s="106" t="str">
        <f>'CUMPLIMIENTO '!B24</f>
        <v>1.3.6</v>
      </c>
      <c r="C24" s="111" t="str">
        <f>'CUMPLIMIENTO '!C24</f>
        <v>Vida Saludable y Enfermedades transmisibles</v>
      </c>
      <c r="D24" s="199">
        <f>'CUMPLIMIENTO '!D24</f>
        <v>10</v>
      </c>
      <c r="E24" s="199">
        <f>'CUMPLIMIENTO '!E24</f>
        <v>11</v>
      </c>
      <c r="F24" s="61">
        <f>'CUMPLIMIENTO '!G24</f>
        <v>0.38444444444444448</v>
      </c>
      <c r="G24" s="61">
        <f>'CUMPLIMIENTO '!H24</f>
        <v>0.35833333333333334</v>
      </c>
    </row>
    <row r="25" spans="1:7" ht="15.75" hidden="1" x14ac:dyDescent="0.25">
      <c r="A25" s="198" t="str">
        <f>'CUMPLIMIENTO '!A25</f>
        <v>PROGRAMA</v>
      </c>
      <c r="B25" s="106" t="str">
        <f>'CUMPLIMIENTO '!B25</f>
        <v>1.3.7</v>
      </c>
      <c r="C25" s="111" t="str">
        <f>'CUMPLIMIENTO '!C25</f>
        <v>Salud Publica en Emergencias y Desastres</v>
      </c>
      <c r="D25" s="199">
        <f>'CUMPLIMIENTO '!D25</f>
        <v>5</v>
      </c>
      <c r="E25" s="199">
        <f>'CUMPLIMIENTO '!E25</f>
        <v>4</v>
      </c>
      <c r="F25" s="61">
        <f>'CUMPLIMIENTO '!G25</f>
        <v>0.27913043478260868</v>
      </c>
      <c r="G25" s="61">
        <f>'CUMPLIMIENTO '!H25</f>
        <v>0.25</v>
      </c>
    </row>
    <row r="26" spans="1:7" ht="15.75" hidden="1" x14ac:dyDescent="0.25">
      <c r="A26" s="198" t="str">
        <f>'CUMPLIMIENTO '!A26</f>
        <v>PROGRAMA</v>
      </c>
      <c r="B26" s="106" t="str">
        <f>'CUMPLIMIENTO '!B26</f>
        <v>1.3.8</v>
      </c>
      <c r="C26" s="111" t="str">
        <f>'CUMPLIMIENTO '!C26</f>
        <v>Salud y Ambito Laboral</v>
      </c>
      <c r="D26" s="199">
        <f>'CUMPLIMIENTO '!D26</f>
        <v>4</v>
      </c>
      <c r="E26" s="199">
        <f>'CUMPLIMIENTO '!E26</f>
        <v>4</v>
      </c>
      <c r="F26" s="61">
        <f>'CUMPLIMIENTO '!G26</f>
        <v>0.21906565656565657</v>
      </c>
      <c r="G26" s="61">
        <f>'CUMPLIMIENTO '!H26</f>
        <v>0.25</v>
      </c>
    </row>
    <row r="27" spans="1:7" ht="15.75" hidden="1" x14ac:dyDescent="0.25">
      <c r="A27" s="198" t="str">
        <f>'CUMPLIMIENTO '!A27</f>
        <v>PROGRAMA</v>
      </c>
      <c r="B27" s="106" t="str">
        <f>'CUMPLIMIENTO '!B27</f>
        <v>1.3.9</v>
      </c>
      <c r="C27" s="111" t="str">
        <f>'CUMPLIMIENTO '!C27</f>
        <v>Gestión Diferencial de las Poblaciones Vulnerables</v>
      </c>
      <c r="D27" s="199">
        <f>'CUMPLIMIENTO '!D27</f>
        <v>22</v>
      </c>
      <c r="E27" s="199">
        <f>'CUMPLIMIENTO '!E27</f>
        <v>22</v>
      </c>
      <c r="F27" s="61">
        <f>'CUMPLIMIENTO '!G27</f>
        <v>0.22224888359369785</v>
      </c>
      <c r="G27" s="61">
        <f>'CUMPLIMIENTO '!H27</f>
        <v>1.7045454545454544E-2</v>
      </c>
    </row>
    <row r="28" spans="1:7" ht="15.75" hidden="1" x14ac:dyDescent="0.25">
      <c r="A28" s="198" t="str">
        <f>'CUMPLIMIENTO '!A28</f>
        <v>PROGRAMA</v>
      </c>
      <c r="B28" s="106" t="str">
        <f>'CUMPLIMIENTO '!B28</f>
        <v>1.3.10</v>
      </c>
      <c r="C28" s="111" t="str">
        <f>'CUMPLIMIENTO '!C28</f>
        <v>Fortalecimiento de la Autoridad Sanitaria en Salud</v>
      </c>
      <c r="D28" s="199">
        <f>'CUMPLIMIENTO '!D28</f>
        <v>28</v>
      </c>
      <c r="E28" s="200">
        <f>'CUMPLIMIENTO '!E28</f>
        <v>29</v>
      </c>
      <c r="F28" s="61">
        <f>'CUMPLIMIENTO '!G28</f>
        <v>0.29796334722086598</v>
      </c>
      <c r="G28" s="61">
        <f>'CUMPLIMIENTO '!H28</f>
        <v>0.29579782790309106</v>
      </c>
    </row>
    <row r="29" spans="1:7" ht="15.75" hidden="1" x14ac:dyDescent="0.25">
      <c r="A29" s="251" t="str">
        <f>'CUMPLIMIENTO '!A29</f>
        <v>LINEA</v>
      </c>
      <c r="B29" s="252" t="str">
        <f>'CUMPLIMIENTO '!B29</f>
        <v>1.4</v>
      </c>
      <c r="C29" s="251" t="str">
        <f>'CUMPLIMIENTO '!C29</f>
        <v>HÁBITAT</v>
      </c>
      <c r="D29" s="253">
        <f>'CUMPLIMIENTO '!D29</f>
        <v>8</v>
      </c>
      <c r="E29" s="253">
        <f>'CUMPLIMIENTO '!E29</f>
        <v>5</v>
      </c>
      <c r="F29" s="254">
        <f>'CUMPLIMIENTO '!G29</f>
        <v>0.19584814814814816</v>
      </c>
      <c r="G29" s="255">
        <f>'CUMPLIMIENTO '!H29</f>
        <v>0.63424242424242427</v>
      </c>
    </row>
    <row r="30" spans="1:7" ht="15.75" hidden="1" x14ac:dyDescent="0.25">
      <c r="A30" s="198" t="str">
        <f>'CUMPLIMIENTO '!A30</f>
        <v>PROGRAMA</v>
      </c>
      <c r="B30" s="106" t="str">
        <f>'CUMPLIMIENTO '!B30</f>
        <v>1.4.1</v>
      </c>
      <c r="C30" s="111" t="str">
        <f>'CUMPLIMIENTO '!C30</f>
        <v>Primero la vivienda</v>
      </c>
      <c r="D30" s="199">
        <f>'CUMPLIMIENTO '!D30</f>
        <v>2</v>
      </c>
      <c r="E30" s="199" t="str">
        <f>'CUMPLIMIENTO '!E30</f>
        <v>NP</v>
      </c>
      <c r="F30" s="61">
        <f>'CUMPLIMIENTO '!G30</f>
        <v>0.15540000000000001</v>
      </c>
      <c r="G30" s="61">
        <f>'CUMPLIMIENTO '!H30</f>
        <v>0.94181818181818178</v>
      </c>
    </row>
    <row r="31" spans="1:7" ht="15.75" hidden="1" x14ac:dyDescent="0.25">
      <c r="A31" s="198" t="str">
        <f>'CUMPLIMIENTO '!A31</f>
        <v>PROGRAMA</v>
      </c>
      <c r="B31" s="106" t="str">
        <f>'CUMPLIMIENTO '!B31</f>
        <v>1.4.2</v>
      </c>
      <c r="C31" s="111" t="str">
        <f>'CUMPLIMIENTO '!C31</f>
        <v>Primero el Agua</v>
      </c>
      <c r="D31" s="199">
        <f>'CUMPLIMIENTO '!D31</f>
        <v>6</v>
      </c>
      <c r="E31" s="199">
        <f>'CUMPLIMIENTO '!E31</f>
        <v>5</v>
      </c>
      <c r="F31" s="61">
        <f>'CUMPLIMIENTO '!G31</f>
        <v>0.23629629629629631</v>
      </c>
      <c r="G31" s="61">
        <f>'CUMPLIMIENTO '!H31</f>
        <v>0.32666666666666666</v>
      </c>
    </row>
    <row r="32" spans="1:7" ht="15.75" hidden="1" x14ac:dyDescent="0.25">
      <c r="A32" s="202" t="str">
        <f>'CUMPLIMIENTO '!A32</f>
        <v>LINEA</v>
      </c>
      <c r="B32" s="203" t="str">
        <f>'CUMPLIMIENTO '!B32</f>
        <v>1.5</v>
      </c>
      <c r="C32" s="202" t="str">
        <f>'CUMPLIMIENTO '!C32</f>
        <v>BOLÍVAR PRIMERO EN RECREACIÓN Y DEPORTES</v>
      </c>
      <c r="D32" s="216">
        <f>'CUMPLIMIENTO '!D32</f>
        <v>36</v>
      </c>
      <c r="E32" s="216">
        <f>'CUMPLIMIENTO '!E32</f>
        <v>31</v>
      </c>
      <c r="F32" s="217">
        <f>'CUMPLIMIENTO '!G32</f>
        <v>0.36201956749579395</v>
      </c>
      <c r="G32" s="218">
        <f>'CUMPLIMIENTO '!H32</f>
        <v>9.3472883991794042E-2</v>
      </c>
    </row>
    <row r="33" spans="1:7" ht="15.75" hidden="1" x14ac:dyDescent="0.25">
      <c r="A33" s="198" t="str">
        <f>'CUMPLIMIENTO '!A33</f>
        <v>PROGRAMA</v>
      </c>
      <c r="B33" s="106" t="str">
        <f>'CUMPLIMIENTO '!B33</f>
        <v>1.5.1</v>
      </c>
      <c r="C33" s="111" t="str">
        <f>'CUMPLIMIENTO '!C33</f>
        <v>Infraestructura Deportiva</v>
      </c>
      <c r="D33" s="199">
        <f>'CUMPLIMIENTO '!D33</f>
        <v>4</v>
      </c>
      <c r="E33" s="199">
        <f>'CUMPLIMIENTO '!E33</f>
        <v>1</v>
      </c>
      <c r="F33" s="61">
        <f>'CUMPLIMIENTO '!G33</f>
        <v>1.2500000000000001E-2</v>
      </c>
      <c r="G33" s="61">
        <f>'CUMPLIMIENTO '!H33</f>
        <v>0</v>
      </c>
    </row>
    <row r="34" spans="1:7" ht="15.75" hidden="1" x14ac:dyDescent="0.25">
      <c r="A34" s="198" t="str">
        <f>'CUMPLIMIENTO '!A34</f>
        <v>PROGRAMA</v>
      </c>
      <c r="B34" s="106" t="str">
        <f>'CUMPLIMIENTO '!B34</f>
        <v>1.5.2</v>
      </c>
      <c r="C34" s="111" t="str">
        <f>'CUMPLIMIENTO '!C34</f>
        <v>Altos logros y liderazgo deportivo Bolívar en los juegos nacionales 2023</v>
      </c>
      <c r="D34" s="199">
        <f>'CUMPLIMIENTO '!D34</f>
        <v>13</v>
      </c>
      <c r="E34" s="199">
        <f>'CUMPLIMIENTO '!E34</f>
        <v>12</v>
      </c>
      <c r="F34" s="61">
        <f>'CUMPLIMIENTO '!G34</f>
        <v>0.57189542483660138</v>
      </c>
      <c r="G34" s="61">
        <f>'CUMPLIMIENTO '!H34</f>
        <v>0.39417063728409762</v>
      </c>
    </row>
    <row r="35" spans="1:7" ht="30" hidden="1" x14ac:dyDescent="0.25">
      <c r="A35" s="198" t="str">
        <f>'CUMPLIMIENTO '!A35</f>
        <v>PROGRAMA</v>
      </c>
      <c r="B35" s="106" t="str">
        <f>'CUMPLIMIENTO '!B35</f>
        <v>1.5.3</v>
      </c>
      <c r="C35" s="111" t="str">
        <f>'CUMPLIMIENTO '!C35</f>
        <v>Deporte formativo escuelas para todos  y  Deporte formativo supérate Intercolegiados</v>
      </c>
      <c r="D35" s="199">
        <f>'CUMPLIMIENTO '!D35</f>
        <v>4</v>
      </c>
      <c r="E35" s="199">
        <f>'CUMPLIMIENTO '!E35</f>
        <v>4</v>
      </c>
      <c r="F35" s="61">
        <f>'CUMPLIMIENTO '!G35</f>
        <v>0.4841583333333333</v>
      </c>
      <c r="G35" s="61">
        <f>'CUMPLIMIENTO '!H35</f>
        <v>0</v>
      </c>
    </row>
    <row r="36" spans="1:7" ht="15.75" hidden="1" x14ac:dyDescent="0.25">
      <c r="A36" s="198" t="str">
        <f>'CUMPLIMIENTO '!A36</f>
        <v>PROGRAMA</v>
      </c>
      <c r="B36" s="106" t="str">
        <f>'CUMPLIMIENTO '!B36</f>
        <v>1.5.4</v>
      </c>
      <c r="C36" s="111" t="str">
        <f>'CUMPLIMIENTO '!C36</f>
        <v>Deporte social Comunitario</v>
      </c>
      <c r="D36" s="199">
        <f>'CUMPLIMIENTO '!D36</f>
        <v>3</v>
      </c>
      <c r="E36" s="199">
        <f>'CUMPLIMIENTO '!E36</f>
        <v>3</v>
      </c>
      <c r="F36" s="61">
        <f>'CUMPLIMIENTO '!G36</f>
        <v>0.46812996031746029</v>
      </c>
      <c r="G36" s="61">
        <f>'CUMPLIMIENTO '!H36</f>
        <v>0</v>
      </c>
    </row>
    <row r="37" spans="1:7" ht="15.75" hidden="1" x14ac:dyDescent="0.25">
      <c r="A37" s="198" t="str">
        <f>'CUMPLIMIENTO '!A37</f>
        <v>PROGRAMA</v>
      </c>
      <c r="B37" s="106" t="str">
        <f>'CUMPLIMIENTO '!B37</f>
        <v>1.5.5</v>
      </c>
      <c r="C37" s="111" t="str">
        <f>'CUMPLIMIENTO '!C37</f>
        <v>Las escuelas recreativas…un espacio lúdico del Bolívar primero</v>
      </c>
      <c r="D37" s="199">
        <f>'CUMPLIMIENTO '!D37</f>
        <v>6</v>
      </c>
      <c r="E37" s="199">
        <f>'CUMPLIMIENTO '!E37</f>
        <v>6</v>
      </c>
      <c r="F37" s="61">
        <f>'CUMPLIMIENTO '!G37</f>
        <v>0.3675913461538462</v>
      </c>
      <c r="G37" s="61">
        <f>'CUMPLIMIENTO '!H37</f>
        <v>0</v>
      </c>
    </row>
    <row r="38" spans="1:7" ht="15.75" hidden="1" x14ac:dyDescent="0.25">
      <c r="A38" s="198" t="str">
        <f>'CUMPLIMIENTO '!A38</f>
        <v>PROGRAMA</v>
      </c>
      <c r="B38" s="106" t="str">
        <f>'CUMPLIMIENTO '!B38</f>
        <v>1.5.6</v>
      </c>
      <c r="C38" s="111" t="str">
        <f>'CUMPLIMIENTO '!C38</f>
        <v>Hábitos y estilos de vida saludable “Bolívar primero…por tú salud ponte pilas</v>
      </c>
      <c r="D38" s="199">
        <f>'CUMPLIMIENTO '!D38</f>
        <v>6</v>
      </c>
      <c r="E38" s="199">
        <f>'CUMPLIMIENTO '!E38</f>
        <v>5</v>
      </c>
      <c r="F38" s="61">
        <f>'CUMPLIMIENTO '!G38</f>
        <v>0.26784234033352255</v>
      </c>
      <c r="G38" s="61">
        <f>'CUMPLIMIENTO '!H38</f>
        <v>0.16666666666666666</v>
      </c>
    </row>
    <row r="39" spans="1:7" ht="15.75" hidden="1" x14ac:dyDescent="0.25">
      <c r="A39" s="251" t="str">
        <f>'CUMPLIMIENTO '!A39</f>
        <v>LINEA</v>
      </c>
      <c r="B39" s="252" t="str">
        <f>'CUMPLIMIENTO '!B39</f>
        <v>1.6</v>
      </c>
      <c r="C39" s="251" t="str">
        <f>'CUMPLIMIENTO '!C39</f>
        <v>BOLÍVAR PROMUEVE EL ARTE, LA CULTURA Y SALVAGUARDA SU PATRIMONIO</v>
      </c>
      <c r="D39" s="253">
        <f>'CUMPLIMIENTO '!D39</f>
        <v>18</v>
      </c>
      <c r="E39" s="253">
        <f>'CUMPLIMIENTO '!E39</f>
        <v>12</v>
      </c>
      <c r="F39" s="254">
        <f>'CUMPLIMIENTO '!G39</f>
        <v>0.37134063003220613</v>
      </c>
      <c r="G39" s="255">
        <f>'CUMPLIMIENTO '!H39</f>
        <v>0.5</v>
      </c>
    </row>
    <row r="40" spans="1:7" ht="15.75" hidden="1" x14ac:dyDescent="0.25">
      <c r="A40" s="198" t="str">
        <f>'CUMPLIMIENTO '!A40</f>
        <v>PROGRAMA</v>
      </c>
      <c r="B40" s="106" t="str">
        <f>'CUMPLIMIENTO '!B40</f>
        <v>1.6.1</v>
      </c>
      <c r="C40" s="111" t="str">
        <f>'CUMPLIMIENTO '!C40</f>
        <v>Bolívar primero en arte y patrimonio</v>
      </c>
      <c r="D40" s="199">
        <f>'CUMPLIMIENTO '!D40</f>
        <v>6</v>
      </c>
      <c r="E40" s="199">
        <f>'CUMPLIMIENTO '!E40</f>
        <v>4</v>
      </c>
      <c r="F40" s="61">
        <f>'CUMPLIMIENTO '!G40</f>
        <v>0.24822916666666664</v>
      </c>
      <c r="G40" s="61">
        <f>'CUMPLIMIENTO '!H40</f>
        <v>0.41</v>
      </c>
    </row>
    <row r="41" spans="1:7" ht="15.75" hidden="1" x14ac:dyDescent="0.25">
      <c r="A41" s="198" t="str">
        <f>'CUMPLIMIENTO '!A41</f>
        <v>PROGRAMA</v>
      </c>
      <c r="B41" s="106" t="str">
        <f>'CUMPLIMIENTO '!B41</f>
        <v>1.6.2</v>
      </c>
      <c r="C41" s="111" t="str">
        <f>'CUMPLIMIENTO '!C41</f>
        <v>Bolívar primero en cultura</v>
      </c>
      <c r="D41" s="199">
        <f>'CUMPLIMIENTO '!D41</f>
        <v>12</v>
      </c>
      <c r="E41" s="199">
        <f>'CUMPLIMIENTO '!E41</f>
        <v>8</v>
      </c>
      <c r="F41" s="61">
        <f>'CUMPLIMIENTO '!G41</f>
        <v>0.4944520933977456</v>
      </c>
      <c r="G41" s="61">
        <f>'CUMPLIMIENTO '!H41</f>
        <v>0.59000000000000008</v>
      </c>
    </row>
    <row r="42" spans="1:7" ht="18.75" hidden="1" x14ac:dyDescent="0.25">
      <c r="A42" s="256" t="str">
        <f>'CUMPLIMIENTO '!A42</f>
        <v>EJE ESTRATEGICO</v>
      </c>
      <c r="B42" s="257">
        <f>'CUMPLIMIENTO '!B42</f>
        <v>2</v>
      </c>
      <c r="C42" s="258" t="str">
        <f>'CUMPLIMIENTO '!C42</f>
        <v>BOLÍVAR COMPETITIVO PARA LA INCLUSIÓN SOCIAL</v>
      </c>
      <c r="D42" s="259">
        <f>'CUMPLIMIENTO '!D42</f>
        <v>82</v>
      </c>
      <c r="E42" s="259">
        <f>'CUMPLIMIENTO '!E42</f>
        <v>45</v>
      </c>
      <c r="F42" s="260">
        <f>'CUMPLIMIENTO '!G42</f>
        <v>0.24329478481946754</v>
      </c>
      <c r="G42" s="260">
        <f>'CUMPLIMIENTO '!H42</f>
        <v>0.32985855013965804</v>
      </c>
    </row>
    <row r="43" spans="1:7" ht="15.75" hidden="1" x14ac:dyDescent="0.25">
      <c r="A43" s="202" t="str">
        <f>'CUMPLIMIENTO '!A43</f>
        <v>LINEA</v>
      </c>
      <c r="B43" s="203" t="str">
        <f>'CUMPLIMIENTO '!B43</f>
        <v>2.1</v>
      </c>
      <c r="C43" s="202" t="str">
        <f>'CUMPLIMIENTO '!C43</f>
        <v>BOLÍVAR PRIMERO EN INFRAESTRUCTURA Y TRANSPORTE</v>
      </c>
      <c r="D43" s="216">
        <f>'CUMPLIMIENTO '!D43</f>
        <v>4</v>
      </c>
      <c r="E43" s="216">
        <f>'CUMPLIMIENTO '!E43</f>
        <v>4</v>
      </c>
      <c r="F43" s="217">
        <f>'CUMPLIMIENTO '!G43</f>
        <v>0.52222222222222225</v>
      </c>
      <c r="G43" s="218">
        <f>'CUMPLIMIENTO '!H43</f>
        <v>0.49444444444444446</v>
      </c>
    </row>
    <row r="44" spans="1:7" ht="15.75" hidden="1" x14ac:dyDescent="0.25">
      <c r="A44" s="198" t="str">
        <f>'CUMPLIMIENTO '!A44</f>
        <v>PROGRAMA</v>
      </c>
      <c r="B44" s="106" t="str">
        <f>'CUMPLIMIENTO '!B44</f>
        <v>2.1.1</v>
      </c>
      <c r="C44" s="111" t="str">
        <f>'CUMPLIMIENTO '!C44</f>
        <v>Plan de conectividad para Bolívar</v>
      </c>
      <c r="D44" s="199">
        <f>'CUMPLIMIENTO '!D44</f>
        <v>3</v>
      </c>
      <c r="E44" s="199">
        <f>'CUMPLIMIENTO '!E44</f>
        <v>3</v>
      </c>
      <c r="F44" s="61">
        <f>'CUMPLIMIENTO '!G44</f>
        <v>0.64444444444444449</v>
      </c>
      <c r="G44" s="61">
        <f>'CUMPLIMIENTO '!H44</f>
        <v>0.48888888888888893</v>
      </c>
    </row>
    <row r="45" spans="1:7" ht="15.75" hidden="1" x14ac:dyDescent="0.25">
      <c r="A45" s="198" t="str">
        <f>'CUMPLIMIENTO '!A45</f>
        <v>PROGRAMA</v>
      </c>
      <c r="B45" s="106" t="str">
        <f>'CUMPLIMIENTO '!B45</f>
        <v xml:space="preserve">2.1.2 </v>
      </c>
      <c r="C45" s="111" t="str">
        <f>'CUMPLIMIENTO '!C45</f>
        <v>Bolívar se desarrolla por el Río</v>
      </c>
      <c r="D45" s="199">
        <f>'CUMPLIMIENTO '!D45</f>
        <v>1</v>
      </c>
      <c r="E45" s="199">
        <f>'CUMPLIMIENTO '!E45</f>
        <v>1</v>
      </c>
      <c r="F45" s="61">
        <f>'CUMPLIMIENTO '!G45</f>
        <v>0.4</v>
      </c>
      <c r="G45" s="61">
        <f>'CUMPLIMIENTO '!H45</f>
        <v>0.5</v>
      </c>
    </row>
    <row r="46" spans="1:7" ht="15.75" hidden="1" x14ac:dyDescent="0.25">
      <c r="A46" s="251" t="str">
        <f>'CUMPLIMIENTO '!A46</f>
        <v>LINEA</v>
      </c>
      <c r="B46" s="252" t="str">
        <f>'CUMPLIMIENTO '!B46</f>
        <v>2.2</v>
      </c>
      <c r="C46" s="251" t="str">
        <f>'CUMPLIMIENTO '!C46</f>
        <v>BOLÍVAR PRIMERO EN MOVILIDAD</v>
      </c>
      <c r="D46" s="253">
        <f>'CUMPLIMIENTO '!D46</f>
        <v>7</v>
      </c>
      <c r="E46" s="253">
        <f>'CUMPLIMIENTO '!E46</f>
        <v>3</v>
      </c>
      <c r="F46" s="254">
        <f>'CUMPLIMIENTO '!G46</f>
        <v>0.21714285714285717</v>
      </c>
      <c r="G46" s="255">
        <f>'CUMPLIMIENTO '!H46</f>
        <v>0.125</v>
      </c>
    </row>
    <row r="47" spans="1:7" ht="15.75" hidden="1" x14ac:dyDescent="0.25">
      <c r="A47" s="198" t="str">
        <f>'CUMPLIMIENTO '!A47</f>
        <v>PROGRAMA</v>
      </c>
      <c r="B47" s="106" t="str">
        <f>'CUMPLIMIENTO '!B47</f>
        <v>2.2.1</v>
      </c>
      <c r="C47" s="111" t="str">
        <f>'CUMPLIMIENTO '!C47</f>
        <v>Bolívar Primero con Movilidad Segura.</v>
      </c>
      <c r="D47" s="199">
        <f>'CUMPLIMIENTO '!D47</f>
        <v>5</v>
      </c>
      <c r="E47" s="199">
        <f>'CUMPLIMIENTO '!E47</f>
        <v>3</v>
      </c>
      <c r="F47" s="61">
        <f>'CUMPLIMIENTO '!G47</f>
        <v>0.43428571428571433</v>
      </c>
      <c r="G47" s="61">
        <f>'CUMPLIMIENTO '!H47</f>
        <v>0.25</v>
      </c>
    </row>
    <row r="48" spans="1:7" ht="15.75" hidden="1" x14ac:dyDescent="0.25">
      <c r="A48" s="198" t="str">
        <f>'CUMPLIMIENTO '!A48</f>
        <v>PROGRAMA</v>
      </c>
      <c r="B48" s="106" t="str">
        <f>'CUMPLIMIENTO '!B48</f>
        <v xml:space="preserve">2.2.2 </v>
      </c>
      <c r="C48" s="111" t="str">
        <f>'CUMPLIMIENTO '!C48</f>
        <v>Bolívar Primero con Infraestructura y Transporte y Movilidad Activa</v>
      </c>
      <c r="D48" s="199">
        <f>'CUMPLIMIENTO '!D48</f>
        <v>2</v>
      </c>
      <c r="E48" s="199" t="str">
        <f>'CUMPLIMIENTO '!E48</f>
        <v>NP</v>
      </c>
      <c r="F48" s="61">
        <f>'CUMPLIMIENTO '!G48</f>
        <v>0</v>
      </c>
      <c r="G48" s="61">
        <f>'CUMPLIMIENTO '!H48</f>
        <v>0</v>
      </c>
    </row>
    <row r="49" spans="1:7" ht="15.75" hidden="1" x14ac:dyDescent="0.25">
      <c r="A49" s="202" t="str">
        <f>'CUMPLIMIENTO '!A49</f>
        <v>LINEA</v>
      </c>
      <c r="B49" s="203" t="str">
        <f>'CUMPLIMIENTO '!B49</f>
        <v>2.3</v>
      </c>
      <c r="C49" s="202" t="str">
        <f>'CUMPLIMIENTO '!C49</f>
        <v>BOLÍVAR PRIMERO EN TECNOLOGÍAS DE LA INFORMACIÓN Y LAS COMUNICACIONES</v>
      </c>
      <c r="D49" s="216">
        <f>'CUMPLIMIENTO '!D49</f>
        <v>4</v>
      </c>
      <c r="E49" s="216">
        <f>'CUMPLIMIENTO '!E49</f>
        <v>1</v>
      </c>
      <c r="F49" s="217">
        <f>'CUMPLIMIENTO '!G49</f>
        <v>0.33750000000000002</v>
      </c>
      <c r="G49" s="218">
        <f>'CUMPLIMIENTO '!H49</f>
        <v>0.10625000000000001</v>
      </c>
    </row>
    <row r="50" spans="1:7" ht="15.75" hidden="1" x14ac:dyDescent="0.25">
      <c r="A50" s="198" t="str">
        <f>'CUMPLIMIENTO '!A50</f>
        <v>PROGRAMA</v>
      </c>
      <c r="B50" s="106" t="str">
        <f>'CUMPLIMIENTO '!B50</f>
        <v>2.3.1</v>
      </c>
      <c r="C50" s="111" t="str">
        <f>'CUMPLIMIENTO '!C50</f>
        <v>TIC’s para la competitividad y la inclusión social</v>
      </c>
      <c r="D50" s="199">
        <f>'CUMPLIMIENTO '!D50</f>
        <v>4</v>
      </c>
      <c r="E50" s="199">
        <f>'CUMPLIMIENTO '!E50</f>
        <v>1</v>
      </c>
      <c r="F50" s="61">
        <f>'CUMPLIMIENTO '!G50</f>
        <v>0.33750000000000002</v>
      </c>
      <c r="G50" s="61">
        <f>'CUMPLIMIENTO '!H50</f>
        <v>0.10625000000000001</v>
      </c>
    </row>
    <row r="51" spans="1:7" ht="15.75" hidden="1" x14ac:dyDescent="0.25">
      <c r="A51" s="251" t="str">
        <f>'CUMPLIMIENTO '!A51</f>
        <v>LINEA</v>
      </c>
      <c r="B51" s="252" t="str">
        <f>'CUMPLIMIENTO '!B51</f>
        <v>2.4</v>
      </c>
      <c r="C51" s="251" t="str">
        <f>'CUMPLIMIENTO '!C51</f>
        <v>BOLÍVAR PRIMERO EN DESARROLLO ECONÓMICO</v>
      </c>
      <c r="D51" s="253">
        <f>'CUMPLIMIENTO '!D51</f>
        <v>7</v>
      </c>
      <c r="E51" s="253">
        <f>'CUMPLIMIENTO '!E51</f>
        <v>3</v>
      </c>
      <c r="F51" s="254">
        <f>'CUMPLIMIENTO '!G51</f>
        <v>0.28287037037037033</v>
      </c>
      <c r="G51" s="255">
        <f>'CUMPLIMIENTO '!H51</f>
        <v>0.45833333333333331</v>
      </c>
    </row>
    <row r="52" spans="1:7" ht="15.75" hidden="1" x14ac:dyDescent="0.25">
      <c r="A52" s="198" t="str">
        <f>'CUMPLIMIENTO '!A52</f>
        <v>PROGRAMA</v>
      </c>
      <c r="B52" s="106" t="str">
        <f>'CUMPLIMIENTO '!B52</f>
        <v>2.4.1</v>
      </c>
      <c r="C52" s="111" t="str">
        <f>'CUMPLIMIENTO '!C52</f>
        <v>2.4.1.	Promoción del Departamento para la competitividad</v>
      </c>
      <c r="D52" s="199">
        <f>'CUMPLIMIENTO '!D52</f>
        <v>4</v>
      </c>
      <c r="E52" s="199">
        <f>'CUMPLIMIENTO '!E52</f>
        <v>2</v>
      </c>
      <c r="F52" s="61">
        <f>'CUMPLIMIENTO '!G52</f>
        <v>0.19166666666666665</v>
      </c>
      <c r="G52" s="61">
        <f>'CUMPLIMIENTO '!H52</f>
        <v>0.25</v>
      </c>
    </row>
    <row r="53" spans="1:7" ht="15.75" hidden="1" x14ac:dyDescent="0.25">
      <c r="A53" s="198" t="str">
        <f>'CUMPLIMIENTO '!A53</f>
        <v>PROGRAMA</v>
      </c>
      <c r="B53" s="106" t="str">
        <f>'CUMPLIMIENTO '!B53</f>
        <v>2.4.2</v>
      </c>
      <c r="C53" s="111" t="str">
        <f>'CUMPLIMIENTO '!C53</f>
        <v>Bolivar Primero en emprendimiento y encadenamientos productivos</v>
      </c>
      <c r="D53" s="199">
        <f>'CUMPLIMIENTO '!D53</f>
        <v>3</v>
      </c>
      <c r="E53" s="199">
        <f>'CUMPLIMIENTO '!E53</f>
        <v>1</v>
      </c>
      <c r="F53" s="61">
        <f>'CUMPLIMIENTO '!G53</f>
        <v>0.37407407407407406</v>
      </c>
      <c r="G53" s="61">
        <f>'CUMPLIMIENTO '!H53</f>
        <v>0.66666666666666663</v>
      </c>
    </row>
    <row r="54" spans="1:7" ht="15.75" hidden="1" x14ac:dyDescent="0.25">
      <c r="A54" s="202" t="str">
        <f>'CUMPLIMIENTO '!A54</f>
        <v>LINEA</v>
      </c>
      <c r="B54" s="203" t="str">
        <f>'CUMPLIMIENTO '!B54</f>
        <v>2.5</v>
      </c>
      <c r="C54" s="202" t="str">
        <f>'CUMPLIMIENTO '!C54</f>
        <v>BOLÍVAR PRIMERO EN AGRICULTURA, EXPLOTACIONES PECUARIAS, PESCA FORESTAL Y SEGURIDAD ALIMENTARIA</v>
      </c>
      <c r="D54" s="216">
        <f>'CUMPLIMIENTO '!D54</f>
        <v>8</v>
      </c>
      <c r="E54" s="216">
        <f>'CUMPLIMIENTO '!E54</f>
        <v>6</v>
      </c>
      <c r="F54" s="217">
        <f>'CUMPLIMIENTO '!G54</f>
        <v>0.26021690090122751</v>
      </c>
      <c r="G54" s="218">
        <f>'CUMPLIMIENTO '!H54</f>
        <v>0.37503049785364378</v>
      </c>
    </row>
    <row r="55" spans="1:7" ht="15.75" hidden="1" x14ac:dyDescent="0.25">
      <c r="A55" s="198" t="str">
        <f>'CUMPLIMIENTO '!A55</f>
        <v>PROGRAMA</v>
      </c>
      <c r="B55" s="106" t="str">
        <f>'CUMPLIMIENTO '!B55</f>
        <v>2.5.1</v>
      </c>
      <c r="C55" s="111" t="str">
        <f>'CUMPLIMIENTO '!C55</f>
        <v>Tecnología al campo</v>
      </c>
      <c r="D55" s="199">
        <f>'CUMPLIMIENTO '!D55</f>
        <v>1</v>
      </c>
      <c r="E55" s="199">
        <f>'CUMPLIMIENTO '!E55</f>
        <v>1</v>
      </c>
      <c r="F55" s="61">
        <f>'CUMPLIMIENTO '!G55</f>
        <v>2.032520325203252E-2</v>
      </c>
      <c r="G55" s="61">
        <f>'CUMPLIMIENTO '!H55</f>
        <v>0.1360544217687075</v>
      </c>
    </row>
    <row r="56" spans="1:7" ht="15.75" hidden="1" x14ac:dyDescent="0.25">
      <c r="A56" s="198" t="str">
        <f>'CUMPLIMIENTO '!A56</f>
        <v>PROGRAMA</v>
      </c>
      <c r="B56" s="106" t="str">
        <f>'CUMPLIMIENTO '!B56</f>
        <v>2.5.2</v>
      </c>
      <c r="C56" s="111" t="str">
        <f>'CUMPLIMIENTO '!C56</f>
        <v>Bolívar fomenta la agroindustria</v>
      </c>
      <c r="D56" s="199">
        <f>'CUMPLIMIENTO '!D56</f>
        <v>1</v>
      </c>
      <c r="E56" s="199">
        <f>'CUMPLIMIENTO '!E56</f>
        <v>1</v>
      </c>
      <c r="F56" s="61">
        <f>'CUMPLIMIENTO '!G56</f>
        <v>6.6559999999999994E-2</v>
      </c>
      <c r="G56" s="61">
        <f>'CUMPLIMIENTO '!H56</f>
        <v>2.8307508939213348E-2</v>
      </c>
    </row>
    <row r="57" spans="1:7" ht="15.75" hidden="1" x14ac:dyDescent="0.25">
      <c r="A57" s="198" t="str">
        <f>'CUMPLIMIENTO '!A57</f>
        <v>PROGRAMA</v>
      </c>
      <c r="B57" s="106" t="str">
        <f>'CUMPLIMIENTO '!B57</f>
        <v>2.5.3</v>
      </c>
      <c r="C57" s="111" t="str">
        <f>'CUMPLIMIENTO '!C57</f>
        <v>Del campo al mercado</v>
      </c>
      <c r="D57" s="199">
        <f>'CUMPLIMIENTO '!D57</f>
        <v>3</v>
      </c>
      <c r="E57" s="199">
        <f>'CUMPLIMIENTO '!E57</f>
        <v>2</v>
      </c>
      <c r="F57" s="61">
        <f>'CUMPLIMIENTO '!G57</f>
        <v>0.10006837606837608</v>
      </c>
      <c r="G57" s="61">
        <f>'CUMPLIMIENTO '!H57</f>
        <v>0.54842975206611566</v>
      </c>
    </row>
    <row r="58" spans="1:7" ht="15.75" hidden="1" x14ac:dyDescent="0.25">
      <c r="A58" s="198" t="str">
        <f>'CUMPLIMIENTO '!A58</f>
        <v>PROGRAMA</v>
      </c>
      <c r="B58" s="106" t="str">
        <f>'CUMPLIMIENTO '!B58</f>
        <v>2.5.4</v>
      </c>
      <c r="C58" s="111" t="str">
        <f>'CUMPLIMIENTO '!C58</f>
        <v>Apoyo a los municipios en el ordenamiento social de la propiedad.</v>
      </c>
      <c r="D58" s="199">
        <f>'CUMPLIMIENTO '!D58</f>
        <v>1</v>
      </c>
      <c r="E58" s="199">
        <f>'CUMPLIMIENTO '!E58</f>
        <v>1</v>
      </c>
      <c r="F58" s="61">
        <f>'CUMPLIMIENTO '!G58</f>
        <v>0.30434782608695654</v>
      </c>
      <c r="G58" s="61">
        <f>'CUMPLIMIENTO '!H58</f>
        <v>0.21739130434782608</v>
      </c>
    </row>
    <row r="59" spans="1:7" ht="15.75" hidden="1" x14ac:dyDescent="0.25">
      <c r="A59" s="198" t="str">
        <f>'CUMPLIMIENTO '!A59</f>
        <v>PROGRAMA</v>
      </c>
      <c r="B59" s="106" t="str">
        <f>'CUMPLIMIENTO '!B59</f>
        <v xml:space="preserve">2.5.5 </v>
      </c>
      <c r="C59" s="111" t="str">
        <f>'CUMPLIMIENTO '!C59</f>
        <v xml:space="preserve">Bancarización </v>
      </c>
      <c r="D59" s="199">
        <f>'CUMPLIMIENTO '!D59</f>
        <v>1</v>
      </c>
      <c r="E59" s="199">
        <f>'CUMPLIMIENTO '!E59</f>
        <v>1</v>
      </c>
      <c r="F59" s="61">
        <f>'CUMPLIMIENTO '!G59</f>
        <v>7.0000000000000007E-2</v>
      </c>
      <c r="G59" s="61">
        <f>'CUMPLIMIENTO '!H59</f>
        <v>0.32</v>
      </c>
    </row>
    <row r="60" spans="1:7" ht="15.75" hidden="1" x14ac:dyDescent="0.25">
      <c r="A60" s="198" t="str">
        <f>'CUMPLIMIENTO '!A60</f>
        <v>PROGRAMA</v>
      </c>
      <c r="B60" s="106" t="str">
        <f>'CUMPLIMIENTO '!B60</f>
        <v>2.5.6</v>
      </c>
      <c r="C60" s="111" t="str">
        <f>'CUMPLIMIENTO '!C60</f>
        <v xml:space="preserve">Seguridad alimentaria </v>
      </c>
      <c r="D60" s="199">
        <f>'CUMPLIMIENTO '!D60</f>
        <v>1</v>
      </c>
      <c r="E60" s="199" t="str">
        <f>'CUMPLIMIENTO '!E60</f>
        <v>NP</v>
      </c>
      <c r="F60" s="61">
        <f>'CUMPLIMIENTO '!G60</f>
        <v>1</v>
      </c>
      <c r="G60" s="61">
        <f>'CUMPLIMIENTO '!H60</f>
        <v>1</v>
      </c>
    </row>
    <row r="61" spans="1:7" ht="15.75" hidden="1" x14ac:dyDescent="0.25">
      <c r="A61" s="251" t="str">
        <f>'CUMPLIMIENTO '!A61</f>
        <v>LINEA</v>
      </c>
      <c r="B61" s="252" t="str">
        <f>'CUMPLIMIENTO '!B61</f>
        <v>2.6</v>
      </c>
      <c r="C61" s="251" t="str">
        <f>'CUMPLIMIENTO '!C61</f>
        <v>BOLIVAR PRIMERO EN PRODUCTIVIDAD Y COMPETITIVIDAD MINERO ENERGÉTICA</v>
      </c>
      <c r="D61" s="253">
        <f>'CUMPLIMIENTO '!D61</f>
        <v>18</v>
      </c>
      <c r="E61" s="253">
        <f>'CUMPLIMIENTO '!E61</f>
        <v>6</v>
      </c>
      <c r="F61" s="254">
        <f>'CUMPLIMIENTO '!G61</f>
        <v>0.14849206349206351</v>
      </c>
      <c r="G61" s="255">
        <f>'CUMPLIMIENTO '!H61</f>
        <v>0.23641470737153236</v>
      </c>
    </row>
    <row r="62" spans="1:7" ht="15.75" hidden="1" x14ac:dyDescent="0.25">
      <c r="A62" s="198" t="str">
        <f>'CUMPLIMIENTO '!A62</f>
        <v>PROGRAMA</v>
      </c>
      <c r="B62" s="106" t="str">
        <f>'CUMPLIMIENTO '!B62</f>
        <v>2.6.1</v>
      </c>
      <c r="C62" s="111" t="str">
        <f>'CUMPLIMIENTO '!C62</f>
        <v>Minería responsable y segura</v>
      </c>
      <c r="D62" s="199">
        <f>'CUMPLIMIENTO '!D62</f>
        <v>3</v>
      </c>
      <c r="E62" s="199" t="str">
        <f>'CUMPLIMIENTO '!E62</f>
        <v>NP</v>
      </c>
      <c r="F62" s="61">
        <f>'CUMPLIMIENTO '!G62</f>
        <v>5.5555555555555552E-2</v>
      </c>
      <c r="G62" s="61">
        <f>'CUMPLIMIENTO '!H62</f>
        <v>0.16666666666666666</v>
      </c>
    </row>
    <row r="63" spans="1:7" ht="15.75" hidden="1" x14ac:dyDescent="0.25">
      <c r="A63" s="198" t="str">
        <f>'CUMPLIMIENTO '!A63</f>
        <v>PROGRAMA</v>
      </c>
      <c r="B63" s="106" t="str">
        <f>'CUMPLIMIENTO '!B63</f>
        <v>2.6.2</v>
      </c>
      <c r="C63" s="111" t="str">
        <f>'CUMPLIMIENTO '!C63</f>
        <v xml:space="preserve">Minería productiva y competitiva. </v>
      </c>
      <c r="D63" s="199">
        <f>'CUMPLIMIENTO '!D63</f>
        <v>4</v>
      </c>
      <c r="E63" s="199">
        <f>'CUMPLIMIENTO '!E63</f>
        <v>3</v>
      </c>
      <c r="F63" s="61">
        <f>'CUMPLIMIENTO '!G63</f>
        <v>0.17857142857142858</v>
      </c>
      <c r="G63" s="61">
        <f>'CUMPLIMIENTO '!H63</f>
        <v>0.2</v>
      </c>
    </row>
    <row r="64" spans="1:7" ht="15.75" hidden="1" x14ac:dyDescent="0.25">
      <c r="A64" s="198" t="str">
        <f>'CUMPLIMIENTO '!A64</f>
        <v>PROGRAMA</v>
      </c>
      <c r="B64" s="106" t="str">
        <f>'CUMPLIMIENTO '!B64</f>
        <v>2.6.3</v>
      </c>
      <c r="C64" s="111" t="str">
        <f>'CUMPLIMIENTO '!C64</f>
        <v>Ambiente y Minería de la mano, bajo el marco de la legalidad.</v>
      </c>
      <c r="D64" s="199">
        <f>'CUMPLIMIENTO '!D64</f>
        <v>5</v>
      </c>
      <c r="E64" s="199">
        <f>'CUMPLIMIENTO '!E64</f>
        <v>1</v>
      </c>
      <c r="F64" s="61">
        <f>'CUMPLIMIENTO '!G64</f>
        <v>0.155</v>
      </c>
      <c r="G64" s="61">
        <f>'CUMPLIMIENTO '!H64</f>
        <v>0.2298008095849346</v>
      </c>
    </row>
    <row r="65" spans="1:7" ht="15.75" hidden="1" x14ac:dyDescent="0.25">
      <c r="A65" s="198" t="str">
        <f>'CUMPLIMIENTO '!A65</f>
        <v>PROGRAMA</v>
      </c>
      <c r="B65" s="106" t="str">
        <f>'CUMPLIMIENTO '!B65</f>
        <v>2.6.4</v>
      </c>
      <c r="C65" s="111" t="str">
        <f>'CUMPLIMIENTO '!C65</f>
        <v xml:space="preserve">Minería y el desarrollo social participativo </v>
      </c>
      <c r="D65" s="199">
        <f>'CUMPLIMIENTO '!D65</f>
        <v>3</v>
      </c>
      <c r="E65" s="199">
        <f>'CUMPLIMIENTO '!E65</f>
        <v>1</v>
      </c>
      <c r="F65" s="61">
        <f>'CUMPLIMIENTO '!G65</f>
        <v>8.111111111111112E-2</v>
      </c>
      <c r="G65" s="61">
        <f>'CUMPLIMIENTO '!H65</f>
        <v>6.0606060606060608E-2</v>
      </c>
    </row>
    <row r="66" spans="1:7" ht="15.75" hidden="1" x14ac:dyDescent="0.25">
      <c r="A66" s="198" t="str">
        <f>'CUMPLIMIENTO '!A66</f>
        <v>PROGRAMA</v>
      </c>
      <c r="B66" s="106" t="str">
        <f>'CUMPLIMIENTO '!B66</f>
        <v>2.6.5</v>
      </c>
      <c r="C66" s="111" t="str">
        <f>'CUMPLIMIENTO '!C66</f>
        <v xml:space="preserve">Bolívar primero en gas y energía para todos </v>
      </c>
      <c r="D66" s="199">
        <f>'CUMPLIMIENTO '!D66</f>
        <v>3</v>
      </c>
      <c r="E66" s="199">
        <f>'CUMPLIMIENTO '!E66</f>
        <v>1</v>
      </c>
      <c r="F66" s="61">
        <f>'CUMPLIMIENTO '!G66</f>
        <v>0.2722222222222222</v>
      </c>
      <c r="G66" s="61">
        <f>'CUMPLIMIENTO '!H66</f>
        <v>0.52500000000000002</v>
      </c>
    </row>
    <row r="67" spans="1:7" ht="15.75" hidden="1" x14ac:dyDescent="0.25">
      <c r="A67" s="202" t="str">
        <f>'CUMPLIMIENTO '!A67</f>
        <v>LINEA</v>
      </c>
      <c r="B67" s="203" t="str">
        <f>'CUMPLIMIENTO '!B67</f>
        <v>2.7</v>
      </c>
      <c r="C67" s="202" t="str">
        <f>'CUMPLIMIENTO '!C67</f>
        <v>BOLIVAR PRIMERO EN TURISMO</v>
      </c>
      <c r="D67" s="216">
        <f>'CUMPLIMIENTO '!D67</f>
        <v>15</v>
      </c>
      <c r="E67" s="216">
        <f>'CUMPLIMIENTO '!E67</f>
        <v>11</v>
      </c>
      <c r="F67" s="217">
        <f>'CUMPLIMIENTO '!G67</f>
        <v>0.40225641025641029</v>
      </c>
      <c r="G67" s="218">
        <f>'CUMPLIMIENTO '!H67</f>
        <v>0.47361111111111104</v>
      </c>
    </row>
    <row r="68" spans="1:7" ht="15.75" hidden="1" x14ac:dyDescent="0.25">
      <c r="A68" s="198" t="str">
        <f>'CUMPLIMIENTO '!A68</f>
        <v>PROGRAMA</v>
      </c>
      <c r="B68" s="106" t="str">
        <f>'CUMPLIMIENTO '!B68</f>
        <v xml:space="preserve">2.7.1 </v>
      </c>
      <c r="C68" s="111" t="str">
        <f>'CUMPLIMIENTO '!C68</f>
        <v>Bolívar primero en turismo, destinos mágicos</v>
      </c>
      <c r="D68" s="199">
        <f>'CUMPLIMIENTO '!D68</f>
        <v>15</v>
      </c>
      <c r="E68" s="199">
        <f>'CUMPLIMIENTO '!E68</f>
        <v>11</v>
      </c>
      <c r="F68" s="61">
        <f>'CUMPLIMIENTO '!G68</f>
        <v>0.40225641025641029</v>
      </c>
      <c r="G68" s="61">
        <f>'CUMPLIMIENTO '!H68</f>
        <v>0.47361111111111104</v>
      </c>
    </row>
    <row r="69" spans="1:7" ht="15.75" hidden="1" x14ac:dyDescent="0.25">
      <c r="A69" s="251" t="str">
        <f>'CUMPLIMIENTO '!A69</f>
        <v>LINEA</v>
      </c>
      <c r="B69" s="252" t="str">
        <f>'CUMPLIMIENTO '!B69</f>
        <v>2.8</v>
      </c>
      <c r="C69" s="251" t="str">
        <f>'CUMPLIMIENTO '!C69</f>
        <v>TRABAJO DECENTE Y SOSTENIBILIDAD DEL EMPLEO EN ESCENARIOS DE AMENAZAS</v>
      </c>
      <c r="D69" s="253">
        <f>'CUMPLIMIENTO '!D69</f>
        <v>4</v>
      </c>
      <c r="E69" s="253" t="str">
        <f>'CUMPLIMIENTO '!E69</f>
        <v>NP</v>
      </c>
      <c r="F69" s="254">
        <f>'CUMPLIMIENTO '!G69</f>
        <v>8.3333333333333343E-2</v>
      </c>
      <c r="G69" s="255">
        <f>'CUMPLIMIENTO '!H69</f>
        <v>0.19642857142857142</v>
      </c>
    </row>
    <row r="70" spans="1:7" ht="15.75" hidden="1" x14ac:dyDescent="0.25">
      <c r="A70" s="198" t="str">
        <f>'CUMPLIMIENTO '!A70</f>
        <v>PROGRAMA</v>
      </c>
      <c r="B70" s="106" t="str">
        <f>'CUMPLIMIENTO '!B70</f>
        <v xml:space="preserve">2.8.1 </v>
      </c>
      <c r="C70" s="111" t="str">
        <f>'CUMPLIMIENTO '!C70</f>
        <v>Empleo y trabajo decente</v>
      </c>
      <c r="D70" s="199">
        <f>'CUMPLIMIENTO '!D70</f>
        <v>3</v>
      </c>
      <c r="E70" s="199" t="str">
        <f>'CUMPLIMIENTO '!E70</f>
        <v>NP</v>
      </c>
      <c r="F70" s="61">
        <f>'CUMPLIMIENTO '!G70</f>
        <v>6.6666666666666666E-2</v>
      </c>
      <c r="G70" s="61">
        <f>'CUMPLIMIENTO '!H70</f>
        <v>0.14285714285714285</v>
      </c>
    </row>
    <row r="71" spans="1:7" ht="15.75" hidden="1" x14ac:dyDescent="0.25">
      <c r="A71" s="198" t="str">
        <f>'CUMPLIMIENTO '!A71</f>
        <v>PROGRAMA</v>
      </c>
      <c r="B71" s="106" t="str">
        <f>'CUMPLIMIENTO '!B71</f>
        <v>2.8.2</v>
      </c>
      <c r="C71" s="111" t="str">
        <f>'CUMPLIMIENTO '!C71</f>
        <v>Bolívar Primero en beneficios BEPS y desempleo</v>
      </c>
      <c r="D71" s="199">
        <f>'CUMPLIMIENTO '!D71</f>
        <v>1</v>
      </c>
      <c r="E71" s="199" t="str">
        <f>'CUMPLIMIENTO '!E71</f>
        <v>NP</v>
      </c>
      <c r="F71" s="61">
        <f>'CUMPLIMIENTO '!G71</f>
        <v>0.1</v>
      </c>
      <c r="G71" s="61">
        <f>'CUMPLIMIENTO '!H71</f>
        <v>0.25</v>
      </c>
    </row>
    <row r="72" spans="1:7" ht="15.75" hidden="1" x14ac:dyDescent="0.25">
      <c r="A72" s="202" t="str">
        <f>'CUMPLIMIENTO '!A72</f>
        <v>LINEA</v>
      </c>
      <c r="B72" s="203" t="str">
        <f>'CUMPLIMIENTO '!B72</f>
        <v>2.9</v>
      </c>
      <c r="C72" s="202" t="str">
        <f>'CUMPLIMIENTO '!C72</f>
        <v>BOLIVAR PRIMERO EN CIENCIA TECNOLOGÍA E INNOVACIÓN</v>
      </c>
      <c r="D72" s="216">
        <f>'CUMPLIMIENTO '!D72</f>
        <v>11</v>
      </c>
      <c r="E72" s="216">
        <f>'CUMPLIMIENTO '!E72</f>
        <v>11</v>
      </c>
      <c r="F72" s="217">
        <f>'CUMPLIMIENTO '!G72</f>
        <v>0.17891369047619049</v>
      </c>
      <c r="G72" s="218">
        <f>'CUMPLIMIENTO '!H72</f>
        <v>0.50321428571428573</v>
      </c>
    </row>
    <row r="73" spans="1:7" ht="15.75" hidden="1" x14ac:dyDescent="0.25">
      <c r="A73" s="198" t="str">
        <f>'CUMPLIMIENTO '!A73</f>
        <v>PROGRAMA</v>
      </c>
      <c r="B73" s="106" t="str">
        <f>'CUMPLIMIENTO '!B73</f>
        <v>2.9.1</v>
      </c>
      <c r="C73" s="111" t="str">
        <f>'CUMPLIMIENTO '!C73</f>
        <v>Fortalecimiento del sistema territorial del CTI.</v>
      </c>
      <c r="D73" s="199">
        <f>'CUMPLIMIENTO '!D73</f>
        <v>2</v>
      </c>
      <c r="E73" s="199">
        <f>'CUMPLIMIENTO '!E73</f>
        <v>2</v>
      </c>
      <c r="F73" s="61">
        <f>'CUMPLIMIENTO '!G73</f>
        <v>0.37500000000000006</v>
      </c>
      <c r="G73" s="61">
        <f>'CUMPLIMIENTO '!H73</f>
        <v>1</v>
      </c>
    </row>
    <row r="74" spans="1:7" ht="30" hidden="1" x14ac:dyDescent="0.25">
      <c r="A74" s="198" t="str">
        <f>'CUMPLIMIENTO '!A74</f>
        <v>PROGRAMA</v>
      </c>
      <c r="B74" s="106" t="str">
        <f>'CUMPLIMIENTO '!B74</f>
        <v>2.9.2</v>
      </c>
      <c r="C74" s="111" t="str">
        <f>'CUMPLIMIENTO '!C74</f>
        <v>Apropiación social del CTEI y vocaciones para la consolidación de una sociedad del conocimiento.</v>
      </c>
      <c r="D74" s="199">
        <f>'CUMPLIMIENTO '!D74</f>
        <v>6</v>
      </c>
      <c r="E74" s="199">
        <f>'CUMPLIMIENTO '!E74</f>
        <v>6</v>
      </c>
      <c r="F74" s="61">
        <f>'CUMPLIMIENTO '!G74</f>
        <v>0.13208333333333333</v>
      </c>
      <c r="G74" s="61">
        <f>'CUMPLIMIENTO '!H74</f>
        <v>0.41285714285714292</v>
      </c>
    </row>
    <row r="75" spans="1:7" ht="15.75" hidden="1" x14ac:dyDescent="0.25">
      <c r="A75" s="198" t="str">
        <f>'CUMPLIMIENTO '!A75</f>
        <v>PROGRAMA</v>
      </c>
      <c r="B75" s="106" t="str">
        <f>'CUMPLIMIENTO '!B75</f>
        <v>2.9.3</v>
      </c>
      <c r="C75" s="111" t="str">
        <f>'CUMPLIMIENTO '!C75</f>
        <v>Formación del capital humano de alto nivel del CTEI</v>
      </c>
      <c r="D75" s="199">
        <f>'CUMPLIMIENTO '!D75</f>
        <v>2</v>
      </c>
      <c r="E75" s="199">
        <f>'CUMPLIMIENTO '!E75</f>
        <v>2</v>
      </c>
      <c r="F75" s="61">
        <f>'CUMPLIMIENTO '!G75</f>
        <v>0.17857142857142858</v>
      </c>
      <c r="G75" s="61">
        <f>'CUMPLIMIENTO '!H75</f>
        <v>0.5</v>
      </c>
    </row>
    <row r="76" spans="1:7" ht="15.75" hidden="1" x14ac:dyDescent="0.25">
      <c r="A76" s="198" t="str">
        <f>'CUMPLIMIENTO '!A76</f>
        <v>PROGRAMA</v>
      </c>
      <c r="B76" s="106" t="str">
        <f>'CUMPLIMIENTO '!B76</f>
        <v>2.9.4</v>
      </c>
      <c r="C76" s="111" t="str">
        <f>'CUMPLIMIENTO '!C76</f>
        <v>Innovación para el desarrollo sostenible</v>
      </c>
      <c r="D76" s="199">
        <f>'CUMPLIMIENTO '!D76</f>
        <v>1</v>
      </c>
      <c r="E76" s="199">
        <f>'CUMPLIMIENTO '!E76</f>
        <v>1</v>
      </c>
      <c r="F76" s="61">
        <f>'CUMPLIMIENTO '!G76</f>
        <v>0.03</v>
      </c>
      <c r="G76" s="61">
        <f>'CUMPLIMIENTO '!H76</f>
        <v>0.1</v>
      </c>
    </row>
    <row r="77" spans="1:7" ht="15.75" hidden="1" x14ac:dyDescent="0.25">
      <c r="A77" s="251" t="str">
        <f>'CUMPLIMIENTO '!A77</f>
        <v>LINEA</v>
      </c>
      <c r="B77" s="252" t="str">
        <f>'CUMPLIMIENTO '!B77</f>
        <v>2.10</v>
      </c>
      <c r="C77" s="251" t="str">
        <f>'CUMPLIMIENTO '!C77</f>
        <v>FORMACIÓN PARA EL TRABAJO</v>
      </c>
      <c r="D77" s="253">
        <f>'CUMPLIMIENTO '!D77</f>
        <v>4</v>
      </c>
      <c r="E77" s="253" t="str">
        <f>'CUMPLIMIENTO '!E77</f>
        <v>NP</v>
      </c>
      <c r="F77" s="254">
        <f>'CUMPLIMIENTO '!G77</f>
        <v>0</v>
      </c>
      <c r="G77" s="255" t="str">
        <f>'CUMPLIMIENTO '!H77</f>
        <v>NP</v>
      </c>
    </row>
    <row r="78" spans="1:7" ht="30" hidden="1" x14ac:dyDescent="0.25">
      <c r="A78" s="198" t="str">
        <f>'CUMPLIMIENTO '!A78</f>
        <v>PROGRAMA</v>
      </c>
      <c r="B78" s="106" t="str">
        <f>'CUMPLIMIENTO '!B78</f>
        <v>2.10.1</v>
      </c>
      <c r="C78" s="111" t="str">
        <f>'CUMPLIMIENTO '!C78</f>
        <v>Bolívar primero facilita el acceso a la educación superior, la educación para el trabajo y el desarrollo humano</v>
      </c>
      <c r="D78" s="199">
        <f>'CUMPLIMIENTO '!D78</f>
        <v>4</v>
      </c>
      <c r="E78" s="199" t="str">
        <f>'CUMPLIMIENTO '!E78</f>
        <v>NP</v>
      </c>
      <c r="F78" s="61">
        <f>'CUMPLIMIENTO '!G78</f>
        <v>0</v>
      </c>
      <c r="G78" s="61" t="str">
        <f>'CUMPLIMIENTO '!H78</f>
        <v>NP</v>
      </c>
    </row>
    <row r="79" spans="1:7" ht="18.75" hidden="1" x14ac:dyDescent="0.25">
      <c r="A79" s="227" t="str">
        <f>'CUMPLIMIENTO '!A79</f>
        <v>EJE ESTRATEGICO</v>
      </c>
      <c r="B79" s="226">
        <f>'CUMPLIMIENTO '!B79</f>
        <v>3</v>
      </c>
      <c r="C79" s="227" t="str">
        <f>'CUMPLIMIENTO '!C79</f>
        <v xml:space="preserve">GESTIÓN AMBIENTAL Y ORDENAMIENTO TERRITORIAL
</v>
      </c>
      <c r="D79" s="187">
        <f>'CUMPLIMIENTO '!D79</f>
        <v>23</v>
      </c>
      <c r="E79" s="187">
        <f>'CUMPLIMIENTO '!E79</f>
        <v>14</v>
      </c>
      <c r="F79" s="188">
        <f>'CUMPLIMIENTO '!G79</f>
        <v>0.22340166188027338</v>
      </c>
      <c r="G79" s="188">
        <f>'CUMPLIMIENTO '!H79</f>
        <v>0.28496980676328504</v>
      </c>
    </row>
    <row r="80" spans="1:7" ht="22.15" hidden="1" customHeight="1" x14ac:dyDescent="0.25">
      <c r="A80" s="202" t="str">
        <f>'CUMPLIMIENTO '!A80</f>
        <v>LINEA</v>
      </c>
      <c r="B80" s="203" t="str">
        <f>'CUMPLIMIENTO '!B80</f>
        <v>3.1</v>
      </c>
      <c r="C80" s="202" t="str">
        <f>'CUMPLIMIENTO '!C80</f>
        <v>BOLIVAR PRIMERO GESTIÓN AMBIENTAL Y DESARROLLO TERRITORIAL</v>
      </c>
      <c r="D80" s="216">
        <f>'CUMPLIMIENTO '!D80</f>
        <v>5</v>
      </c>
      <c r="E80" s="216">
        <f>'CUMPLIMIENTO '!E80</f>
        <v>2</v>
      </c>
      <c r="F80" s="217">
        <f>'CUMPLIMIENTO '!G80</f>
        <v>0.2</v>
      </c>
      <c r="G80" s="218">
        <f>'CUMPLIMIENTO '!H80</f>
        <v>0.5</v>
      </c>
    </row>
    <row r="81" spans="1:7" ht="15.75" hidden="1" x14ac:dyDescent="0.25">
      <c r="A81" s="198" t="str">
        <f>'CUMPLIMIENTO '!A81</f>
        <v>PROGRAMA</v>
      </c>
      <c r="B81" s="106" t="str">
        <f>'CUMPLIMIENTO '!B81</f>
        <v xml:space="preserve">3.1.1 </v>
      </c>
      <c r="C81" s="111" t="str">
        <f>'CUMPLIMIENTO '!C81</f>
        <v>Ordenamiento territorial y para un bolívar primero en institucionalidad</v>
      </c>
      <c r="D81" s="199">
        <f>'CUMPLIMIENTO '!D81</f>
        <v>5</v>
      </c>
      <c r="E81" s="199">
        <f>'CUMPLIMIENTO '!E81</f>
        <v>2</v>
      </c>
      <c r="F81" s="61">
        <f>'CUMPLIMIENTO '!G81</f>
        <v>0.2</v>
      </c>
      <c r="G81" s="61">
        <f>'CUMPLIMIENTO '!H81</f>
        <v>0.5</v>
      </c>
    </row>
    <row r="82" spans="1:7" ht="22.15" hidden="1" customHeight="1" x14ac:dyDescent="0.25">
      <c r="A82" s="268" t="str">
        <f>'CUMPLIMIENTO '!A82</f>
        <v>LINEA</v>
      </c>
      <c r="B82" s="269" t="str">
        <f>'CUMPLIMIENTO '!B82</f>
        <v>3.2</v>
      </c>
      <c r="C82" s="268" t="str">
        <f>'CUMPLIMIENTO '!C82</f>
        <v>BOLÍVAR PRIMERO EN CONSERVACIÓN AMBIENTAL</v>
      </c>
      <c r="D82" s="270">
        <f>'CUMPLIMIENTO '!D82</f>
        <v>5</v>
      </c>
      <c r="E82" s="270">
        <f>'CUMPLIMIENTO '!E82</f>
        <v>4</v>
      </c>
      <c r="F82" s="271">
        <f>'CUMPLIMIENTO '!G82</f>
        <v>0.23333333333333334</v>
      </c>
      <c r="G82" s="272">
        <f>'CUMPLIMIENTO '!H82</f>
        <v>0.25</v>
      </c>
    </row>
    <row r="83" spans="1:7" ht="15.75" hidden="1" x14ac:dyDescent="0.25">
      <c r="A83" s="198" t="str">
        <f>'CUMPLIMIENTO '!A83</f>
        <v>PROGRAMA</v>
      </c>
      <c r="B83" s="106" t="str">
        <f>'CUMPLIMIENTO '!B83</f>
        <v>3.2.1</v>
      </c>
      <c r="C83" s="111" t="str">
        <f>'CUMPLIMIENTO '!C83</f>
        <v>Ambiente por un Bolívar primero en conservación</v>
      </c>
      <c r="D83" s="199">
        <f>'CUMPLIMIENTO '!D83</f>
        <v>5</v>
      </c>
      <c r="E83" s="199">
        <f>'CUMPLIMIENTO '!E83</f>
        <v>4</v>
      </c>
      <c r="F83" s="61">
        <f>'CUMPLIMIENTO '!G83</f>
        <v>0.23333333333333334</v>
      </c>
      <c r="G83" s="61">
        <f>'CUMPLIMIENTO '!H83</f>
        <v>0.25</v>
      </c>
    </row>
    <row r="84" spans="1:7" ht="22.15" hidden="1" customHeight="1" x14ac:dyDescent="0.25">
      <c r="A84" s="202" t="str">
        <f>'CUMPLIMIENTO '!A84</f>
        <v>LINEA</v>
      </c>
      <c r="B84" s="203" t="str">
        <f>'CUMPLIMIENTO '!B84</f>
        <v>3.3</v>
      </c>
      <c r="C84" s="202" t="str">
        <f>'CUMPLIMIENTO '!C84</f>
        <v>BOLIVAR PRIMERO EN ADAPTACIÓN Y MITIGACIÓN DEL CAMBIO CLIMÁTICO</v>
      </c>
      <c r="D84" s="216">
        <f>'CUMPLIMIENTO '!D84</f>
        <v>2</v>
      </c>
      <c r="E84" s="216">
        <f>'CUMPLIMIENTO '!E84</f>
        <v>1</v>
      </c>
      <c r="F84" s="217">
        <f>'CUMPLIMIENTO '!G84</f>
        <v>2.5000000000000001E-2</v>
      </c>
      <c r="G84" s="218">
        <f>'CUMPLIMIENTO '!H84</f>
        <v>0.05</v>
      </c>
    </row>
    <row r="85" spans="1:7" ht="15.75" hidden="1" x14ac:dyDescent="0.25">
      <c r="A85" s="198" t="str">
        <f>'CUMPLIMIENTO '!A85</f>
        <v>PROGRAMA</v>
      </c>
      <c r="B85" s="106" t="str">
        <f>'CUMPLIMIENTO '!B85</f>
        <v>3.3.1</v>
      </c>
      <c r="C85" s="111" t="str">
        <f>'CUMPLIMIENTO '!C85</f>
        <v>Cambio Climatico</v>
      </c>
      <c r="D85" s="199">
        <f>'CUMPLIMIENTO '!D85</f>
        <v>2</v>
      </c>
      <c r="E85" s="199" t="str">
        <f>'CUMPLIMIENTO '!E85</f>
        <v>NP</v>
      </c>
      <c r="F85" s="61">
        <f>'CUMPLIMIENTO '!G85</f>
        <v>2.5000000000000001E-2</v>
      </c>
      <c r="G85" s="61">
        <f>'CUMPLIMIENTO '!H85</f>
        <v>0.05</v>
      </c>
    </row>
    <row r="86" spans="1:7" ht="22.15" hidden="1" customHeight="1" x14ac:dyDescent="0.25">
      <c r="A86" s="268" t="str">
        <f>'CUMPLIMIENTO '!A86</f>
        <v>LINEA</v>
      </c>
      <c r="B86" s="269" t="str">
        <f>'CUMPLIMIENTO '!B86</f>
        <v>3.4</v>
      </c>
      <c r="C86" s="268" t="str">
        <f>'CUMPLIMIENTO '!C86</f>
        <v>GESTIÓN DEL RIESGO</v>
      </c>
      <c r="D86" s="270">
        <f>'CUMPLIMIENTO '!D86</f>
        <v>11</v>
      </c>
      <c r="E86" s="270">
        <f>'CUMPLIMIENTO '!E86</f>
        <v>7</v>
      </c>
      <c r="F86" s="271">
        <f>'CUMPLIMIENTO '!G86</f>
        <v>0.43527331418776022</v>
      </c>
      <c r="G86" s="272">
        <f>'CUMPLIMIENTO '!H86</f>
        <v>0.33987922705314011</v>
      </c>
    </row>
    <row r="87" spans="1:7" ht="15.75" hidden="1" x14ac:dyDescent="0.25">
      <c r="A87" s="198" t="str">
        <f>'CUMPLIMIENTO '!A87</f>
        <v>PROGRAMA</v>
      </c>
      <c r="B87" s="106" t="str">
        <f>'CUMPLIMIENTO '!B87</f>
        <v xml:space="preserve">3.4.1 </v>
      </c>
      <c r="C87" s="111" t="str">
        <f>'CUMPLIMIENTO '!C87</f>
        <v>Conocimiento del Riesgo</v>
      </c>
      <c r="D87" s="199">
        <f>'CUMPLIMIENTO '!D87</f>
        <v>3</v>
      </c>
      <c r="E87" s="199">
        <f>'CUMPLIMIENTO '!E87</f>
        <v>1</v>
      </c>
      <c r="F87" s="61">
        <f>'CUMPLIMIENTO '!G87</f>
        <v>0.28354037267080745</v>
      </c>
      <c r="G87" s="61">
        <f>'CUMPLIMIENTO '!H87</f>
        <v>0.52463768115942022</v>
      </c>
    </row>
    <row r="88" spans="1:7" ht="15.75" hidden="1" x14ac:dyDescent="0.25">
      <c r="A88" s="198" t="str">
        <f>'CUMPLIMIENTO '!A88</f>
        <v>PROGRAMA</v>
      </c>
      <c r="B88" s="106" t="str">
        <f>'CUMPLIMIENTO '!B88</f>
        <v xml:space="preserve">3.4.2 </v>
      </c>
      <c r="C88" s="111" t="str">
        <f>'CUMPLIMIENTO '!C88</f>
        <v>Disminución y/o Elimicación del Riesgo</v>
      </c>
      <c r="D88" s="199">
        <f>'CUMPLIMIENTO '!D88</f>
        <v>3</v>
      </c>
      <c r="E88" s="199">
        <f>'CUMPLIMIENTO '!E88</f>
        <v>3</v>
      </c>
      <c r="F88" s="61">
        <f>'CUMPLIMIENTO '!G88</f>
        <v>0.55161290322580647</v>
      </c>
      <c r="G88" s="61">
        <f>'CUMPLIMIENTO '!H88</f>
        <v>7.4999999999999997E-2</v>
      </c>
    </row>
    <row r="89" spans="1:7" ht="15.75" hidden="1" x14ac:dyDescent="0.25">
      <c r="A89" s="198" t="str">
        <f>'CUMPLIMIENTO '!A89</f>
        <v>PROGRAMA</v>
      </c>
      <c r="B89" s="106" t="str">
        <f>'CUMPLIMIENTO '!B89</f>
        <v>3.4.3</v>
      </c>
      <c r="C89" s="111" t="str">
        <f>'CUMPLIMIENTO '!C89</f>
        <v>Atencion de Desastre</v>
      </c>
      <c r="D89" s="199">
        <f>'CUMPLIMIENTO '!D89</f>
        <v>5</v>
      </c>
      <c r="E89" s="199">
        <f>'CUMPLIMIENTO '!E89</f>
        <v>3</v>
      </c>
      <c r="F89" s="61">
        <f>'CUMPLIMIENTO '!G89</f>
        <v>0.47066666666666668</v>
      </c>
      <c r="G89" s="61">
        <f>'CUMPLIMIENTO '!H89</f>
        <v>0.42000000000000004</v>
      </c>
    </row>
    <row r="90" spans="1:7" ht="37.5" hidden="1" x14ac:dyDescent="0.25">
      <c r="A90" s="273" t="str">
        <f>'CUMPLIMIENTO '!A90</f>
        <v>EJE ESTRATEGICO</v>
      </c>
      <c r="B90" s="274">
        <f>'CUMPLIMIENTO '!B90</f>
        <v>4</v>
      </c>
      <c r="C90" s="277" t="str">
        <f>'CUMPLIMIENTO '!C90</f>
        <v>BOLÍVAR PRIMERO EN FORTALECIMIENTO INSTITUCIONAL Y SEGURIDAD EFECTIVA PARA TODOS</v>
      </c>
      <c r="D90" s="275">
        <f>'CUMPLIMIENTO '!D90</f>
        <v>68</v>
      </c>
      <c r="E90" s="275">
        <f>'CUMPLIMIENTO '!E90</f>
        <v>47</v>
      </c>
      <c r="F90" s="276">
        <f>'CUMPLIMIENTO '!G90</f>
        <v>0.21518996587883446</v>
      </c>
      <c r="G90" s="276">
        <f>'CUMPLIMIENTO '!H90</f>
        <v>0.20474983465608465</v>
      </c>
    </row>
    <row r="91" spans="1:7" ht="15.75" hidden="1" x14ac:dyDescent="0.25">
      <c r="A91" s="202" t="str">
        <f>'CUMPLIMIENTO '!A91</f>
        <v>LINEA</v>
      </c>
      <c r="B91" s="203" t="str">
        <f>'CUMPLIMIENTO '!B91</f>
        <v>4.1</v>
      </c>
      <c r="C91" s="202" t="str">
        <f>'CUMPLIMIENTO '!C91</f>
        <v>BOLÍVAR SEGURO</v>
      </c>
      <c r="D91" s="216">
        <f>'CUMPLIMIENTO '!D91</f>
        <v>4</v>
      </c>
      <c r="E91" s="216">
        <f>'CUMPLIMIENTO '!E91</f>
        <v>2</v>
      </c>
      <c r="F91" s="217">
        <f>'CUMPLIMIENTO '!G91</f>
        <v>5.9583333333333335E-2</v>
      </c>
      <c r="G91" s="218">
        <f>'CUMPLIMIENTO '!H91</f>
        <v>0.25</v>
      </c>
    </row>
    <row r="92" spans="1:7" ht="15.75" hidden="1" x14ac:dyDescent="0.25">
      <c r="A92" s="198" t="str">
        <f>'CUMPLIMIENTO '!A92</f>
        <v>PROGRAMA</v>
      </c>
      <c r="B92" s="106" t="str">
        <f>'CUMPLIMIENTO '!B92</f>
        <v>4.1.1</v>
      </c>
      <c r="C92" s="111" t="str">
        <f>'CUMPLIMIENTO '!C92</f>
        <v>Fortalecimiento integral de la seguridad y convivencia</v>
      </c>
      <c r="D92" s="199">
        <f>'CUMPLIMIENTO '!D92</f>
        <v>4</v>
      </c>
      <c r="E92" s="199">
        <f>'CUMPLIMIENTO '!E92</f>
        <v>2</v>
      </c>
      <c r="F92" s="61">
        <f>'CUMPLIMIENTO '!G92</f>
        <v>5.9583333333333335E-2</v>
      </c>
      <c r="G92" s="61">
        <f>'CUMPLIMIENTO '!H92</f>
        <v>0.25</v>
      </c>
    </row>
    <row r="93" spans="1:7" ht="15.75" hidden="1" x14ac:dyDescent="0.25">
      <c r="A93" s="268" t="str">
        <f>'CUMPLIMIENTO '!A93</f>
        <v>LINEA</v>
      </c>
      <c r="B93" s="269" t="str">
        <f>'CUMPLIMIENTO '!B93</f>
        <v>4.2</v>
      </c>
      <c r="C93" s="268" t="str">
        <f>'CUMPLIMIENTO '!C93</f>
        <v>BOLÍVAR PRIMERO EN DERECHOS HUMANOS</v>
      </c>
      <c r="D93" s="270">
        <f>'CUMPLIMIENTO '!D93</f>
        <v>7</v>
      </c>
      <c r="E93" s="270">
        <f>'CUMPLIMIENTO '!E93</f>
        <v>7</v>
      </c>
      <c r="F93" s="271">
        <f>'CUMPLIMIENTO '!G93</f>
        <v>0.3392857142857143</v>
      </c>
      <c r="G93" s="272">
        <f>'CUMPLIMIENTO '!H93</f>
        <v>0.51904761904761909</v>
      </c>
    </row>
    <row r="94" spans="1:7" ht="15.75" hidden="1" x14ac:dyDescent="0.25">
      <c r="A94" s="198" t="str">
        <f>'CUMPLIMIENTO '!A94</f>
        <v>PROGRAMA</v>
      </c>
      <c r="B94" s="106" t="str">
        <f>'CUMPLIMIENTO '!B94</f>
        <v>4.2.1</v>
      </c>
      <c r="C94" s="111" t="str">
        <f>'CUMPLIMIENTO '!C94</f>
        <v>Garantía integral de los derechos humanos.</v>
      </c>
      <c r="D94" s="199">
        <f>'CUMPLIMIENTO '!D94</f>
        <v>7</v>
      </c>
      <c r="E94" s="199">
        <f>'CUMPLIMIENTO '!E94</f>
        <v>7</v>
      </c>
      <c r="F94" s="61">
        <f>'CUMPLIMIENTO '!G94</f>
        <v>0.3392857142857143</v>
      </c>
      <c r="G94" s="61">
        <f>'CUMPLIMIENTO '!H94</f>
        <v>0.51904761904761909</v>
      </c>
    </row>
    <row r="95" spans="1:7" ht="15.75" hidden="1" x14ac:dyDescent="0.25">
      <c r="A95" s="202" t="str">
        <f>'CUMPLIMIENTO '!A95</f>
        <v>LINEA</v>
      </c>
      <c r="B95" s="203" t="str">
        <f>'CUMPLIMIENTO '!B95</f>
        <v>4.3</v>
      </c>
      <c r="C95" s="202" t="str">
        <f>'CUMPLIMIENTO '!C95</f>
        <v>BOLÍVAR CON SISTEMA INTEGRAL DE PLANIFICACION DEPARTAMENTAL</v>
      </c>
      <c r="D95" s="216">
        <f>'CUMPLIMIENTO '!D95</f>
        <v>13</v>
      </c>
      <c r="E95" s="216">
        <f>'CUMPLIMIENTO '!E95</f>
        <v>10</v>
      </c>
      <c r="F95" s="217">
        <f>'CUMPLIMIENTO '!G95</f>
        <v>0.3098710317460317</v>
      </c>
      <c r="G95" s="218">
        <f>'CUMPLIMIENTO '!H95</f>
        <v>0.30888888888888888</v>
      </c>
    </row>
    <row r="96" spans="1:7" ht="15.75" hidden="1" x14ac:dyDescent="0.25">
      <c r="A96" s="198" t="str">
        <f>'CUMPLIMIENTO '!A96</f>
        <v>PROGRAMA</v>
      </c>
      <c r="B96" s="106" t="str">
        <f>'CUMPLIMIENTO '!B96</f>
        <v>4.3.1</v>
      </c>
      <c r="C96" s="111" t="str">
        <f>'CUMPLIMIENTO '!C96</f>
        <v>Fortalecimiento al sistema de Planeación departamental.</v>
      </c>
      <c r="D96" s="199">
        <f>'CUMPLIMIENTO '!D96</f>
        <v>8</v>
      </c>
      <c r="E96" s="199">
        <f>'CUMPLIMIENTO '!E96</f>
        <v>7</v>
      </c>
      <c r="F96" s="61">
        <f>'CUMPLIMIENTO '!G96</f>
        <v>0.39196428571428565</v>
      </c>
      <c r="G96" s="61">
        <f>'CUMPLIMIENTO '!H96</f>
        <v>0.33333333333333331</v>
      </c>
    </row>
    <row r="97" spans="1:7" ht="15.75" hidden="1" x14ac:dyDescent="0.25">
      <c r="A97" s="198" t="str">
        <f>'CUMPLIMIENTO '!A97</f>
        <v>PROGRAMA</v>
      </c>
      <c r="B97" s="106" t="str">
        <f>'CUMPLIMIENTO '!B97</f>
        <v>4.3.2</v>
      </c>
      <c r="C97" s="111" t="str">
        <f>'CUMPLIMIENTO '!C97</f>
        <v>Programa Descentralización y planeación territorial</v>
      </c>
      <c r="D97" s="199">
        <f>'CUMPLIMIENTO '!D97</f>
        <v>5</v>
      </c>
      <c r="E97" s="199">
        <f>'CUMPLIMIENTO '!E97</f>
        <v>3</v>
      </c>
      <c r="F97" s="61">
        <f>'CUMPLIMIENTO '!G97</f>
        <v>0.22777777777777777</v>
      </c>
      <c r="G97" s="61">
        <f>'CUMPLIMIENTO '!H97</f>
        <v>0.28444444444444444</v>
      </c>
    </row>
    <row r="98" spans="1:7" ht="15.75" hidden="1" x14ac:dyDescent="0.25">
      <c r="A98" s="268" t="str">
        <f>'CUMPLIMIENTO '!A98</f>
        <v>LINEA</v>
      </c>
      <c r="B98" s="269" t="str">
        <f>'CUMPLIMIENTO '!B98</f>
        <v>4.4</v>
      </c>
      <c r="C98" s="268" t="str">
        <f>'CUMPLIMIENTO '!C98</f>
        <v xml:space="preserve">BOLÍVAR CON INSTITUCIONALIDAD AL SERVICIO DE LA CIUDADANÍA. </v>
      </c>
      <c r="D98" s="270">
        <f>'CUMPLIMIENTO '!D98</f>
        <v>26</v>
      </c>
      <c r="E98" s="270">
        <f>'CUMPLIMIENTO '!E98</f>
        <v>21</v>
      </c>
      <c r="F98" s="271">
        <f>'CUMPLIMIENTO '!G98</f>
        <v>0.34112987463808625</v>
      </c>
      <c r="G98" s="272">
        <f>'CUMPLIMIENTO '!H98</f>
        <v>0.12556249999999999</v>
      </c>
    </row>
    <row r="99" spans="1:7" ht="15.75" hidden="1" x14ac:dyDescent="0.25">
      <c r="A99" s="198" t="str">
        <f>'CUMPLIMIENTO '!A99</f>
        <v>PROGRAMA</v>
      </c>
      <c r="B99" s="106" t="str">
        <f>'CUMPLIMIENTO '!B99</f>
        <v>4.4.1</v>
      </c>
      <c r="C99" s="111" t="str">
        <f>'CUMPLIMIENTO '!C99</f>
        <v>Atención y servicios al ciudadano de calidad al alcance de todos.</v>
      </c>
      <c r="D99" s="199">
        <f>'CUMPLIMIENTO '!D99</f>
        <v>5</v>
      </c>
      <c r="E99" s="199">
        <f>'CUMPLIMIENTO '!E99</f>
        <v>2</v>
      </c>
      <c r="F99" s="61">
        <f>'CUMPLIMIENTO '!G99</f>
        <v>0.167625</v>
      </c>
      <c r="G99" s="61">
        <f>'CUMPLIMIENTO '!H99</f>
        <v>1.5000000000000001E-2</v>
      </c>
    </row>
    <row r="100" spans="1:7" ht="15.75" hidden="1" x14ac:dyDescent="0.25">
      <c r="A100" s="198" t="str">
        <f>'CUMPLIMIENTO '!A100</f>
        <v>PROGRAMA</v>
      </c>
      <c r="B100" s="106" t="str">
        <f>'CUMPLIMIENTO '!B100</f>
        <v>4.4.2</v>
      </c>
      <c r="C100" s="111" t="str">
        <f>'CUMPLIMIENTO '!C100</f>
        <v>Gestión Documental</v>
      </c>
      <c r="D100" s="199">
        <f>'CUMPLIMIENTO '!D100</f>
        <v>4</v>
      </c>
      <c r="E100" s="199">
        <f>'CUMPLIMIENTO '!E100</f>
        <v>2</v>
      </c>
      <c r="F100" s="61">
        <f>'CUMPLIMIENTO '!G100</f>
        <v>0.21513888888888891</v>
      </c>
      <c r="G100" s="61">
        <f>'CUMPLIMIENTO '!H100</f>
        <v>0.16999999999999998</v>
      </c>
    </row>
    <row r="101" spans="1:7" ht="15.75" hidden="1" x14ac:dyDescent="0.25">
      <c r="A101" s="198" t="str">
        <f>'CUMPLIMIENTO '!A101</f>
        <v>PROGRAMA</v>
      </c>
      <c r="B101" s="106" t="str">
        <f>'CUMPLIMIENTO '!B101</f>
        <v>4.4.3</v>
      </c>
      <c r="C101" s="111" t="str">
        <f>'CUMPLIMIENTO '!C101</f>
        <v>Gobierno Digital</v>
      </c>
      <c r="D101" s="199">
        <f>'CUMPLIMIENTO '!D101</f>
        <v>8</v>
      </c>
      <c r="E101" s="199">
        <f>'CUMPLIMIENTO '!E101</f>
        <v>8</v>
      </c>
      <c r="F101" s="61">
        <f>'CUMPLIMIENTO '!G101</f>
        <v>0.72017489035087723</v>
      </c>
      <c r="G101" s="61">
        <f>'CUMPLIMIENTO '!H101</f>
        <v>0.13200000000000001</v>
      </c>
    </row>
    <row r="102" spans="1:7" ht="15.75" hidden="1" x14ac:dyDescent="0.25">
      <c r="A102" s="198" t="str">
        <f>'CUMPLIMIENTO '!A102</f>
        <v>PROGRAMA</v>
      </c>
      <c r="B102" s="106" t="str">
        <f>'CUMPLIMIENTO '!B102</f>
        <v>4.4.4</v>
      </c>
      <c r="C102" s="111" t="str">
        <f>'CUMPLIMIENTO '!C102</f>
        <v>Infraestructura física para todos</v>
      </c>
      <c r="D102" s="199">
        <f>'CUMPLIMIENTO '!D102</f>
        <v>3</v>
      </c>
      <c r="E102" s="199">
        <f>'CUMPLIMIENTO '!E102</f>
        <v>3</v>
      </c>
      <c r="F102" s="61">
        <f>'CUMPLIMIENTO '!G102</f>
        <v>0.77276688453159048</v>
      </c>
      <c r="G102" s="61">
        <f>'CUMPLIMIENTO '!H102</f>
        <v>8.3333333333333329E-2</v>
      </c>
    </row>
    <row r="103" spans="1:7" ht="15.75" hidden="1" x14ac:dyDescent="0.25">
      <c r="A103" s="198" t="str">
        <f>'CUMPLIMIENTO '!A103</f>
        <v>PROGRAMA</v>
      </c>
      <c r="B103" s="106" t="str">
        <f>'CUMPLIMIENTO '!B103</f>
        <v>4.4.5</v>
      </c>
      <c r="C103" s="111" t="str">
        <f>'CUMPLIMIENTO '!C103</f>
        <v>Asistencia Municipal</v>
      </c>
      <c r="D103" s="199">
        <f>'CUMPLIMIENTO '!D103</f>
        <v>1</v>
      </c>
      <c r="E103" s="199">
        <f>'CUMPLIMIENTO '!E103</f>
        <v>1</v>
      </c>
      <c r="F103" s="61">
        <f>'CUMPLIMIENTO '!G103</f>
        <v>0.2</v>
      </c>
      <c r="G103" s="61">
        <f>'CUMPLIMIENTO '!H103</f>
        <v>0.25</v>
      </c>
    </row>
    <row r="104" spans="1:7" ht="15.75" hidden="1" x14ac:dyDescent="0.25">
      <c r="A104" s="198" t="str">
        <f>'CUMPLIMIENTO '!A104</f>
        <v>PROGRAMA</v>
      </c>
      <c r="B104" s="106" t="str">
        <f>'CUMPLIMIENTO '!B104</f>
        <v>4.4.6</v>
      </c>
      <c r="C104" s="111" t="str">
        <f>'CUMPLIMIENTO '!C104</f>
        <v>Programa: Cuerpos Bomberos</v>
      </c>
      <c r="D104" s="199">
        <f>'CUMPLIMIENTO '!D104</f>
        <v>1</v>
      </c>
      <c r="E104" s="199">
        <f>'CUMPLIMIENTO '!E104</f>
        <v>1</v>
      </c>
      <c r="F104" s="61">
        <f>'CUMPLIMIENTO '!G104</f>
        <v>0.12</v>
      </c>
      <c r="G104" s="61">
        <f>'CUMPLIMIENTO '!H104</f>
        <v>0.25</v>
      </c>
    </row>
    <row r="105" spans="1:7" ht="15.75" hidden="1" x14ac:dyDescent="0.25">
      <c r="A105" s="198" t="str">
        <f>'CUMPLIMIENTO '!A105</f>
        <v>PROGRAMA</v>
      </c>
      <c r="B105" s="106" t="str">
        <f>'CUMPLIMIENTO '!B105</f>
        <v>4.4.7</v>
      </c>
      <c r="C105" s="111" t="str">
        <f>'CUMPLIMIENTO '!C105</f>
        <v>Mejores funcionarios, mejor gobierno</v>
      </c>
      <c r="D105" s="199">
        <f>'CUMPLIMIENTO '!D105</f>
        <v>1</v>
      </c>
      <c r="E105" s="199">
        <f>'CUMPLIMIENTO '!E105</f>
        <v>1</v>
      </c>
      <c r="F105" s="61">
        <f>'CUMPLIMIENTO '!G105</f>
        <v>0.5</v>
      </c>
      <c r="G105" s="61">
        <f>'CUMPLIMIENTO '!H105</f>
        <v>0</v>
      </c>
    </row>
    <row r="106" spans="1:7" ht="15.75" hidden="1" x14ac:dyDescent="0.25">
      <c r="A106" s="198" t="str">
        <f>'CUMPLIMIENTO '!A106</f>
        <v>PROGRAMA</v>
      </c>
      <c r="B106" s="106" t="str">
        <f>'CUMPLIMIENTO '!B106</f>
        <v>4.4.8</v>
      </c>
      <c r="C106" s="111" t="str">
        <f>'CUMPLIMIENTO '!C106</f>
        <v>Bolívar primero en el territorio: diálogo y acción</v>
      </c>
      <c r="D106" s="199">
        <f>'CUMPLIMIENTO '!D106</f>
        <v>3</v>
      </c>
      <c r="E106" s="199">
        <f>'CUMPLIMIENTO '!E106</f>
        <v>3</v>
      </c>
      <c r="F106" s="61">
        <f>'CUMPLIMIENTO '!G106</f>
        <v>3.3333333333333333E-2</v>
      </c>
      <c r="G106" s="61">
        <f>'CUMPLIMIENTO '!H106</f>
        <v>0.10416666666666667</v>
      </c>
    </row>
    <row r="107" spans="1:7" ht="15.75" hidden="1" x14ac:dyDescent="0.25">
      <c r="A107" s="202" t="str">
        <f>'CUMPLIMIENTO '!A107</f>
        <v>LINEA</v>
      </c>
      <c r="B107" s="203" t="str">
        <f>'CUMPLIMIENTO '!B107</f>
        <v>4.5</v>
      </c>
      <c r="C107" s="202" t="str">
        <f>'CUMPLIMIENTO '!C107</f>
        <v xml:space="preserve">BOLÍVAR CONTROLA LAS FINANZAS PÚBLICAS. </v>
      </c>
      <c r="D107" s="216">
        <f>'CUMPLIMIENTO '!D107</f>
        <v>7</v>
      </c>
      <c r="E107" s="216">
        <f>'CUMPLIMIENTO '!E107</f>
        <v>2</v>
      </c>
      <c r="F107" s="217">
        <f>'CUMPLIMIENTO '!G107</f>
        <v>3.5714285714285712E-2</v>
      </c>
      <c r="G107" s="218">
        <f>'CUMPLIMIENTO '!H107</f>
        <v>0</v>
      </c>
    </row>
    <row r="108" spans="1:7" ht="24.6" hidden="1" customHeight="1" x14ac:dyDescent="0.25">
      <c r="A108" s="198" t="str">
        <f>'CUMPLIMIENTO '!A108</f>
        <v>PROGRAMA</v>
      </c>
      <c r="B108" s="106" t="str">
        <f>'CUMPLIMIENTO '!B108</f>
        <v>4.5.1</v>
      </c>
      <c r="C108" s="111" t="str">
        <f>'CUMPLIMIENTO '!C108</f>
        <v xml:space="preserve">Fortalecimiento financiero administrativo y fiscal de la secretaria de hacienda </v>
      </c>
      <c r="D108" s="199">
        <f>'CUMPLIMIENTO '!D108</f>
        <v>7</v>
      </c>
      <c r="E108" s="199">
        <f>'CUMPLIMIENTO '!E108</f>
        <v>2</v>
      </c>
      <c r="F108" s="61">
        <f>'CUMPLIMIENTO '!G108</f>
        <v>3.5714285714285712E-2</v>
      </c>
      <c r="G108" s="61">
        <f>'CUMPLIMIENTO '!H108</f>
        <v>0</v>
      </c>
    </row>
    <row r="109" spans="1:7" ht="15.75" hidden="1" x14ac:dyDescent="0.25">
      <c r="A109" s="268" t="str">
        <f>'CUMPLIMIENTO '!A109</f>
        <v>LINEA</v>
      </c>
      <c r="B109" s="269" t="str">
        <f>'CUMPLIMIENTO '!B109</f>
        <v>4.6</v>
      </c>
      <c r="C109" s="268" t="str">
        <f>'CUMPLIMIENTO '!C109</f>
        <v>BOLÍVAR PRIMERO PROPICIA LA PARTICIPACIÓN CIUDADANA.</v>
      </c>
      <c r="D109" s="270">
        <f>'CUMPLIMIENTO '!D109</f>
        <v>11</v>
      </c>
      <c r="E109" s="270">
        <f>'CUMPLIMIENTO '!E109</f>
        <v>5</v>
      </c>
      <c r="F109" s="271">
        <f>'CUMPLIMIENTO '!G109</f>
        <v>0.20555555555555557</v>
      </c>
      <c r="G109" s="272">
        <f>'CUMPLIMIENTO '!H109</f>
        <v>2.5000000000000001E-2</v>
      </c>
    </row>
    <row r="110" spans="1:7" ht="15.75" hidden="1" x14ac:dyDescent="0.25">
      <c r="A110" s="198" t="str">
        <f>'CUMPLIMIENTO '!A110</f>
        <v>PROGRAMA</v>
      </c>
      <c r="B110" s="106" t="str">
        <f>'CUMPLIMIENTO '!B110</f>
        <v>4.6.1</v>
      </c>
      <c r="C110" s="111" t="str">
        <f>'CUMPLIMIENTO '!C110</f>
        <v>Participación Ciudadana</v>
      </c>
      <c r="D110" s="199">
        <f>'CUMPLIMIENTO '!D110</f>
        <v>4</v>
      </c>
      <c r="E110" s="199">
        <f>'CUMPLIMIENTO '!E110</f>
        <v>2</v>
      </c>
      <c r="F110" s="61">
        <f>'CUMPLIMIENTO '!G110</f>
        <v>0.140625</v>
      </c>
      <c r="G110" s="61">
        <f>'CUMPLIMIENTO '!H110</f>
        <v>0.05</v>
      </c>
    </row>
    <row r="111" spans="1:7" ht="15.75" hidden="1" x14ac:dyDescent="0.25">
      <c r="A111" s="198" t="str">
        <f>'CUMPLIMIENTO '!A111</f>
        <v>PROGRAMA</v>
      </c>
      <c r="B111" s="106" t="str">
        <f>'CUMPLIMIENTO '!B111</f>
        <v xml:space="preserve">4.6.2 </v>
      </c>
      <c r="C111" s="111" t="str">
        <f>'CUMPLIMIENTO '!C111</f>
        <v>Organismos comunales</v>
      </c>
      <c r="D111" s="199">
        <f>'CUMPLIMIENTO '!D111</f>
        <v>3</v>
      </c>
      <c r="E111" s="199">
        <f>'CUMPLIMIENTO '!E111</f>
        <v>2</v>
      </c>
      <c r="F111" s="61">
        <f>'CUMPLIMIENTO '!G111</f>
        <v>0.11666666666666665</v>
      </c>
      <c r="G111" s="61">
        <f>'CUMPLIMIENTO '!H111</f>
        <v>0</v>
      </c>
    </row>
    <row r="112" spans="1:7" ht="15.75" hidden="1" x14ac:dyDescent="0.25">
      <c r="A112" s="198" t="str">
        <f>'CUMPLIMIENTO '!A112</f>
        <v>PROGRAMA</v>
      </c>
      <c r="B112" s="106" t="str">
        <f>'CUMPLIMIENTO '!B112</f>
        <v>4.6.3</v>
      </c>
      <c r="C112" s="111" t="str">
        <f>'CUMPLIMIENTO '!C112</f>
        <v>Procesos electorales</v>
      </c>
      <c r="D112" s="199">
        <f>'CUMPLIMIENTO '!D112</f>
        <v>1</v>
      </c>
      <c r="E112" s="199">
        <f>'CUMPLIMIENTO '!E112</f>
        <v>1</v>
      </c>
      <c r="F112" s="61">
        <f>'CUMPLIMIENTO '!G112</f>
        <v>0.5</v>
      </c>
      <c r="G112" s="61" t="str">
        <f>'CUMPLIMIENTO '!H112</f>
        <v>NP</v>
      </c>
    </row>
    <row r="113" spans="1:7" ht="15.75" hidden="1" x14ac:dyDescent="0.25">
      <c r="A113" s="198" t="str">
        <f>'CUMPLIMIENTO '!A113</f>
        <v>PROGRAMA</v>
      </c>
      <c r="B113" s="106" t="str">
        <f>'CUMPLIMIENTO '!B113</f>
        <v>4.6.4</v>
      </c>
      <c r="C113" s="111" t="str">
        <f>'CUMPLIMIENTO '!C113</f>
        <v>Construcción de Cultura Ciudadana</v>
      </c>
      <c r="D113" s="199">
        <f>'CUMPLIMIENTO '!D113</f>
        <v>3</v>
      </c>
      <c r="E113" s="199" t="str">
        <f>'CUMPLIMIENTO '!E113</f>
        <v>NP</v>
      </c>
      <c r="F113" s="61">
        <f>'CUMPLIMIENTO '!G113</f>
        <v>0</v>
      </c>
      <c r="G113" s="61" t="str">
        <f>'CUMPLIMIENTO '!H113</f>
        <v>NP</v>
      </c>
    </row>
    <row r="114" spans="1:7" ht="32.65" customHeight="1" x14ac:dyDescent="0.25">
      <c r="A114" s="227" t="str">
        <f>'CUMPLIMIENTO '!A114</f>
        <v>EJE ESTRATEGICO</v>
      </c>
      <c r="B114" s="226">
        <f>'CUMPLIMIENTO '!B114</f>
        <v>5</v>
      </c>
      <c r="C114" s="227" t="str">
        <f>'CUMPLIMIENTO '!C114</f>
        <v>BOLÍVAR PRIMERO EN RURALIDAD</v>
      </c>
      <c r="D114" s="187">
        <f>'CUMPLIMIENTO '!D114</f>
        <v>34</v>
      </c>
      <c r="E114" s="187">
        <f>'CUMPLIMIENTO '!E114</f>
        <v>11</v>
      </c>
      <c r="F114" s="188">
        <f>'CUMPLIMIENTO '!G114</f>
        <v>0.31751547831253712</v>
      </c>
      <c r="G114" s="188">
        <f>'CUMPLIMIENTO '!H114</f>
        <v>0.37496305418719206</v>
      </c>
    </row>
    <row r="115" spans="1:7" ht="31.5" hidden="1" x14ac:dyDescent="0.25">
      <c r="A115" s="202" t="str">
        <f>'CUMPLIMIENTO '!A115</f>
        <v>LINEA</v>
      </c>
      <c r="B115" s="203" t="str">
        <f>'CUMPLIMIENTO '!B115</f>
        <v>5.1</v>
      </c>
      <c r="C115" s="221" t="str">
        <f>'CUMPLIMIENTO '!C115</f>
        <v>BOLÍVAR AL CAMPO: PLAN DE ATENCIÓN RURAL INTEGRAL Y PRIORITARIA - PARIP</v>
      </c>
      <c r="D115" s="216">
        <f>'CUMPLIMIENTO '!D115</f>
        <v>34</v>
      </c>
      <c r="E115" s="216">
        <f>'CUMPLIMIENTO '!E115</f>
        <v>11</v>
      </c>
      <c r="F115" s="217">
        <f>'CUMPLIMIENTO '!G115</f>
        <v>0.31751547831253712</v>
      </c>
      <c r="G115" s="218">
        <f>'CUMPLIMIENTO '!H115</f>
        <v>0.37496305418719206</v>
      </c>
    </row>
    <row r="116" spans="1:7" ht="15.75" hidden="1" x14ac:dyDescent="0.25">
      <c r="A116" s="286" t="str">
        <f>'CUMPLIMIENTO '!A116</f>
        <v>PROGRAMA</v>
      </c>
      <c r="B116" s="287" t="str">
        <f>'CUMPLIMIENTO '!B116</f>
        <v>5.1.1</v>
      </c>
      <c r="C116" s="288" t="str">
        <f>'CUMPLIMIENTO '!C116</f>
        <v xml:space="preserve">Bolívar garantiza derechos sociales en el campo.  </v>
      </c>
      <c r="D116" s="289">
        <f>'CUMPLIMIENTO '!D116</f>
        <v>9</v>
      </c>
      <c r="E116" s="289" t="str">
        <f>'CUMPLIMIENTO '!E116</f>
        <v>NP</v>
      </c>
      <c r="F116" s="290">
        <f>'CUMPLIMIENTO '!G116</f>
        <v>1.9166666666666665E-2</v>
      </c>
      <c r="G116" s="290">
        <f>'CUMPLIMIENTO '!H116</f>
        <v>0.12023809523809523</v>
      </c>
    </row>
    <row r="117" spans="1:7" ht="15.75" hidden="1" x14ac:dyDescent="0.25">
      <c r="A117" s="198" t="str">
        <f>'CUMPLIMIENTO '!A117</f>
        <v>PROGRAMA</v>
      </c>
      <c r="B117" s="106" t="str">
        <f>'CUMPLIMIENTO '!B117</f>
        <v>5.1.2</v>
      </c>
      <c r="C117" s="111" t="str">
        <f>'CUMPLIMIENTO '!C117</f>
        <v>Bolívar Educa en el campo</v>
      </c>
      <c r="D117" s="199">
        <f>'CUMPLIMIENTO '!D117</f>
        <v>4</v>
      </c>
      <c r="E117" s="199" t="str">
        <f>'CUMPLIMIENTO '!E117</f>
        <v>NP</v>
      </c>
      <c r="F117" s="61">
        <f>'CUMPLIMIENTO '!G117</f>
        <v>0.36909090909090914</v>
      </c>
      <c r="G117" s="61">
        <f>'CUMPLIMIENTO '!H117</f>
        <v>0.69620689655172407</v>
      </c>
    </row>
    <row r="118" spans="1:7" ht="15.75" x14ac:dyDescent="0.25">
      <c r="A118" s="286" t="str">
        <f>'CUMPLIMIENTO '!A118</f>
        <v>PROGRAMA</v>
      </c>
      <c r="B118" s="287" t="str">
        <f>'CUMPLIMIENTO '!B118</f>
        <v>5.1.3</v>
      </c>
      <c r="C118" s="288" t="str">
        <f>'CUMPLIMIENTO '!C118</f>
        <v>Bolívar lleva Servicios Públicos al campo.</v>
      </c>
      <c r="D118" s="289">
        <f>'CUMPLIMIENTO '!D118</f>
        <v>3</v>
      </c>
      <c r="E118" s="289">
        <f>'CUMPLIMIENTO '!E118</f>
        <v>1</v>
      </c>
      <c r="F118" s="290">
        <f>'CUMPLIMIENTO '!G118</f>
        <v>0.48</v>
      </c>
      <c r="G118" s="290">
        <f>'CUMPLIMIENTO '!H118</f>
        <v>0.375</v>
      </c>
    </row>
    <row r="119" spans="1:7" ht="15.75" x14ac:dyDescent="0.25">
      <c r="A119" s="198" t="str">
        <f>'CUMPLIMIENTO '!A119</f>
        <v>PROGRAMA</v>
      </c>
      <c r="B119" s="106" t="str">
        <f>'CUMPLIMIENTO '!B119</f>
        <v>5.1.4</v>
      </c>
      <c r="C119" s="111" t="str">
        <f>'CUMPLIMIENTO '!C119</f>
        <v xml:space="preserve">Ingreso, trabajo y productividad en el campo. </v>
      </c>
      <c r="D119" s="199">
        <f>'CUMPLIMIENTO '!D119</f>
        <v>10</v>
      </c>
      <c r="E119" s="199">
        <f>'CUMPLIMIENTO '!E119</f>
        <v>7</v>
      </c>
      <c r="F119" s="61">
        <f>'CUMPLIMIENTO '!G119</f>
        <v>0.28860000000000002</v>
      </c>
      <c r="G119" s="61">
        <f>'CUMPLIMIENTO '!H119</f>
        <v>5.5555555555555552E-2</v>
      </c>
    </row>
    <row r="120" spans="1:7" ht="15.75" x14ac:dyDescent="0.25">
      <c r="A120" s="286" t="str">
        <f>'CUMPLIMIENTO '!A120</f>
        <v>PROGRAMA</v>
      </c>
      <c r="B120" s="287" t="str">
        <f>'CUMPLIMIENTO '!B120</f>
        <v>5.1.5</v>
      </c>
      <c r="C120" s="288" t="str">
        <f>'CUMPLIMIENTO '!C120</f>
        <v>Infraestructura rural.</v>
      </c>
      <c r="D120" s="289">
        <f>'CUMPLIMIENTO '!D120</f>
        <v>2</v>
      </c>
      <c r="E120" s="289">
        <f>'CUMPLIMIENTO '!E120</f>
        <v>2</v>
      </c>
      <c r="F120" s="290">
        <f>'CUMPLIMIENTO '!G120</f>
        <v>0.71323529411764697</v>
      </c>
      <c r="G120" s="290">
        <f>'CUMPLIMIENTO '!H120</f>
        <v>0.85</v>
      </c>
    </row>
    <row r="121" spans="1:7" ht="15.75" x14ac:dyDescent="0.25">
      <c r="A121" s="198" t="str">
        <f>'CUMPLIMIENTO '!A121</f>
        <v>PROGRAMA</v>
      </c>
      <c r="B121" s="106" t="str">
        <f>'CUMPLIMIENTO '!B121</f>
        <v>5.1.6</v>
      </c>
      <c r="C121" s="111" t="str">
        <f>'CUMPLIMIENTO '!C121</f>
        <v>Cultura, deporte y recreación en el campo.</v>
      </c>
      <c r="D121" s="199">
        <f>'CUMPLIMIENTO '!D121</f>
        <v>6</v>
      </c>
      <c r="E121" s="199">
        <f>'CUMPLIMIENTO '!E121</f>
        <v>1</v>
      </c>
      <c r="F121" s="61">
        <f>'CUMPLIMIENTO '!G121</f>
        <v>3.5000000000000003E-2</v>
      </c>
      <c r="G121" s="61">
        <f>'CUMPLIMIENTO '!H121</f>
        <v>0.15277777777777776</v>
      </c>
    </row>
    <row r="122" spans="1:7" ht="18.75" hidden="1" x14ac:dyDescent="0.25">
      <c r="A122" s="230" t="str">
        <f>'CUMPLIMIENTO '!A122</f>
        <v>EJE ESTRATEGICO</v>
      </c>
      <c r="B122" s="229">
        <f>'CUMPLIMIENTO '!B122</f>
        <v>6</v>
      </c>
      <c r="C122" s="230" t="str">
        <f>'CUMPLIMIENTO '!C122</f>
        <v>GRUPOS POBLACIONALES</v>
      </c>
      <c r="D122" s="231">
        <f>'CUMPLIMIENTO '!D122</f>
        <v>128</v>
      </c>
      <c r="E122" s="231">
        <f>'CUMPLIMIENTO '!E122</f>
        <v>83</v>
      </c>
      <c r="F122" s="232">
        <f>'CUMPLIMIENTO '!G122</f>
        <v>0.29743627103134557</v>
      </c>
      <c r="G122" s="232">
        <f>'CUMPLIMIENTO '!H122</f>
        <v>0.18931768927175735</v>
      </c>
    </row>
    <row r="123" spans="1:7" ht="31.5" hidden="1" x14ac:dyDescent="0.25">
      <c r="A123" s="202" t="str">
        <f>'CUMPLIMIENTO '!A123</f>
        <v>LINEA</v>
      </c>
      <c r="B123" s="203" t="str">
        <f>'CUMPLIMIENTO '!B123</f>
        <v>6.1</v>
      </c>
      <c r="C123" s="221" t="str">
        <f>'CUMPLIMIENTO '!C123</f>
        <v xml:space="preserve">CAPITULO ATENCIÓN A VÍCTIMAS, CONSTRUCCIÓN DE PAZ Y RECONCILIACIÓN </v>
      </c>
      <c r="D123" s="216">
        <f>'CUMPLIMIENTO '!D123</f>
        <v>52</v>
      </c>
      <c r="E123" s="216">
        <f>'CUMPLIMIENTO '!E123</f>
        <v>38</v>
      </c>
      <c r="F123" s="217">
        <f>'CUMPLIMIENTO '!G123</f>
        <v>0.22420701145984015</v>
      </c>
      <c r="G123" s="218">
        <f>'CUMPLIMIENTO '!H123</f>
        <v>0.27793974732750243</v>
      </c>
    </row>
    <row r="124" spans="1:7" ht="15.75" hidden="1" x14ac:dyDescent="0.25">
      <c r="A124" s="198" t="str">
        <f>'CUMPLIMIENTO '!A124</f>
        <v>PROGRAMA</v>
      </c>
      <c r="B124" s="106" t="str">
        <f>'CUMPLIMIENTO '!B124</f>
        <v>6.1.1</v>
      </c>
      <c r="C124" s="111" t="str">
        <f>'CUMPLIMIENTO '!C124</f>
        <v>Atención y Asistencia</v>
      </c>
      <c r="D124" s="199">
        <f>'CUMPLIMIENTO '!D124</f>
        <v>16</v>
      </c>
      <c r="E124" s="199">
        <f>'CUMPLIMIENTO '!E124</f>
        <v>9</v>
      </c>
      <c r="F124" s="61">
        <f>'CUMPLIMIENTO '!G124</f>
        <v>0.25437813283208016</v>
      </c>
      <c r="G124" s="61">
        <f>'CUMPLIMIENTO '!H124</f>
        <v>0.29777777777777775</v>
      </c>
    </row>
    <row r="125" spans="1:7" ht="15.75" hidden="1" x14ac:dyDescent="0.25">
      <c r="A125" s="198" t="str">
        <f>'CUMPLIMIENTO '!A125</f>
        <v>PROGRAMA</v>
      </c>
      <c r="B125" s="106" t="str">
        <f>'CUMPLIMIENTO '!B125</f>
        <v>6.1.2</v>
      </c>
      <c r="C125" s="111" t="str">
        <f>'CUMPLIMIENTO '!C125</f>
        <v>Prevención y Protección</v>
      </c>
      <c r="D125" s="199">
        <f>'CUMPLIMIENTO '!D125</f>
        <v>5</v>
      </c>
      <c r="E125" s="199">
        <f>'CUMPLIMIENTO '!E125</f>
        <v>5</v>
      </c>
      <c r="F125" s="61">
        <f>'CUMPLIMIENTO '!G125</f>
        <v>0.16250000000000001</v>
      </c>
      <c r="G125" s="61">
        <f>'CUMPLIMIENTO '!H125</f>
        <v>0.2</v>
      </c>
    </row>
    <row r="126" spans="1:7" ht="15.75" hidden="1" x14ac:dyDescent="0.25">
      <c r="A126" s="198" t="str">
        <f>'CUMPLIMIENTO '!A126</f>
        <v>PROGRAMA</v>
      </c>
      <c r="B126" s="106" t="str">
        <f>'CUMPLIMIENTO '!B126</f>
        <v xml:space="preserve">6.1.3 </v>
      </c>
      <c r="C126" s="111" t="str">
        <f>'CUMPLIMIENTO '!C126</f>
        <v xml:space="preserve">Reparación Colectiva, retornos y reubicaciones </v>
      </c>
      <c r="D126" s="199">
        <f>'CUMPLIMIENTO '!D126</f>
        <v>3</v>
      </c>
      <c r="E126" s="199">
        <f>'CUMPLIMIENTO '!E126</f>
        <v>3</v>
      </c>
      <c r="F126" s="61">
        <f>'CUMPLIMIENTO '!G126</f>
        <v>0.16250000000000001</v>
      </c>
      <c r="G126" s="61">
        <f>'CUMPLIMIENTO '!H126</f>
        <v>0.12222222222222223</v>
      </c>
    </row>
    <row r="127" spans="1:7" ht="15.75" hidden="1" x14ac:dyDescent="0.25">
      <c r="A127" s="198" t="str">
        <f>'CUMPLIMIENTO '!A127</f>
        <v>PROGRAMA</v>
      </c>
      <c r="B127" s="106" t="str">
        <f>'CUMPLIMIENTO '!B127</f>
        <v xml:space="preserve">6.1.4 </v>
      </c>
      <c r="C127" s="111" t="str">
        <f>'CUMPLIMIENTO '!C127</f>
        <v>Participación efectiva</v>
      </c>
      <c r="D127" s="199">
        <f>'CUMPLIMIENTO '!D127</f>
        <v>5</v>
      </c>
      <c r="E127" s="199">
        <f>'CUMPLIMIENTO '!E127</f>
        <v>4</v>
      </c>
      <c r="F127" s="61">
        <f>'CUMPLIMIENTO '!G127</f>
        <v>0.10482336956521739</v>
      </c>
      <c r="G127" s="61">
        <f>'CUMPLIMIENTO '!H127</f>
        <v>0.10500000000000001</v>
      </c>
    </row>
    <row r="128" spans="1:7" ht="15.75" hidden="1" x14ac:dyDescent="0.25">
      <c r="A128" s="198" t="str">
        <f>'CUMPLIMIENTO '!A128</f>
        <v>PROGRAMA</v>
      </c>
      <c r="B128" s="106" t="str">
        <f>'CUMPLIMIENTO '!B128</f>
        <v xml:space="preserve">6.1.5 </v>
      </c>
      <c r="C128" s="111" t="str">
        <f>'CUMPLIMIENTO '!C128</f>
        <v xml:space="preserve">Fortalecimiento para la Gestión institucional y Sistemas de Información </v>
      </c>
      <c r="D128" s="199">
        <f>'CUMPLIMIENTO '!D128</f>
        <v>11</v>
      </c>
      <c r="E128" s="199">
        <f>'CUMPLIMIENTO '!E128</f>
        <v>10</v>
      </c>
      <c r="F128" s="61">
        <f>'CUMPLIMIENTO '!G128</f>
        <v>0.35759313766714318</v>
      </c>
      <c r="G128" s="61">
        <f>'CUMPLIMIENTO '!H128</f>
        <v>0.21224489795918369</v>
      </c>
    </row>
    <row r="129" spans="1:11" ht="15.75" hidden="1" x14ac:dyDescent="0.25">
      <c r="A129" s="198" t="str">
        <f>'CUMPLIMIENTO '!A129</f>
        <v>PROGRAMA</v>
      </c>
      <c r="B129" s="106" t="str">
        <f>'CUMPLIMIENTO '!B129</f>
        <v>6.1.6</v>
      </c>
      <c r="C129" s="111" t="str">
        <f>'CUMPLIMIENTO '!C129</f>
        <v>Restitución de tierras</v>
      </c>
      <c r="D129" s="199">
        <f>'CUMPLIMIENTO '!D129</f>
        <v>4</v>
      </c>
      <c r="E129" s="199">
        <f>'CUMPLIMIENTO '!E129</f>
        <v>4</v>
      </c>
      <c r="F129" s="61">
        <f>'CUMPLIMIENTO '!G129</f>
        <v>0.38063063063063063</v>
      </c>
      <c r="G129" s="61">
        <f>'CUMPLIMIENTO '!H129</f>
        <v>0.8</v>
      </c>
    </row>
    <row r="130" spans="1:11" ht="30" hidden="1" x14ac:dyDescent="0.25">
      <c r="A130" s="198" t="str">
        <f>'CUMPLIMIENTO '!A130</f>
        <v>PROGRAMA</v>
      </c>
      <c r="B130" s="106" t="str">
        <f>'CUMPLIMIENTO '!B130</f>
        <v>6.1.7</v>
      </c>
      <c r="C130" s="111" t="str">
        <f>'CUMPLIMIENTO '!C130</f>
        <v>Programa: Inclusión y reincorporación comunitaria para la consolidación de la paz</v>
      </c>
      <c r="D130" s="199">
        <f>'CUMPLIMIENTO '!D130</f>
        <v>8</v>
      </c>
      <c r="E130" s="199">
        <f>'CUMPLIMIENTO '!E130</f>
        <v>3</v>
      </c>
      <c r="F130" s="61">
        <f>'CUMPLIMIENTO '!G130</f>
        <v>0.14702380952380953</v>
      </c>
      <c r="G130" s="61">
        <f>'CUMPLIMIENTO '!H130</f>
        <v>0.20833333333333331</v>
      </c>
    </row>
    <row r="131" spans="1:11" ht="15.75" hidden="1" x14ac:dyDescent="0.25">
      <c r="A131" s="202" t="str">
        <f>'CUMPLIMIENTO '!A131</f>
        <v>LINEA</v>
      </c>
      <c r="B131" s="203" t="str">
        <f>'CUMPLIMIENTO '!B131</f>
        <v>6.2</v>
      </c>
      <c r="C131" s="202" t="str">
        <f>'CUMPLIMIENTO '!C131</f>
        <v>CAPITULO DE MINORÍAS ÉTNICAS.</v>
      </c>
      <c r="D131" s="216">
        <f>'CUMPLIMIENTO '!D131</f>
        <v>37</v>
      </c>
      <c r="E131" s="216">
        <f>'CUMPLIMIENTO '!E131</f>
        <v>10</v>
      </c>
      <c r="F131" s="217">
        <f>'CUMPLIMIENTO '!G131</f>
        <v>0.12273065476190476</v>
      </c>
      <c r="G131" s="218">
        <f>'CUMPLIMIENTO '!H131</f>
        <v>0.12968749999999998</v>
      </c>
    </row>
    <row r="132" spans="1:11" ht="15.75" hidden="1" x14ac:dyDescent="0.25">
      <c r="A132" s="198" t="str">
        <f>'CUMPLIMIENTO '!A132</f>
        <v>PROGRAMA</v>
      </c>
      <c r="B132" s="106" t="str">
        <f>'CUMPLIMIENTO '!B132</f>
        <v>6.2.1</v>
      </c>
      <c r="C132" s="111" t="str">
        <f>'CUMPLIMIENTO '!C132</f>
        <v xml:space="preserve">Fortalecimiento de los procesos organizacionales de la población NARP. </v>
      </c>
      <c r="D132" s="199">
        <f>'CUMPLIMIENTO '!D132</f>
        <v>4</v>
      </c>
      <c r="E132" s="199">
        <f>'CUMPLIMIENTO '!E132</f>
        <v>4</v>
      </c>
      <c r="F132" s="61">
        <f>'CUMPLIMIENTO '!G132</f>
        <v>0.453125</v>
      </c>
      <c r="G132" s="61">
        <f>'CUMPLIMIENTO '!H132</f>
        <v>0.4375</v>
      </c>
    </row>
    <row r="133" spans="1:11" ht="30" hidden="1" x14ac:dyDescent="0.25">
      <c r="A133" s="198" t="str">
        <f>'CUMPLIMIENTO '!A133</f>
        <v>PROGRAMA</v>
      </c>
      <c r="B133" s="106" t="str">
        <f>'CUMPLIMIENTO '!B133</f>
        <v>6.2.2</v>
      </c>
      <c r="C133" s="111" t="str">
        <f>'CUMPLIMIENTO '!C133</f>
        <v>Mujer y género en población negra, afrocolombiana, raizal, palenquera, indígena y rom</v>
      </c>
      <c r="D133" s="199">
        <f>'CUMPLIMIENTO '!D133</f>
        <v>4</v>
      </c>
      <c r="E133" s="199">
        <f>'CUMPLIMIENTO '!E133</f>
        <v>2</v>
      </c>
      <c r="F133" s="61">
        <f>'CUMPLIMIENTO '!G133</f>
        <v>4.0625000000000001E-2</v>
      </c>
      <c r="G133" s="61">
        <f>'CUMPLIMIENTO '!H133</f>
        <v>0.1</v>
      </c>
    </row>
    <row r="134" spans="1:11" ht="15.75" hidden="1" x14ac:dyDescent="0.25">
      <c r="A134" s="198" t="str">
        <f>'CUMPLIMIENTO '!A134</f>
        <v>PROGRAMA</v>
      </c>
      <c r="B134" s="106" t="str">
        <f>'CUMPLIMIENTO '!B134</f>
        <v>6.2.3</v>
      </c>
      <c r="C134" s="111" t="str">
        <f>'CUMPLIMIENTO '!C134</f>
        <v>Arte, cultura y patrimonio</v>
      </c>
      <c r="D134" s="199">
        <f>'CUMPLIMIENTO '!D134</f>
        <v>7</v>
      </c>
      <c r="E134" s="199" t="str">
        <f>'CUMPLIMIENTO '!E134</f>
        <v>NP</v>
      </c>
      <c r="F134" s="61">
        <f>'CUMPLIMIENTO '!G134</f>
        <v>0</v>
      </c>
      <c r="G134" s="61">
        <f>'CUMPLIMIENTO '!H134</f>
        <v>0</v>
      </c>
    </row>
    <row r="135" spans="1:11" ht="15.75" hidden="1" x14ac:dyDescent="0.25">
      <c r="A135" s="198" t="str">
        <f>'CUMPLIMIENTO '!A135</f>
        <v>PROGRAMA</v>
      </c>
      <c r="B135" s="106" t="str">
        <f>'CUMPLIMIENTO '!B135</f>
        <v>6,2,4</v>
      </c>
      <c r="C135" s="111" t="str">
        <f>'CUMPLIMIENTO '!C135</f>
        <v>Recreación y deporte.</v>
      </c>
      <c r="D135" s="199">
        <f>'CUMPLIMIENTO '!D135</f>
        <v>1</v>
      </c>
      <c r="E135" s="199" t="str">
        <f>'CUMPLIMIENTO '!E135</f>
        <v>NP</v>
      </c>
      <c r="F135" s="61">
        <f>'CUMPLIMIENTO '!G135</f>
        <v>0</v>
      </c>
      <c r="G135" s="61">
        <f>'CUMPLIMIENTO '!H135</f>
        <v>0</v>
      </c>
    </row>
    <row r="136" spans="1:11" ht="15.75" hidden="1" x14ac:dyDescent="0.25">
      <c r="A136" s="198" t="str">
        <f>'CUMPLIMIENTO '!A136</f>
        <v>PROGRAMA</v>
      </c>
      <c r="B136" s="106" t="str">
        <f>'CUMPLIMIENTO '!B136</f>
        <v>6,2,5</v>
      </c>
      <c r="C136" s="111" t="str">
        <f>'CUMPLIMIENTO '!C136</f>
        <v>Desarrollo económico</v>
      </c>
      <c r="D136" s="199">
        <f>'CUMPLIMIENTO '!D136</f>
        <v>7</v>
      </c>
      <c r="E136" s="199">
        <f>'CUMPLIMIENTO '!E136</f>
        <v>1</v>
      </c>
      <c r="F136" s="61">
        <f>'CUMPLIMIENTO '!G136</f>
        <v>7.1428571428571425E-2</v>
      </c>
      <c r="G136" s="61">
        <f>'CUMPLIMIENTO '!H136</f>
        <v>0.16666666666666666</v>
      </c>
    </row>
    <row r="137" spans="1:11" ht="15.75" hidden="1" x14ac:dyDescent="0.25">
      <c r="A137" s="198" t="str">
        <f>'CUMPLIMIENTO '!A137</f>
        <v>PROGRAMA</v>
      </c>
      <c r="B137" s="106" t="str">
        <f>'CUMPLIMIENTO '!B137</f>
        <v>6.2.6</v>
      </c>
      <c r="C137" s="111" t="str">
        <f>'CUMPLIMIENTO '!C137</f>
        <v>Educación</v>
      </c>
      <c r="D137" s="199">
        <f>'CUMPLIMIENTO '!D137</f>
        <v>6</v>
      </c>
      <c r="E137" s="199" t="str">
        <f>'CUMPLIMIENTO '!E137</f>
        <v>NP</v>
      </c>
      <c r="F137" s="61">
        <f>'CUMPLIMIENTO '!G137</f>
        <v>0</v>
      </c>
      <c r="G137" s="61">
        <f>'CUMPLIMIENTO '!H137</f>
        <v>0</v>
      </c>
    </row>
    <row r="138" spans="1:11" ht="15.75" hidden="1" x14ac:dyDescent="0.25">
      <c r="A138" s="198" t="str">
        <f>'CUMPLIMIENTO '!A138</f>
        <v>PROGRAMA</v>
      </c>
      <c r="B138" s="106" t="str">
        <f>'CUMPLIMIENTO '!B138</f>
        <v>6.2.7</v>
      </c>
      <c r="C138" s="111" t="str">
        <f>'CUMPLIMIENTO '!C138</f>
        <v>Derechos Humanos</v>
      </c>
      <c r="D138" s="199">
        <f>'CUMPLIMIENTO '!D138</f>
        <v>3</v>
      </c>
      <c r="E138" s="199">
        <f>'CUMPLIMIENTO '!E138</f>
        <v>1</v>
      </c>
      <c r="F138" s="61">
        <f>'CUMPLIMIENTO '!G138</f>
        <v>0.16666666666666666</v>
      </c>
      <c r="G138" s="61">
        <f>'CUMPLIMIENTO '!H138</f>
        <v>0</v>
      </c>
    </row>
    <row r="139" spans="1:11" ht="15.75" hidden="1" x14ac:dyDescent="0.25">
      <c r="A139" s="198" t="str">
        <f>'CUMPLIMIENTO '!A139</f>
        <v>PROGRAMA</v>
      </c>
      <c r="B139" s="106" t="str">
        <f>'CUMPLIMIENTO '!B139</f>
        <v>6.2.8</v>
      </c>
      <c r="C139" s="111" t="str">
        <f>'CUMPLIMIENTO '!C139</f>
        <v>Atención a población indígena.</v>
      </c>
      <c r="D139" s="199">
        <f>'CUMPLIMIENTO '!D139</f>
        <v>5</v>
      </c>
      <c r="E139" s="199">
        <f>'CUMPLIMIENTO '!E139</f>
        <v>2</v>
      </c>
      <c r="F139" s="61">
        <f>'CUMPLIMIENTO '!G139</f>
        <v>0.25</v>
      </c>
      <c r="G139" s="61">
        <f>'CUMPLIMIENTO '!H139</f>
        <v>0.33333333333333331</v>
      </c>
      <c r="H139" s="62"/>
    </row>
    <row r="140" spans="1:11" ht="31.5" hidden="1" x14ac:dyDescent="0.25">
      <c r="A140" s="202" t="str">
        <f>'CUMPLIMIENTO '!A140</f>
        <v>LINEA</v>
      </c>
      <c r="B140" s="203" t="str">
        <f>'CUMPLIMIENTO '!B140</f>
        <v>6.3</v>
      </c>
      <c r="C140" s="221" t="str">
        <f>'CUMPLIMIENTO '!C140</f>
        <v>CAPITULO NIÑOS Y NIÑAS EN SU PRIMERA INFANCIA, INFANCIA Y ADOLESCENCIA.</v>
      </c>
      <c r="D140" s="216">
        <f>'CUMPLIMIENTO '!D140</f>
        <v>9</v>
      </c>
      <c r="E140" s="216">
        <f>'CUMPLIMIENTO '!E140</f>
        <v>7</v>
      </c>
      <c r="F140" s="217">
        <f>'CUMPLIMIENTO '!G140</f>
        <v>0.53456790123456799</v>
      </c>
      <c r="G140" s="218">
        <f>'CUMPLIMIENTO '!H140</f>
        <v>0.25</v>
      </c>
    </row>
    <row r="141" spans="1:11" ht="15.75" hidden="1" x14ac:dyDescent="0.25">
      <c r="A141" s="198" t="str">
        <f>'CUMPLIMIENTO '!A141</f>
        <v>PROGRAMA</v>
      </c>
      <c r="B141" s="106" t="str">
        <f>'CUMPLIMIENTO '!B141</f>
        <v>6.3.1</v>
      </c>
      <c r="C141" s="111" t="str">
        <f>'CUMPLIMIENTO '!C141</f>
        <v>Niños y niñas en su primera infancia, infancia y adolescencia</v>
      </c>
      <c r="D141" s="199">
        <f>'CUMPLIMIENTO '!D141</f>
        <v>9</v>
      </c>
      <c r="E141" s="199">
        <f>'CUMPLIMIENTO '!E141</f>
        <v>7</v>
      </c>
      <c r="F141" s="61">
        <f>'CUMPLIMIENTO '!G141</f>
        <v>0.53456790123456799</v>
      </c>
      <c r="G141" s="61">
        <f>'CUMPLIMIENTO '!H141</f>
        <v>0.25</v>
      </c>
    </row>
    <row r="142" spans="1:11" ht="15.75" hidden="1" x14ac:dyDescent="0.25">
      <c r="A142" s="202" t="str">
        <f>'CUMPLIMIENTO '!A142</f>
        <v>LINEA</v>
      </c>
      <c r="B142" s="203" t="str">
        <f>'CUMPLIMIENTO '!B142</f>
        <v>6.4</v>
      </c>
      <c r="C142" s="202" t="str">
        <f>'CUMPLIMIENTO '!C142</f>
        <v>JUVENTUD</v>
      </c>
      <c r="D142" s="216">
        <f>'CUMPLIMIENTO '!D142</f>
        <v>4</v>
      </c>
      <c r="E142" s="216">
        <f>'CUMPLIMIENTO '!E142</f>
        <v>4</v>
      </c>
      <c r="F142" s="217">
        <f>'CUMPLIMIENTO '!G142</f>
        <v>0.44374999999999998</v>
      </c>
      <c r="G142" s="218">
        <f>'CUMPLIMIENTO '!H142</f>
        <v>0.35638297872340424</v>
      </c>
      <c r="J142" s="77"/>
      <c r="K142" s="77"/>
    </row>
    <row r="143" spans="1:11" ht="15.75" hidden="1" x14ac:dyDescent="0.25">
      <c r="A143" s="198" t="str">
        <f>'CUMPLIMIENTO '!A143</f>
        <v>PROGRAMA</v>
      </c>
      <c r="B143" s="106" t="str">
        <f>'CUMPLIMIENTO '!B143</f>
        <v>6.4.1</v>
      </c>
      <c r="C143" s="111" t="str">
        <f>'CUMPLIMIENTO '!C143</f>
        <v>Juventud</v>
      </c>
      <c r="D143" s="199">
        <f>'CUMPLIMIENTO '!D143</f>
        <v>4</v>
      </c>
      <c r="E143" s="199">
        <f>'CUMPLIMIENTO '!E143</f>
        <v>4</v>
      </c>
      <c r="F143" s="61">
        <f>'CUMPLIMIENTO '!G143</f>
        <v>0.44374999999999998</v>
      </c>
      <c r="G143" s="61">
        <f>'CUMPLIMIENTO '!H143</f>
        <v>0.35638297872340424</v>
      </c>
      <c r="J143" s="77"/>
      <c r="K143" s="77"/>
    </row>
    <row r="144" spans="1:11" ht="30" hidden="1" x14ac:dyDescent="0.25">
      <c r="A144" s="202" t="str">
        <f>'CUMPLIMIENTO '!A144</f>
        <v>LINEA</v>
      </c>
      <c r="B144" s="203" t="str">
        <f>'CUMPLIMIENTO '!B144</f>
        <v>6.5</v>
      </c>
      <c r="C144" s="213" t="str">
        <f>'CUMPLIMIENTO '!C144</f>
        <v xml:space="preserve">BOLÍVAR GARANTIZA DERECHOS Y CUBRE LAS NECESIDADES DE ENVEJECIMIENTO Y VEJEZ. </v>
      </c>
      <c r="D144" s="216">
        <f>'CUMPLIMIENTO '!D144</f>
        <v>7</v>
      </c>
      <c r="E144" s="216">
        <f>'CUMPLIMIENTO '!E144</f>
        <v>6</v>
      </c>
      <c r="F144" s="217">
        <f>'CUMPLIMIENTO '!G144</f>
        <v>0.38174603174603178</v>
      </c>
      <c r="G144" s="218">
        <f>'CUMPLIMIENTO '!H144</f>
        <v>0</v>
      </c>
      <c r="J144" s="77"/>
      <c r="K144" s="77"/>
    </row>
    <row r="145" spans="1:11" ht="30" hidden="1" x14ac:dyDescent="0.25">
      <c r="A145" s="198" t="str">
        <f>'CUMPLIMIENTO '!A145</f>
        <v>PROGRAMA</v>
      </c>
      <c r="B145" s="106" t="str">
        <f>'CUMPLIMIENTO '!B145</f>
        <v>6.5.1</v>
      </c>
      <c r="C145" s="111" t="str">
        <f>'CUMPLIMIENTO '!C145</f>
        <v>Bolívar garantiza derechos y cubre las necesidades de envejecimiento y vejez.</v>
      </c>
      <c r="D145" s="199">
        <f>'CUMPLIMIENTO '!D145</f>
        <v>7</v>
      </c>
      <c r="E145" s="199">
        <f>'CUMPLIMIENTO '!E145</f>
        <v>6</v>
      </c>
      <c r="F145" s="61">
        <f>'CUMPLIMIENTO '!G145</f>
        <v>0.38174603174603178</v>
      </c>
      <c r="G145" s="61">
        <f>'CUMPLIMIENTO '!H145</f>
        <v>0</v>
      </c>
      <c r="J145" s="77"/>
      <c r="K145" s="77"/>
    </row>
    <row r="146" spans="1:11" ht="30" hidden="1" x14ac:dyDescent="0.25">
      <c r="A146" s="202" t="str">
        <f>'CUMPLIMIENTO '!A146</f>
        <v>LINEA</v>
      </c>
      <c r="B146" s="203" t="str">
        <f>'CUMPLIMIENTO '!B146</f>
        <v>6.6</v>
      </c>
      <c r="C146" s="213" t="str">
        <f>'CUMPLIMIENTO '!C146</f>
        <v>BOLÍVAR PRIMERO GARANTIZA LA EQUIDAD DE GÉNERO Y LA AUTONOMÍA DE LA MUJER BOLIVARENSE.</v>
      </c>
      <c r="D146" s="216">
        <f>'CUMPLIMIENTO '!D146</f>
        <v>9</v>
      </c>
      <c r="E146" s="216">
        <f>'CUMPLIMIENTO '!E146</f>
        <v>8</v>
      </c>
      <c r="F146" s="217">
        <f>'CUMPLIMIENTO '!G146</f>
        <v>0.44444444444444442</v>
      </c>
      <c r="G146" s="218">
        <f>'CUMPLIMIENTO '!H146</f>
        <v>0.25</v>
      </c>
      <c r="J146" s="77"/>
      <c r="K146" s="77"/>
    </row>
    <row r="147" spans="1:11" ht="15.75" hidden="1" x14ac:dyDescent="0.25">
      <c r="A147" s="198" t="str">
        <f>'CUMPLIMIENTO '!A147</f>
        <v>PROGRAMA</v>
      </c>
      <c r="B147" s="106" t="str">
        <f>'CUMPLIMIENTO '!B147</f>
        <v>6.6.1</v>
      </c>
      <c r="C147" s="111" t="str">
        <f>'CUMPLIMIENTO '!C147</f>
        <v>Mujer Bolivarense</v>
      </c>
      <c r="D147" s="199">
        <f>'CUMPLIMIENTO '!D147</f>
        <v>9</v>
      </c>
      <c r="E147" s="199">
        <f>'CUMPLIMIENTO '!E147</f>
        <v>8</v>
      </c>
      <c r="F147" s="61">
        <f>'CUMPLIMIENTO '!G147</f>
        <v>0.44444444444444442</v>
      </c>
      <c r="G147" s="61">
        <f>'CUMPLIMIENTO '!H147</f>
        <v>0.25</v>
      </c>
      <c r="J147" s="77"/>
      <c r="K147" s="77"/>
    </row>
    <row r="148" spans="1:11" ht="15.75" hidden="1" x14ac:dyDescent="0.25">
      <c r="A148" s="202" t="str">
        <f>'CUMPLIMIENTO '!A148</f>
        <v>LINEA</v>
      </c>
      <c r="B148" s="203" t="str">
        <f>'CUMPLIMIENTO '!B148</f>
        <v>6.7</v>
      </c>
      <c r="C148" s="202" t="str">
        <f>'CUMPLIMIENTO '!C148</f>
        <v>CAPITULO LGTBIQ</v>
      </c>
      <c r="D148" s="216">
        <f>'CUMPLIMIENTO '!D148</f>
        <v>4</v>
      </c>
      <c r="E148" s="216">
        <f>'CUMPLIMIENTO '!E148</f>
        <v>4</v>
      </c>
      <c r="F148" s="217">
        <f>'CUMPLIMIENTO '!G148</f>
        <v>0.47291666666666665</v>
      </c>
      <c r="G148" s="218">
        <f>'CUMPLIMIENTO '!H148</f>
        <v>0.14583333333333331</v>
      </c>
      <c r="J148" s="150"/>
      <c r="K148" s="150"/>
    </row>
    <row r="149" spans="1:11" ht="15.75" hidden="1" x14ac:dyDescent="0.25">
      <c r="A149" s="198" t="str">
        <f>'CUMPLIMIENTO '!A149</f>
        <v>PROGRAMA</v>
      </c>
      <c r="B149" s="106" t="str">
        <f>'CUMPLIMIENTO '!B149</f>
        <v>6.7.1</v>
      </c>
      <c r="C149" s="111" t="str">
        <f>'CUMPLIMIENTO '!C149</f>
        <v>LGTBIQ</v>
      </c>
      <c r="D149" s="199">
        <f>'CUMPLIMIENTO '!D149</f>
        <v>4</v>
      </c>
      <c r="E149" s="199">
        <f>'CUMPLIMIENTO '!E149</f>
        <v>4</v>
      </c>
      <c r="F149" s="61">
        <f>'CUMPLIMIENTO '!G149</f>
        <v>0.47291666666666665</v>
      </c>
      <c r="G149" s="61">
        <f>'CUMPLIMIENTO '!H149</f>
        <v>0.14583333333333331</v>
      </c>
    </row>
    <row r="150" spans="1:11" ht="15.75" hidden="1" x14ac:dyDescent="0.25">
      <c r="A150" s="202" t="str">
        <f>'CUMPLIMIENTO '!A150</f>
        <v>LINEA</v>
      </c>
      <c r="B150" s="203" t="str">
        <f>'CUMPLIMIENTO '!B150</f>
        <v>6.8</v>
      </c>
      <c r="C150" s="202" t="str">
        <f>'CUMPLIMIENTO '!C150</f>
        <v>CAPITULO POBLACIÓN EN SITUACIÓN DE DISCAPACIDAD</v>
      </c>
      <c r="D150" s="216">
        <f>'CUMPLIMIENTO '!D150</f>
        <v>2</v>
      </c>
      <c r="E150" s="216">
        <f>'CUMPLIMIENTO '!E150</f>
        <v>2</v>
      </c>
      <c r="F150" s="217">
        <f>'CUMPLIMIENTO '!G150</f>
        <v>0.2</v>
      </c>
      <c r="G150" s="218">
        <f>'CUMPLIMIENTO '!H150</f>
        <v>0.31666666666666665</v>
      </c>
    </row>
    <row r="151" spans="1:11" ht="15.75" hidden="1" x14ac:dyDescent="0.25">
      <c r="A151" s="198" t="str">
        <f>'CUMPLIMIENTO '!A151</f>
        <v>PROGRAMA</v>
      </c>
      <c r="B151" s="106" t="str">
        <f>'CUMPLIMIENTO '!B151</f>
        <v>6.8.1</v>
      </c>
      <c r="C151" s="111" t="str">
        <f>'CUMPLIMIENTO '!C151</f>
        <v>Población en situación de discapacidad</v>
      </c>
      <c r="D151" s="199">
        <f>'CUMPLIMIENTO '!D151</f>
        <v>2</v>
      </c>
      <c r="E151" s="199">
        <f>'CUMPLIMIENTO '!E151</f>
        <v>2</v>
      </c>
      <c r="F151" s="61">
        <f>'CUMPLIMIENTO '!G151</f>
        <v>0.2</v>
      </c>
      <c r="G151" s="61">
        <f>'CUMPLIMIENTO '!H151</f>
        <v>0.31666666666666665</v>
      </c>
    </row>
    <row r="152" spans="1:11" ht="15.75" hidden="1" x14ac:dyDescent="0.25">
      <c r="A152" s="202" t="str">
        <f>'CUMPLIMIENTO '!A152</f>
        <v>LINEA</v>
      </c>
      <c r="B152" s="203" t="str">
        <f>'CUMPLIMIENTO '!B152</f>
        <v>6.9</v>
      </c>
      <c r="C152" s="202" t="str">
        <f>'CUMPLIMIENTO '!C152</f>
        <v>ASUNTOS RELIGIOSOS</v>
      </c>
      <c r="D152" s="216">
        <f>'CUMPLIMIENTO '!D152</f>
        <v>2</v>
      </c>
      <c r="E152" s="216">
        <f>'CUMPLIMIENTO '!E152</f>
        <v>2</v>
      </c>
      <c r="F152" s="217">
        <f>'CUMPLIMIENTO '!G152</f>
        <v>0.15</v>
      </c>
      <c r="G152" s="218">
        <f>'CUMPLIMIENTO '!H152</f>
        <v>0.16666666666666666</v>
      </c>
    </row>
    <row r="153" spans="1:11" ht="15.75" hidden="1" x14ac:dyDescent="0.25">
      <c r="A153" s="198" t="str">
        <f>'CUMPLIMIENTO '!A153</f>
        <v>PROGRAMA</v>
      </c>
      <c r="B153" s="106" t="str">
        <f>'CUMPLIMIENTO '!B153</f>
        <v>6.9.1</v>
      </c>
      <c r="C153" s="111" t="str">
        <f>'CUMPLIMIENTO '!C153</f>
        <v>Asuntos religiosos</v>
      </c>
      <c r="D153" s="199">
        <f>'CUMPLIMIENTO '!D153</f>
        <v>2</v>
      </c>
      <c r="E153" s="199">
        <f>'CUMPLIMIENTO '!E153</f>
        <v>2</v>
      </c>
      <c r="F153" s="61">
        <f>'CUMPLIMIENTO '!G153</f>
        <v>0.15</v>
      </c>
      <c r="G153" s="61">
        <f>'CUMPLIMIENTO '!H153</f>
        <v>0.16666666666666666</v>
      </c>
    </row>
    <row r="154" spans="1:11" ht="15.75" hidden="1" x14ac:dyDescent="0.25">
      <c r="A154" s="202" t="str">
        <f>'CUMPLIMIENTO '!A154</f>
        <v>LINEA</v>
      </c>
      <c r="B154" s="203" t="str">
        <f>'CUMPLIMIENTO '!B154</f>
        <v>6.10</v>
      </c>
      <c r="C154" s="202" t="str">
        <f>'CUMPLIMIENTO '!C154</f>
        <v>SISTEMA PENITENCIARIO</v>
      </c>
      <c r="D154" s="216">
        <f>'CUMPLIMIENTO '!D154</f>
        <v>2</v>
      </c>
      <c r="E154" s="216">
        <f>'CUMPLIMIENTO '!E154</f>
        <v>2</v>
      </c>
      <c r="F154" s="217">
        <f>'CUMPLIMIENTO '!G154</f>
        <v>0</v>
      </c>
      <c r="G154" s="218">
        <f>'CUMPLIMIENTO '!H154</f>
        <v>0</v>
      </c>
    </row>
    <row r="155" spans="1:11" ht="15.75" hidden="1" x14ac:dyDescent="0.25">
      <c r="A155" s="198" t="str">
        <f>'CUMPLIMIENTO '!A155</f>
        <v>PROGRAMA</v>
      </c>
      <c r="B155" s="106" t="str">
        <f>'CUMPLIMIENTO '!B155</f>
        <v>6.10.1</v>
      </c>
      <c r="C155" s="111" t="str">
        <f>'CUMPLIMIENTO '!C155</f>
        <v>Sistema Penitenciario</v>
      </c>
      <c r="D155" s="199">
        <f>'CUMPLIMIENTO '!D155</f>
        <v>2</v>
      </c>
      <c r="E155" s="199">
        <f>'CUMPLIMIENTO '!E155</f>
        <v>2</v>
      </c>
      <c r="F155" s="61">
        <f>'CUMPLIMIENTO '!G155</f>
        <v>0</v>
      </c>
      <c r="G155" s="61">
        <f>'CUMPLIMIENTO '!H155</f>
        <v>0</v>
      </c>
    </row>
    <row r="157" spans="1:11" ht="23.25" x14ac:dyDescent="0.35">
      <c r="A157" s="625" t="str">
        <f>C114</f>
        <v>BOLÍVAR PRIMERO EN RURALIDAD</v>
      </c>
      <c r="B157" s="625"/>
      <c r="C157" s="625"/>
      <c r="D157" s="625"/>
      <c r="E157" s="625"/>
      <c r="F157" s="625"/>
      <c r="G157" s="625"/>
    </row>
    <row r="185" spans="6:8" ht="18.75" x14ac:dyDescent="0.3">
      <c r="F185" s="518"/>
      <c r="G185" s="522" t="s">
        <v>2033</v>
      </c>
      <c r="H185" s="522" t="s">
        <v>2034</v>
      </c>
    </row>
    <row r="186" spans="6:8" x14ac:dyDescent="0.25">
      <c r="F186" s="519"/>
      <c r="G186" s="523" t="s">
        <v>2035</v>
      </c>
      <c r="H186" s="517" t="s">
        <v>2037</v>
      </c>
    </row>
    <row r="187" spans="6:8" x14ac:dyDescent="0.25">
      <c r="F187" s="520"/>
      <c r="G187" s="523" t="s">
        <v>2036</v>
      </c>
      <c r="H187" s="517" t="s">
        <v>2038</v>
      </c>
    </row>
    <row r="188" spans="6:8" x14ac:dyDescent="0.25">
      <c r="F188" s="521"/>
      <c r="G188" s="523" t="s">
        <v>2040</v>
      </c>
      <c r="H188" s="517" t="s">
        <v>2039</v>
      </c>
    </row>
  </sheetData>
  <autoFilter ref="A9:G155" xr:uid="{A9C5D684-4882-4199-835C-A4262CB1F79C}">
    <filterColumn colId="1">
      <filters>
        <filter val="5"/>
        <filter val="5.1.1"/>
        <filter val="5.1.2"/>
        <filter val="5.1.3"/>
        <filter val="5.1.4"/>
        <filter val="5.1.5"/>
        <filter val="5.1.6"/>
      </filters>
    </filterColumn>
    <filterColumn colId="6">
      <filters>
        <filter val="100%"/>
        <filter val="50%"/>
        <filter val="53%"/>
        <filter val="76%"/>
      </filters>
    </filterColumn>
  </autoFilter>
  <mergeCells count="2">
    <mergeCell ref="A3:D6"/>
    <mergeCell ref="A157:G157"/>
  </mergeCells>
  <printOptions horizontalCentered="1"/>
  <pageMargins left="0.51181102362204722" right="0.51181102362204722" top="0" bottom="0" header="0.11811023622047245" footer="0.11811023622047245"/>
  <pageSetup scale="7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6CCDD-6F2F-4E26-B7FC-09BE16D0FC0D}">
  <sheetPr codeName="Hoja12" filterMode="1">
    <pageSetUpPr fitToPage="1"/>
  </sheetPr>
  <dimension ref="A3:M191"/>
  <sheetViews>
    <sheetView topLeftCell="A156" zoomScale="90" zoomScaleNormal="90" workbookViewId="0">
      <selection activeCell="M191" sqref="M191"/>
    </sheetView>
  </sheetViews>
  <sheetFormatPr baseColWidth="10" defaultRowHeight="15" x14ac:dyDescent="0.25"/>
  <cols>
    <col min="1" max="1" width="23.5703125" customWidth="1"/>
    <col min="2" max="2" width="8.28515625" style="214" customWidth="1"/>
    <col min="3" max="3" width="70.7109375" style="109" customWidth="1"/>
    <col min="4" max="7" width="14.7109375" customWidth="1"/>
    <col min="9" max="9" width="7.7109375" bestFit="1" customWidth="1"/>
  </cols>
  <sheetData>
    <row r="3" spans="1:9" x14ac:dyDescent="0.25">
      <c r="A3" s="623" t="s">
        <v>2023</v>
      </c>
      <c r="B3" s="624"/>
      <c r="C3" s="624"/>
      <c r="D3" s="624"/>
    </row>
    <row r="4" spans="1:9" x14ac:dyDescent="0.25">
      <c r="A4" s="624"/>
      <c r="B4" s="624"/>
      <c r="C4" s="624"/>
      <c r="D4" s="624"/>
    </row>
    <row r="5" spans="1:9" x14ac:dyDescent="0.25">
      <c r="A5" s="624"/>
      <c r="B5" s="624"/>
      <c r="C5" s="624"/>
      <c r="D5" s="624"/>
    </row>
    <row r="6" spans="1:9" x14ac:dyDescent="0.25">
      <c r="A6" s="624"/>
      <c r="B6" s="624"/>
      <c r="C6" s="624"/>
      <c r="D6" s="624"/>
    </row>
    <row r="7" spans="1:9" x14ac:dyDescent="0.25">
      <c r="A7" t="s">
        <v>1836</v>
      </c>
      <c r="B7" s="214" t="s">
        <v>2022</v>
      </c>
    </row>
    <row r="8" spans="1:9" x14ac:dyDescent="0.25">
      <c r="A8" t="s">
        <v>1837</v>
      </c>
      <c r="B8" s="214" t="s">
        <v>1838</v>
      </c>
    </row>
    <row r="9" spans="1:9" ht="63" x14ac:dyDescent="0.25">
      <c r="A9" s="201" t="s">
        <v>1834</v>
      </c>
      <c r="B9" s="201" t="s">
        <v>1833</v>
      </c>
      <c r="C9" s="201" t="s">
        <v>1835</v>
      </c>
      <c r="D9" s="201" t="s">
        <v>1813</v>
      </c>
      <c r="E9" s="201" t="s">
        <v>1814</v>
      </c>
      <c r="F9" s="235" t="s">
        <v>1811</v>
      </c>
      <c r="G9" s="233" t="s">
        <v>2030</v>
      </c>
    </row>
    <row r="10" spans="1:9" ht="21" hidden="1" x14ac:dyDescent="0.35">
      <c r="A10" s="192" t="str">
        <f>'CUMPLIMIENTO '!A10</f>
        <v>PDD</v>
      </c>
      <c r="B10" s="215">
        <f>'CUMPLIMIENTO '!B10</f>
        <v>0</v>
      </c>
      <c r="C10" s="193" t="str">
        <f>'CUMPLIMIENTO '!C10</f>
        <v>BOLIVAR PRIMERO 2020 - 2023</v>
      </c>
      <c r="D10" s="219">
        <f>'CUMPLIMIENTO '!D10</f>
        <v>554</v>
      </c>
      <c r="E10" s="219">
        <f>'CUMPLIMIENTO '!E10</f>
        <v>388</v>
      </c>
      <c r="F10" s="220">
        <f>'CUMPLIMIENTO '!G10</f>
        <v>0.26338387305792299</v>
      </c>
      <c r="G10" s="220">
        <f>'CUMPLIMIENTO '!H10</f>
        <v>0.28726565544596755</v>
      </c>
    </row>
    <row r="11" spans="1:9" ht="18.75" hidden="1" x14ac:dyDescent="0.25">
      <c r="A11" s="222" t="str">
        <f>'CUMPLIMIENTO '!A11</f>
        <v>EJE ESTRATEGICO</v>
      </c>
      <c r="B11" s="223">
        <f>'CUMPLIMIENTO '!B11</f>
        <v>1</v>
      </c>
      <c r="C11" s="222" t="str">
        <f>'CUMPLIMIENTO '!C11</f>
        <v>BOLIVAR PROGRESA, SUPERACIÓN DE LA POBREZA</v>
      </c>
      <c r="D11" s="224">
        <f>'CUMPLIMIENTO '!D11</f>
        <v>219</v>
      </c>
      <c r="E11" s="224">
        <f>'CUMPLIMIENTO '!E11</f>
        <v>188</v>
      </c>
      <c r="F11" s="225">
        <f>'CUMPLIMIENTO '!G11</f>
        <v>0.28346507642507995</v>
      </c>
      <c r="G11" s="225">
        <f>'CUMPLIMIENTO '!H11</f>
        <v>0.33973499765782816</v>
      </c>
    </row>
    <row r="12" spans="1:9" s="110" customFormat="1" ht="15.75" hidden="1" x14ac:dyDescent="0.25">
      <c r="A12" s="202" t="str">
        <f>'CUMPLIMIENTO '!A12</f>
        <v>LINEA</v>
      </c>
      <c r="B12" s="203" t="str">
        <f>'CUMPLIMIENTO '!B12</f>
        <v xml:space="preserve">1.1 </v>
      </c>
      <c r="C12" s="202" t="str">
        <f>'CUMPLIMIENTO '!C12</f>
        <v>PLAN DEPARTAMENTAL DE EMERGENCIA SOCIAL PARA LA IGUALDAD Y LA INCLUSIÓN</v>
      </c>
      <c r="D12" s="216">
        <f>'CUMPLIMIENTO '!D12</f>
        <v>14</v>
      </c>
      <c r="E12" s="216">
        <f>'CUMPLIMIENTO '!E12</f>
        <v>6</v>
      </c>
      <c r="F12" s="217">
        <f>'CUMPLIMIENTO '!G12</f>
        <v>0.10410714285714286</v>
      </c>
      <c r="G12" s="218">
        <f>'CUMPLIMIENTO '!H12</f>
        <v>0.33333333333333331</v>
      </c>
      <c r="I12"/>
    </row>
    <row r="13" spans="1:9" s="110" customFormat="1" ht="30" hidden="1" x14ac:dyDescent="0.25">
      <c r="A13" s="208" t="str">
        <f>'CUMPLIMIENTO '!A13</f>
        <v>PROGRAMA</v>
      </c>
      <c r="B13" s="209" t="str">
        <f>'CUMPLIMIENTO '!B13</f>
        <v>1.1.1</v>
      </c>
      <c r="C13" s="210" t="str">
        <f>'CUMPLIMIENTO '!C13</f>
        <v>Plan departamental de emergencia social para la igualdad y la inclusión PLADES.</v>
      </c>
      <c r="D13" s="211">
        <f>'CUMPLIMIENTO '!D13</f>
        <v>14</v>
      </c>
      <c r="E13" s="211">
        <f>'CUMPLIMIENTO '!E13</f>
        <v>6</v>
      </c>
      <c r="F13" s="212">
        <f>'CUMPLIMIENTO '!G13</f>
        <v>0.10410714285714286</v>
      </c>
      <c r="G13" s="212">
        <f>'CUMPLIMIENTO '!H13</f>
        <v>0.33333333333333331</v>
      </c>
      <c r="I13"/>
    </row>
    <row r="14" spans="1:9" ht="15.75" hidden="1" x14ac:dyDescent="0.25">
      <c r="A14" s="251" t="str">
        <f>'CUMPLIMIENTO '!A14</f>
        <v>LINEA</v>
      </c>
      <c r="B14" s="252" t="str">
        <f>'CUMPLIMIENTO '!B14</f>
        <v xml:space="preserve">1.2 </v>
      </c>
      <c r="C14" s="251" t="str">
        <f>'CUMPLIMIENTO '!C14</f>
        <v>BOLÍVAR PRIMERO EDUCA</v>
      </c>
      <c r="D14" s="253">
        <f>'CUMPLIMIENTO '!D14</f>
        <v>43</v>
      </c>
      <c r="E14" s="253">
        <f>'CUMPLIMIENTO '!E14</f>
        <v>34</v>
      </c>
      <c r="F14" s="254">
        <f>'CUMPLIMIENTO '!G14</f>
        <v>0.380217289810165</v>
      </c>
      <c r="G14" s="255">
        <f>'CUMPLIMIENTO '!H14</f>
        <v>0.35092007988259732</v>
      </c>
    </row>
    <row r="15" spans="1:9" ht="15.75" hidden="1" x14ac:dyDescent="0.25">
      <c r="A15" s="198" t="str">
        <f>'CUMPLIMIENTO '!A15</f>
        <v>PROGRAMA</v>
      </c>
      <c r="B15" s="106" t="str">
        <f>'CUMPLIMIENTO '!B15</f>
        <v>1.2.1</v>
      </c>
      <c r="C15" s="111" t="str">
        <f>'CUMPLIMIENTO '!C15</f>
        <v>Bolívar Primero en calidad educativa.</v>
      </c>
      <c r="D15" s="199">
        <f>'CUMPLIMIENTO '!D15</f>
        <v>21</v>
      </c>
      <c r="E15" s="199">
        <f>'CUMPLIMIENTO '!E15</f>
        <v>15</v>
      </c>
      <c r="F15" s="61">
        <f>'CUMPLIMIENTO '!G15</f>
        <v>0.34098599173680866</v>
      </c>
      <c r="G15" s="61">
        <f>'CUMPLIMIENTO '!H15</f>
        <v>0.12839000155255395</v>
      </c>
    </row>
    <row r="16" spans="1:9" ht="15.75" hidden="1" x14ac:dyDescent="0.25">
      <c r="A16" s="198" t="str">
        <f>'CUMPLIMIENTO '!A16</f>
        <v>PROGRAMA</v>
      </c>
      <c r="B16" s="106" t="str">
        <f>'CUMPLIMIENTO '!B16</f>
        <v>1.2.2</v>
      </c>
      <c r="C16" s="111" t="str">
        <f>'CUMPLIMIENTO '!C16</f>
        <v>Bolívar primero en cobertura.</v>
      </c>
      <c r="D16" s="199">
        <f>'CUMPLIMIENTO '!D16</f>
        <v>8</v>
      </c>
      <c r="E16" s="199">
        <f>'CUMPLIMIENTO '!E16</f>
        <v>7</v>
      </c>
      <c r="F16" s="61">
        <f>'CUMPLIMIENTO '!G16</f>
        <v>0.38777812259164557</v>
      </c>
      <c r="G16" s="61">
        <f>'CUMPLIMIENTO '!H16</f>
        <v>0.40960833333333335</v>
      </c>
    </row>
    <row r="17" spans="1:7" ht="15.75" hidden="1" x14ac:dyDescent="0.25">
      <c r="A17" s="198" t="str">
        <f>'CUMPLIMIENTO '!A17</f>
        <v>PROGRAMA</v>
      </c>
      <c r="B17" s="106" t="str">
        <f>'CUMPLIMIENTO '!B17</f>
        <v>1.2.3</v>
      </c>
      <c r="C17" s="111" t="str">
        <f>'CUMPLIMIENTO '!C17</f>
        <v>Bolívar primero en eficiencia y fortalecimiento institucional de la educación</v>
      </c>
      <c r="D17" s="199">
        <f>'CUMPLIMIENTO '!D17</f>
        <v>14</v>
      </c>
      <c r="E17" s="199">
        <f>'CUMPLIMIENTO '!E17</f>
        <v>12</v>
      </c>
      <c r="F17" s="61">
        <f>'CUMPLIMIENTO '!G17</f>
        <v>0.41188775510204084</v>
      </c>
      <c r="G17" s="61">
        <f>'CUMPLIMIENTO '!H17</f>
        <v>0.51476190476190475</v>
      </c>
    </row>
    <row r="18" spans="1:7" ht="15.75" hidden="1" x14ac:dyDescent="0.25">
      <c r="A18" s="202" t="str">
        <f>'CUMPLIMIENTO '!A18</f>
        <v>LINEA</v>
      </c>
      <c r="B18" s="203" t="str">
        <f>'CUMPLIMIENTO '!B18</f>
        <v>1.3</v>
      </c>
      <c r="C18" s="202" t="str">
        <f>'CUMPLIMIENTO '!C18</f>
        <v>BOLIVAR PRIMERO EN SALUD</v>
      </c>
      <c r="D18" s="216">
        <f>'CUMPLIMIENTO '!D18</f>
        <v>100</v>
      </c>
      <c r="E18" s="216">
        <f>'CUMPLIMIENTO '!E18</f>
        <v>100</v>
      </c>
      <c r="F18" s="217">
        <f>'CUMPLIMIENTO '!G18</f>
        <v>0.28725768020702352</v>
      </c>
      <c r="G18" s="218">
        <f>'CUMPLIMIENTO '!H18</f>
        <v>0.12644126449682005</v>
      </c>
    </row>
    <row r="19" spans="1:7" ht="15.75" hidden="1" x14ac:dyDescent="0.25">
      <c r="A19" s="198" t="str">
        <f>'CUMPLIMIENTO '!A19</f>
        <v>PROGRAMA</v>
      </c>
      <c r="B19" s="106" t="str">
        <f>'CUMPLIMIENTO '!B19</f>
        <v xml:space="preserve">1.3.1 </v>
      </c>
      <c r="C19" s="111" t="str">
        <f>'CUMPLIMIENTO '!C19</f>
        <v>Salud Ambiental</v>
      </c>
      <c r="D19" s="199">
        <f>'CUMPLIMIENTO '!D19</f>
        <v>6</v>
      </c>
      <c r="E19" s="199">
        <f>'CUMPLIMIENTO '!E19</f>
        <v>6</v>
      </c>
      <c r="F19" s="61">
        <f>'CUMPLIMIENTO '!G19</f>
        <v>0.30396365309408785</v>
      </c>
      <c r="G19" s="61">
        <f>'CUMPLIMIENTO '!H19</f>
        <v>8.8888888888888889E-3</v>
      </c>
    </row>
    <row r="20" spans="1:7" ht="15.75" hidden="1" x14ac:dyDescent="0.25">
      <c r="A20" s="198" t="str">
        <f>'CUMPLIMIENTO '!A20</f>
        <v>PROGRAMA</v>
      </c>
      <c r="B20" s="106" t="str">
        <f>'CUMPLIMIENTO '!B20</f>
        <v>1.3.2</v>
      </c>
      <c r="C20" s="111" t="str">
        <f>'CUMPLIMIENTO '!C20</f>
        <v>Vida Saludables y Condiciones no Transmisibles</v>
      </c>
      <c r="D20" s="199">
        <f>'CUMPLIMIENTO '!D20</f>
        <v>6</v>
      </c>
      <c r="E20" s="199">
        <f>'CUMPLIMIENTO '!E20</f>
        <v>6</v>
      </c>
      <c r="F20" s="61">
        <f>'CUMPLIMIENTO '!G20</f>
        <v>0.17453703703703705</v>
      </c>
      <c r="G20" s="61">
        <f>'CUMPLIMIENTO '!H20</f>
        <v>0</v>
      </c>
    </row>
    <row r="21" spans="1:7" ht="15.75" hidden="1" x14ac:dyDescent="0.25">
      <c r="A21" s="198" t="str">
        <f>'CUMPLIMIENTO '!A21</f>
        <v>PROGRAMA</v>
      </c>
      <c r="B21" s="106" t="str">
        <f>'CUMPLIMIENTO '!B21</f>
        <v>1.3.3</v>
      </c>
      <c r="C21" s="111" t="str">
        <f>'CUMPLIMIENTO '!C21</f>
        <v xml:space="preserve">Convivencia Social y Salud Mental </v>
      </c>
      <c r="D21" s="199">
        <f>'CUMPLIMIENTO '!D21</f>
        <v>4</v>
      </c>
      <c r="E21" s="199">
        <f>'CUMPLIMIENTO '!E21</f>
        <v>4</v>
      </c>
      <c r="F21" s="61">
        <f>'CUMPLIMIENTO '!G21</f>
        <v>0.22361111111111109</v>
      </c>
      <c r="G21" s="61">
        <f>'CUMPLIMIENTO '!H21</f>
        <v>6.1111111111111109E-2</v>
      </c>
    </row>
    <row r="22" spans="1:7" ht="15.75" hidden="1" x14ac:dyDescent="0.25">
      <c r="A22" s="198" t="str">
        <f>'CUMPLIMIENTO '!A22</f>
        <v>PROGRAMA</v>
      </c>
      <c r="B22" s="106" t="str">
        <f>'CUMPLIMIENTO '!B22</f>
        <v>1.3.4</v>
      </c>
      <c r="C22" s="111" t="str">
        <f>'CUMPLIMIENTO '!C22</f>
        <v>Seguridad Alimentaria y Nutricional</v>
      </c>
      <c r="D22" s="199">
        <f>'CUMPLIMIENTO '!D22</f>
        <v>9</v>
      </c>
      <c r="E22" s="199">
        <f>'CUMPLIMIENTO '!E22</f>
        <v>8</v>
      </c>
      <c r="F22" s="61">
        <f>'CUMPLIMIENTO '!G22</f>
        <v>0.16396604938271606</v>
      </c>
      <c r="G22" s="61">
        <f>'CUMPLIMIENTO '!H22</f>
        <v>7.407407407407407E-2</v>
      </c>
    </row>
    <row r="23" spans="1:7" ht="15.75" hidden="1" x14ac:dyDescent="0.25">
      <c r="A23" s="198" t="str">
        <f>'CUMPLIMIENTO '!A23</f>
        <v>PROGRAMA</v>
      </c>
      <c r="B23" s="106" t="str">
        <f>'CUMPLIMIENTO '!B23</f>
        <v>1.3.5</v>
      </c>
      <c r="C23" s="111" t="str">
        <f>'CUMPLIMIENTO '!C23</f>
        <v>Sexualidad, Derechos Sexuales y Reproductivos</v>
      </c>
      <c r="D23" s="199">
        <f>'CUMPLIMIENTO '!D23</f>
        <v>6</v>
      </c>
      <c r="E23" s="199">
        <f>'CUMPLIMIENTO '!E23</f>
        <v>6</v>
      </c>
      <c r="F23" s="61">
        <f>'CUMPLIMIENTO '!G23</f>
        <v>0.61435185185185182</v>
      </c>
      <c r="G23" s="61">
        <f>'CUMPLIMIENTO '!H23</f>
        <v>0.11851851851851848</v>
      </c>
    </row>
    <row r="24" spans="1:7" ht="15.75" hidden="1" x14ac:dyDescent="0.25">
      <c r="A24" s="198" t="str">
        <f>'CUMPLIMIENTO '!A24</f>
        <v>PROGRAMA</v>
      </c>
      <c r="B24" s="106" t="str">
        <f>'CUMPLIMIENTO '!B24</f>
        <v>1.3.6</v>
      </c>
      <c r="C24" s="111" t="str">
        <f>'CUMPLIMIENTO '!C24</f>
        <v>Vida Saludable y Enfermedades transmisibles</v>
      </c>
      <c r="D24" s="199">
        <f>'CUMPLIMIENTO '!D24</f>
        <v>10</v>
      </c>
      <c r="E24" s="199">
        <f>'CUMPLIMIENTO '!E24</f>
        <v>11</v>
      </c>
      <c r="F24" s="61">
        <f>'CUMPLIMIENTO '!G24</f>
        <v>0.38444444444444448</v>
      </c>
      <c r="G24" s="61">
        <f>'CUMPLIMIENTO '!H24</f>
        <v>0.35833333333333334</v>
      </c>
    </row>
    <row r="25" spans="1:7" ht="15.75" hidden="1" x14ac:dyDescent="0.25">
      <c r="A25" s="198" t="str">
        <f>'CUMPLIMIENTO '!A25</f>
        <v>PROGRAMA</v>
      </c>
      <c r="B25" s="106" t="str">
        <f>'CUMPLIMIENTO '!B25</f>
        <v>1.3.7</v>
      </c>
      <c r="C25" s="111" t="str">
        <f>'CUMPLIMIENTO '!C25</f>
        <v>Salud Publica en Emergencias y Desastres</v>
      </c>
      <c r="D25" s="199">
        <f>'CUMPLIMIENTO '!D25</f>
        <v>5</v>
      </c>
      <c r="E25" s="199">
        <f>'CUMPLIMIENTO '!E25</f>
        <v>4</v>
      </c>
      <c r="F25" s="61">
        <f>'CUMPLIMIENTO '!G25</f>
        <v>0.27913043478260868</v>
      </c>
      <c r="G25" s="61">
        <f>'CUMPLIMIENTO '!H25</f>
        <v>0.25</v>
      </c>
    </row>
    <row r="26" spans="1:7" ht="15.75" hidden="1" x14ac:dyDescent="0.25">
      <c r="A26" s="198" t="str">
        <f>'CUMPLIMIENTO '!A26</f>
        <v>PROGRAMA</v>
      </c>
      <c r="B26" s="106" t="str">
        <f>'CUMPLIMIENTO '!B26</f>
        <v>1.3.8</v>
      </c>
      <c r="C26" s="111" t="str">
        <f>'CUMPLIMIENTO '!C26</f>
        <v>Salud y Ambito Laboral</v>
      </c>
      <c r="D26" s="199">
        <f>'CUMPLIMIENTO '!D26</f>
        <v>4</v>
      </c>
      <c r="E26" s="199">
        <f>'CUMPLIMIENTO '!E26</f>
        <v>4</v>
      </c>
      <c r="F26" s="61">
        <f>'CUMPLIMIENTO '!G26</f>
        <v>0.21906565656565657</v>
      </c>
      <c r="G26" s="61">
        <f>'CUMPLIMIENTO '!H26</f>
        <v>0.25</v>
      </c>
    </row>
    <row r="27" spans="1:7" ht="15.75" hidden="1" x14ac:dyDescent="0.25">
      <c r="A27" s="198" t="str">
        <f>'CUMPLIMIENTO '!A27</f>
        <v>PROGRAMA</v>
      </c>
      <c r="B27" s="106" t="str">
        <f>'CUMPLIMIENTO '!B27</f>
        <v>1.3.9</v>
      </c>
      <c r="C27" s="111" t="str">
        <f>'CUMPLIMIENTO '!C27</f>
        <v>Gestión Diferencial de las Poblaciones Vulnerables</v>
      </c>
      <c r="D27" s="199">
        <f>'CUMPLIMIENTO '!D27</f>
        <v>22</v>
      </c>
      <c r="E27" s="199">
        <f>'CUMPLIMIENTO '!E27</f>
        <v>22</v>
      </c>
      <c r="F27" s="61">
        <f>'CUMPLIMIENTO '!G27</f>
        <v>0.22224888359369785</v>
      </c>
      <c r="G27" s="61">
        <f>'CUMPLIMIENTO '!H27</f>
        <v>1.7045454545454544E-2</v>
      </c>
    </row>
    <row r="28" spans="1:7" ht="15.75" hidden="1" x14ac:dyDescent="0.25">
      <c r="A28" s="198" t="str">
        <f>'CUMPLIMIENTO '!A28</f>
        <v>PROGRAMA</v>
      </c>
      <c r="B28" s="106" t="str">
        <f>'CUMPLIMIENTO '!B28</f>
        <v>1.3.10</v>
      </c>
      <c r="C28" s="111" t="str">
        <f>'CUMPLIMIENTO '!C28</f>
        <v>Fortalecimiento de la Autoridad Sanitaria en Salud</v>
      </c>
      <c r="D28" s="199">
        <f>'CUMPLIMIENTO '!D28</f>
        <v>28</v>
      </c>
      <c r="E28" s="200">
        <f>'CUMPLIMIENTO '!E28</f>
        <v>29</v>
      </c>
      <c r="F28" s="61">
        <f>'CUMPLIMIENTO '!G28</f>
        <v>0.29796334722086598</v>
      </c>
      <c r="G28" s="61">
        <f>'CUMPLIMIENTO '!H28</f>
        <v>0.29579782790309106</v>
      </c>
    </row>
    <row r="29" spans="1:7" ht="15.75" hidden="1" x14ac:dyDescent="0.25">
      <c r="A29" s="251" t="str">
        <f>'CUMPLIMIENTO '!A29</f>
        <v>LINEA</v>
      </c>
      <c r="B29" s="252" t="str">
        <f>'CUMPLIMIENTO '!B29</f>
        <v>1.4</v>
      </c>
      <c r="C29" s="251" t="str">
        <f>'CUMPLIMIENTO '!C29</f>
        <v>HÁBITAT</v>
      </c>
      <c r="D29" s="253">
        <f>'CUMPLIMIENTO '!D29</f>
        <v>8</v>
      </c>
      <c r="E29" s="253">
        <f>'CUMPLIMIENTO '!E29</f>
        <v>5</v>
      </c>
      <c r="F29" s="254">
        <f>'CUMPLIMIENTO '!G29</f>
        <v>0.19584814814814816</v>
      </c>
      <c r="G29" s="255">
        <f>'CUMPLIMIENTO '!H29</f>
        <v>0.63424242424242427</v>
      </c>
    </row>
    <row r="30" spans="1:7" ht="15.75" hidden="1" x14ac:dyDescent="0.25">
      <c r="A30" s="198" t="str">
        <f>'CUMPLIMIENTO '!A30</f>
        <v>PROGRAMA</v>
      </c>
      <c r="B30" s="106" t="str">
        <f>'CUMPLIMIENTO '!B30</f>
        <v>1.4.1</v>
      </c>
      <c r="C30" s="111" t="str">
        <f>'CUMPLIMIENTO '!C30</f>
        <v>Primero la vivienda</v>
      </c>
      <c r="D30" s="199">
        <f>'CUMPLIMIENTO '!D30</f>
        <v>2</v>
      </c>
      <c r="E30" s="199" t="str">
        <f>'CUMPLIMIENTO '!E30</f>
        <v>NP</v>
      </c>
      <c r="F30" s="61">
        <f>'CUMPLIMIENTO '!G30</f>
        <v>0.15540000000000001</v>
      </c>
      <c r="G30" s="61">
        <f>'CUMPLIMIENTO '!H30</f>
        <v>0.94181818181818178</v>
      </c>
    </row>
    <row r="31" spans="1:7" ht="15.75" hidden="1" x14ac:dyDescent="0.25">
      <c r="A31" s="198" t="str">
        <f>'CUMPLIMIENTO '!A31</f>
        <v>PROGRAMA</v>
      </c>
      <c r="B31" s="106" t="str">
        <f>'CUMPLIMIENTO '!B31</f>
        <v>1.4.2</v>
      </c>
      <c r="C31" s="111" t="str">
        <f>'CUMPLIMIENTO '!C31</f>
        <v>Primero el Agua</v>
      </c>
      <c r="D31" s="199">
        <f>'CUMPLIMIENTO '!D31</f>
        <v>6</v>
      </c>
      <c r="E31" s="199">
        <f>'CUMPLIMIENTO '!E31</f>
        <v>5</v>
      </c>
      <c r="F31" s="61">
        <f>'CUMPLIMIENTO '!G31</f>
        <v>0.23629629629629631</v>
      </c>
      <c r="G31" s="61">
        <f>'CUMPLIMIENTO '!H31</f>
        <v>0.32666666666666666</v>
      </c>
    </row>
    <row r="32" spans="1:7" ht="15.75" hidden="1" x14ac:dyDescent="0.25">
      <c r="A32" s="202" t="str">
        <f>'CUMPLIMIENTO '!A32</f>
        <v>LINEA</v>
      </c>
      <c r="B32" s="203" t="str">
        <f>'CUMPLIMIENTO '!B32</f>
        <v>1.5</v>
      </c>
      <c r="C32" s="202" t="str">
        <f>'CUMPLIMIENTO '!C32</f>
        <v>BOLÍVAR PRIMERO EN RECREACIÓN Y DEPORTES</v>
      </c>
      <c r="D32" s="216">
        <f>'CUMPLIMIENTO '!D32</f>
        <v>36</v>
      </c>
      <c r="E32" s="216">
        <f>'CUMPLIMIENTO '!E32</f>
        <v>31</v>
      </c>
      <c r="F32" s="217">
        <f>'CUMPLIMIENTO '!G32</f>
        <v>0.36201956749579395</v>
      </c>
      <c r="G32" s="218">
        <f>'CUMPLIMIENTO '!H32</f>
        <v>9.3472883991794042E-2</v>
      </c>
    </row>
    <row r="33" spans="1:7" ht="15.75" hidden="1" x14ac:dyDescent="0.25">
      <c r="A33" s="198" t="str">
        <f>'CUMPLIMIENTO '!A33</f>
        <v>PROGRAMA</v>
      </c>
      <c r="B33" s="106" t="str">
        <f>'CUMPLIMIENTO '!B33</f>
        <v>1.5.1</v>
      </c>
      <c r="C33" s="111" t="str">
        <f>'CUMPLIMIENTO '!C33</f>
        <v>Infraestructura Deportiva</v>
      </c>
      <c r="D33" s="199">
        <f>'CUMPLIMIENTO '!D33</f>
        <v>4</v>
      </c>
      <c r="E33" s="199">
        <f>'CUMPLIMIENTO '!E33</f>
        <v>1</v>
      </c>
      <c r="F33" s="61">
        <f>'CUMPLIMIENTO '!G33</f>
        <v>1.2500000000000001E-2</v>
      </c>
      <c r="G33" s="61">
        <f>'CUMPLIMIENTO '!H33</f>
        <v>0</v>
      </c>
    </row>
    <row r="34" spans="1:7" ht="15.75" hidden="1" x14ac:dyDescent="0.25">
      <c r="A34" s="198" t="str">
        <f>'CUMPLIMIENTO '!A34</f>
        <v>PROGRAMA</v>
      </c>
      <c r="B34" s="106" t="str">
        <f>'CUMPLIMIENTO '!B34</f>
        <v>1.5.2</v>
      </c>
      <c r="C34" s="111" t="str">
        <f>'CUMPLIMIENTO '!C34</f>
        <v>Altos logros y liderazgo deportivo Bolívar en los juegos nacionales 2023</v>
      </c>
      <c r="D34" s="199">
        <f>'CUMPLIMIENTO '!D34</f>
        <v>13</v>
      </c>
      <c r="E34" s="199">
        <f>'CUMPLIMIENTO '!E34</f>
        <v>12</v>
      </c>
      <c r="F34" s="61">
        <f>'CUMPLIMIENTO '!G34</f>
        <v>0.57189542483660138</v>
      </c>
      <c r="G34" s="61">
        <f>'CUMPLIMIENTO '!H34</f>
        <v>0.39417063728409762</v>
      </c>
    </row>
    <row r="35" spans="1:7" ht="30" hidden="1" x14ac:dyDescent="0.25">
      <c r="A35" s="198" t="str">
        <f>'CUMPLIMIENTO '!A35</f>
        <v>PROGRAMA</v>
      </c>
      <c r="B35" s="106" t="str">
        <f>'CUMPLIMIENTO '!B35</f>
        <v>1.5.3</v>
      </c>
      <c r="C35" s="111" t="str">
        <f>'CUMPLIMIENTO '!C35</f>
        <v>Deporte formativo escuelas para todos  y  Deporte formativo supérate Intercolegiados</v>
      </c>
      <c r="D35" s="199">
        <f>'CUMPLIMIENTO '!D35</f>
        <v>4</v>
      </c>
      <c r="E35" s="199">
        <f>'CUMPLIMIENTO '!E35</f>
        <v>4</v>
      </c>
      <c r="F35" s="61">
        <f>'CUMPLIMIENTO '!G35</f>
        <v>0.4841583333333333</v>
      </c>
      <c r="G35" s="61">
        <f>'CUMPLIMIENTO '!H35</f>
        <v>0</v>
      </c>
    </row>
    <row r="36" spans="1:7" ht="15.75" hidden="1" x14ac:dyDescent="0.25">
      <c r="A36" s="198" t="str">
        <f>'CUMPLIMIENTO '!A36</f>
        <v>PROGRAMA</v>
      </c>
      <c r="B36" s="106" t="str">
        <f>'CUMPLIMIENTO '!B36</f>
        <v>1.5.4</v>
      </c>
      <c r="C36" s="111" t="str">
        <f>'CUMPLIMIENTO '!C36</f>
        <v>Deporte social Comunitario</v>
      </c>
      <c r="D36" s="199">
        <f>'CUMPLIMIENTO '!D36</f>
        <v>3</v>
      </c>
      <c r="E36" s="199">
        <f>'CUMPLIMIENTO '!E36</f>
        <v>3</v>
      </c>
      <c r="F36" s="61">
        <f>'CUMPLIMIENTO '!G36</f>
        <v>0.46812996031746029</v>
      </c>
      <c r="G36" s="61">
        <f>'CUMPLIMIENTO '!H36</f>
        <v>0</v>
      </c>
    </row>
    <row r="37" spans="1:7" ht="15.75" hidden="1" x14ac:dyDescent="0.25">
      <c r="A37" s="198" t="str">
        <f>'CUMPLIMIENTO '!A37</f>
        <v>PROGRAMA</v>
      </c>
      <c r="B37" s="106" t="str">
        <f>'CUMPLIMIENTO '!B37</f>
        <v>1.5.5</v>
      </c>
      <c r="C37" s="111" t="str">
        <f>'CUMPLIMIENTO '!C37</f>
        <v>Las escuelas recreativas…un espacio lúdico del Bolívar primero</v>
      </c>
      <c r="D37" s="199">
        <f>'CUMPLIMIENTO '!D37</f>
        <v>6</v>
      </c>
      <c r="E37" s="199">
        <f>'CUMPLIMIENTO '!E37</f>
        <v>6</v>
      </c>
      <c r="F37" s="61">
        <f>'CUMPLIMIENTO '!G37</f>
        <v>0.3675913461538462</v>
      </c>
      <c r="G37" s="61">
        <f>'CUMPLIMIENTO '!H37</f>
        <v>0</v>
      </c>
    </row>
    <row r="38" spans="1:7" ht="15.75" hidden="1" x14ac:dyDescent="0.25">
      <c r="A38" s="198" t="str">
        <f>'CUMPLIMIENTO '!A38</f>
        <v>PROGRAMA</v>
      </c>
      <c r="B38" s="106" t="str">
        <f>'CUMPLIMIENTO '!B38</f>
        <v>1.5.6</v>
      </c>
      <c r="C38" s="111" t="str">
        <f>'CUMPLIMIENTO '!C38</f>
        <v>Hábitos y estilos de vida saludable “Bolívar primero…por tú salud ponte pilas</v>
      </c>
      <c r="D38" s="199">
        <f>'CUMPLIMIENTO '!D38</f>
        <v>6</v>
      </c>
      <c r="E38" s="199">
        <f>'CUMPLIMIENTO '!E38</f>
        <v>5</v>
      </c>
      <c r="F38" s="61">
        <f>'CUMPLIMIENTO '!G38</f>
        <v>0.26784234033352255</v>
      </c>
      <c r="G38" s="61">
        <f>'CUMPLIMIENTO '!H38</f>
        <v>0.16666666666666666</v>
      </c>
    </row>
    <row r="39" spans="1:7" ht="15.75" hidden="1" x14ac:dyDescent="0.25">
      <c r="A39" s="251" t="str">
        <f>'CUMPLIMIENTO '!A39</f>
        <v>LINEA</v>
      </c>
      <c r="B39" s="252" t="str">
        <f>'CUMPLIMIENTO '!B39</f>
        <v>1.6</v>
      </c>
      <c r="C39" s="251" t="str">
        <f>'CUMPLIMIENTO '!C39</f>
        <v>BOLÍVAR PROMUEVE EL ARTE, LA CULTURA Y SALVAGUARDA SU PATRIMONIO</v>
      </c>
      <c r="D39" s="253">
        <f>'CUMPLIMIENTO '!D39</f>
        <v>18</v>
      </c>
      <c r="E39" s="253">
        <f>'CUMPLIMIENTO '!E39</f>
        <v>12</v>
      </c>
      <c r="F39" s="254">
        <f>'CUMPLIMIENTO '!G39</f>
        <v>0.37134063003220613</v>
      </c>
      <c r="G39" s="255">
        <f>'CUMPLIMIENTO '!H39</f>
        <v>0.5</v>
      </c>
    </row>
    <row r="40" spans="1:7" ht="15.75" hidden="1" x14ac:dyDescent="0.25">
      <c r="A40" s="198" t="str">
        <f>'CUMPLIMIENTO '!A40</f>
        <v>PROGRAMA</v>
      </c>
      <c r="B40" s="106" t="str">
        <f>'CUMPLIMIENTO '!B40</f>
        <v>1.6.1</v>
      </c>
      <c r="C40" s="111" t="str">
        <f>'CUMPLIMIENTO '!C40</f>
        <v>Bolívar primero en arte y patrimonio</v>
      </c>
      <c r="D40" s="199">
        <f>'CUMPLIMIENTO '!D40</f>
        <v>6</v>
      </c>
      <c r="E40" s="199">
        <f>'CUMPLIMIENTO '!E40</f>
        <v>4</v>
      </c>
      <c r="F40" s="61">
        <f>'CUMPLIMIENTO '!G40</f>
        <v>0.24822916666666664</v>
      </c>
      <c r="G40" s="61">
        <f>'CUMPLIMIENTO '!H40</f>
        <v>0.41</v>
      </c>
    </row>
    <row r="41" spans="1:7" ht="15.75" hidden="1" x14ac:dyDescent="0.25">
      <c r="A41" s="198" t="str">
        <f>'CUMPLIMIENTO '!A41</f>
        <v>PROGRAMA</v>
      </c>
      <c r="B41" s="106" t="str">
        <f>'CUMPLIMIENTO '!B41</f>
        <v>1.6.2</v>
      </c>
      <c r="C41" s="111" t="str">
        <f>'CUMPLIMIENTO '!C41</f>
        <v>Bolívar primero en cultura</v>
      </c>
      <c r="D41" s="199">
        <f>'CUMPLIMIENTO '!D41</f>
        <v>12</v>
      </c>
      <c r="E41" s="199">
        <f>'CUMPLIMIENTO '!E41</f>
        <v>8</v>
      </c>
      <c r="F41" s="61">
        <f>'CUMPLIMIENTO '!G41</f>
        <v>0.4944520933977456</v>
      </c>
      <c r="G41" s="61">
        <f>'CUMPLIMIENTO '!H41</f>
        <v>0.59000000000000008</v>
      </c>
    </row>
    <row r="42" spans="1:7" ht="18.75" hidden="1" x14ac:dyDescent="0.25">
      <c r="A42" s="256" t="str">
        <f>'CUMPLIMIENTO '!A42</f>
        <v>EJE ESTRATEGICO</v>
      </c>
      <c r="B42" s="257">
        <f>'CUMPLIMIENTO '!B42</f>
        <v>2</v>
      </c>
      <c r="C42" s="258" t="str">
        <f>'CUMPLIMIENTO '!C42</f>
        <v>BOLÍVAR COMPETITIVO PARA LA INCLUSIÓN SOCIAL</v>
      </c>
      <c r="D42" s="259">
        <f>'CUMPLIMIENTO '!D42</f>
        <v>82</v>
      </c>
      <c r="E42" s="259">
        <f>'CUMPLIMIENTO '!E42</f>
        <v>45</v>
      </c>
      <c r="F42" s="260">
        <f>'CUMPLIMIENTO '!G42</f>
        <v>0.24329478481946754</v>
      </c>
      <c r="G42" s="260">
        <f>'CUMPLIMIENTO '!H42</f>
        <v>0.32985855013965804</v>
      </c>
    </row>
    <row r="43" spans="1:7" ht="15.75" hidden="1" x14ac:dyDescent="0.25">
      <c r="A43" s="202" t="str">
        <f>'CUMPLIMIENTO '!A43</f>
        <v>LINEA</v>
      </c>
      <c r="B43" s="203" t="str">
        <f>'CUMPLIMIENTO '!B43</f>
        <v>2.1</v>
      </c>
      <c r="C43" s="202" t="str">
        <f>'CUMPLIMIENTO '!C43</f>
        <v>BOLÍVAR PRIMERO EN INFRAESTRUCTURA Y TRANSPORTE</v>
      </c>
      <c r="D43" s="216">
        <f>'CUMPLIMIENTO '!D43</f>
        <v>4</v>
      </c>
      <c r="E43" s="216">
        <f>'CUMPLIMIENTO '!E43</f>
        <v>4</v>
      </c>
      <c r="F43" s="217">
        <f>'CUMPLIMIENTO '!G43</f>
        <v>0.52222222222222225</v>
      </c>
      <c r="G43" s="218">
        <f>'CUMPLIMIENTO '!H43</f>
        <v>0.49444444444444446</v>
      </c>
    </row>
    <row r="44" spans="1:7" ht="15.75" hidden="1" x14ac:dyDescent="0.25">
      <c r="A44" s="198" t="str">
        <f>'CUMPLIMIENTO '!A44</f>
        <v>PROGRAMA</v>
      </c>
      <c r="B44" s="106" t="str">
        <f>'CUMPLIMIENTO '!B44</f>
        <v>2.1.1</v>
      </c>
      <c r="C44" s="111" t="str">
        <f>'CUMPLIMIENTO '!C44</f>
        <v>Plan de conectividad para Bolívar</v>
      </c>
      <c r="D44" s="199">
        <f>'CUMPLIMIENTO '!D44</f>
        <v>3</v>
      </c>
      <c r="E44" s="199">
        <f>'CUMPLIMIENTO '!E44</f>
        <v>3</v>
      </c>
      <c r="F44" s="61">
        <f>'CUMPLIMIENTO '!G44</f>
        <v>0.64444444444444449</v>
      </c>
      <c r="G44" s="61">
        <f>'CUMPLIMIENTO '!H44</f>
        <v>0.48888888888888893</v>
      </c>
    </row>
    <row r="45" spans="1:7" ht="15.75" hidden="1" x14ac:dyDescent="0.25">
      <c r="A45" s="198" t="str">
        <f>'CUMPLIMIENTO '!A45</f>
        <v>PROGRAMA</v>
      </c>
      <c r="B45" s="106" t="str">
        <f>'CUMPLIMIENTO '!B45</f>
        <v xml:space="preserve">2.1.2 </v>
      </c>
      <c r="C45" s="111" t="str">
        <f>'CUMPLIMIENTO '!C45</f>
        <v>Bolívar se desarrolla por el Río</v>
      </c>
      <c r="D45" s="199">
        <f>'CUMPLIMIENTO '!D45</f>
        <v>1</v>
      </c>
      <c r="E45" s="199">
        <f>'CUMPLIMIENTO '!E45</f>
        <v>1</v>
      </c>
      <c r="F45" s="61">
        <f>'CUMPLIMIENTO '!G45</f>
        <v>0.4</v>
      </c>
      <c r="G45" s="61">
        <f>'CUMPLIMIENTO '!H45</f>
        <v>0.5</v>
      </c>
    </row>
    <row r="46" spans="1:7" ht="15.75" hidden="1" x14ac:dyDescent="0.25">
      <c r="A46" s="251" t="str">
        <f>'CUMPLIMIENTO '!A46</f>
        <v>LINEA</v>
      </c>
      <c r="B46" s="252" t="str">
        <f>'CUMPLIMIENTO '!B46</f>
        <v>2.2</v>
      </c>
      <c r="C46" s="251" t="str">
        <f>'CUMPLIMIENTO '!C46</f>
        <v>BOLÍVAR PRIMERO EN MOVILIDAD</v>
      </c>
      <c r="D46" s="253">
        <f>'CUMPLIMIENTO '!D46</f>
        <v>7</v>
      </c>
      <c r="E46" s="253">
        <f>'CUMPLIMIENTO '!E46</f>
        <v>3</v>
      </c>
      <c r="F46" s="254">
        <f>'CUMPLIMIENTO '!G46</f>
        <v>0.21714285714285717</v>
      </c>
      <c r="G46" s="255">
        <f>'CUMPLIMIENTO '!H46</f>
        <v>0.125</v>
      </c>
    </row>
    <row r="47" spans="1:7" ht="15.75" hidden="1" x14ac:dyDescent="0.25">
      <c r="A47" s="198" t="str">
        <f>'CUMPLIMIENTO '!A47</f>
        <v>PROGRAMA</v>
      </c>
      <c r="B47" s="106" t="str">
        <f>'CUMPLIMIENTO '!B47</f>
        <v>2.2.1</v>
      </c>
      <c r="C47" s="111" t="str">
        <f>'CUMPLIMIENTO '!C47</f>
        <v>Bolívar Primero con Movilidad Segura.</v>
      </c>
      <c r="D47" s="199">
        <f>'CUMPLIMIENTO '!D47</f>
        <v>5</v>
      </c>
      <c r="E47" s="199">
        <f>'CUMPLIMIENTO '!E47</f>
        <v>3</v>
      </c>
      <c r="F47" s="61">
        <f>'CUMPLIMIENTO '!G47</f>
        <v>0.43428571428571433</v>
      </c>
      <c r="G47" s="61">
        <f>'CUMPLIMIENTO '!H47</f>
        <v>0.25</v>
      </c>
    </row>
    <row r="48" spans="1:7" ht="15.75" hidden="1" x14ac:dyDescent="0.25">
      <c r="A48" s="198" t="str">
        <f>'CUMPLIMIENTO '!A48</f>
        <v>PROGRAMA</v>
      </c>
      <c r="B48" s="106" t="str">
        <f>'CUMPLIMIENTO '!B48</f>
        <v xml:space="preserve">2.2.2 </v>
      </c>
      <c r="C48" s="111" t="str">
        <f>'CUMPLIMIENTO '!C48</f>
        <v>Bolívar Primero con Infraestructura y Transporte y Movilidad Activa</v>
      </c>
      <c r="D48" s="199">
        <f>'CUMPLIMIENTO '!D48</f>
        <v>2</v>
      </c>
      <c r="E48" s="199" t="str">
        <f>'CUMPLIMIENTO '!E48</f>
        <v>NP</v>
      </c>
      <c r="F48" s="61">
        <f>'CUMPLIMIENTO '!G48</f>
        <v>0</v>
      </c>
      <c r="G48" s="61">
        <f>'CUMPLIMIENTO '!H48</f>
        <v>0</v>
      </c>
    </row>
    <row r="49" spans="1:7" ht="15.75" hidden="1" x14ac:dyDescent="0.25">
      <c r="A49" s="202" t="str">
        <f>'CUMPLIMIENTO '!A49</f>
        <v>LINEA</v>
      </c>
      <c r="B49" s="203" t="str">
        <f>'CUMPLIMIENTO '!B49</f>
        <v>2.3</v>
      </c>
      <c r="C49" s="202" t="str">
        <f>'CUMPLIMIENTO '!C49</f>
        <v>BOLÍVAR PRIMERO EN TECNOLOGÍAS DE LA INFORMACIÓN Y LAS COMUNICACIONES</v>
      </c>
      <c r="D49" s="216">
        <f>'CUMPLIMIENTO '!D49</f>
        <v>4</v>
      </c>
      <c r="E49" s="216">
        <f>'CUMPLIMIENTO '!E49</f>
        <v>1</v>
      </c>
      <c r="F49" s="217">
        <f>'CUMPLIMIENTO '!G49</f>
        <v>0.33750000000000002</v>
      </c>
      <c r="G49" s="218">
        <f>'CUMPLIMIENTO '!H49</f>
        <v>0.10625000000000001</v>
      </c>
    </row>
    <row r="50" spans="1:7" ht="15.75" hidden="1" x14ac:dyDescent="0.25">
      <c r="A50" s="198" t="str">
        <f>'CUMPLIMIENTO '!A50</f>
        <v>PROGRAMA</v>
      </c>
      <c r="B50" s="106" t="str">
        <f>'CUMPLIMIENTO '!B50</f>
        <v>2.3.1</v>
      </c>
      <c r="C50" s="111" t="str">
        <f>'CUMPLIMIENTO '!C50</f>
        <v>TIC’s para la competitividad y la inclusión social</v>
      </c>
      <c r="D50" s="199">
        <f>'CUMPLIMIENTO '!D50</f>
        <v>4</v>
      </c>
      <c r="E50" s="199">
        <f>'CUMPLIMIENTO '!E50</f>
        <v>1</v>
      </c>
      <c r="F50" s="61">
        <f>'CUMPLIMIENTO '!G50</f>
        <v>0.33750000000000002</v>
      </c>
      <c r="G50" s="61">
        <f>'CUMPLIMIENTO '!H50</f>
        <v>0.10625000000000001</v>
      </c>
    </row>
    <row r="51" spans="1:7" ht="15.75" hidden="1" x14ac:dyDescent="0.25">
      <c r="A51" s="251" t="str">
        <f>'CUMPLIMIENTO '!A51</f>
        <v>LINEA</v>
      </c>
      <c r="B51" s="252" t="str">
        <f>'CUMPLIMIENTO '!B51</f>
        <v>2.4</v>
      </c>
      <c r="C51" s="251" t="str">
        <f>'CUMPLIMIENTO '!C51</f>
        <v>BOLÍVAR PRIMERO EN DESARROLLO ECONÓMICO</v>
      </c>
      <c r="D51" s="253">
        <f>'CUMPLIMIENTO '!D51</f>
        <v>7</v>
      </c>
      <c r="E51" s="253">
        <f>'CUMPLIMIENTO '!E51</f>
        <v>3</v>
      </c>
      <c r="F51" s="254">
        <f>'CUMPLIMIENTO '!G51</f>
        <v>0.28287037037037033</v>
      </c>
      <c r="G51" s="255">
        <f>'CUMPLIMIENTO '!H51</f>
        <v>0.45833333333333331</v>
      </c>
    </row>
    <row r="52" spans="1:7" ht="15.75" hidden="1" x14ac:dyDescent="0.25">
      <c r="A52" s="198" t="str">
        <f>'CUMPLIMIENTO '!A52</f>
        <v>PROGRAMA</v>
      </c>
      <c r="B52" s="106" t="str">
        <f>'CUMPLIMIENTO '!B52</f>
        <v>2.4.1</v>
      </c>
      <c r="C52" s="111" t="str">
        <f>'CUMPLIMIENTO '!C52</f>
        <v>2.4.1.	Promoción del Departamento para la competitividad</v>
      </c>
      <c r="D52" s="199">
        <f>'CUMPLIMIENTO '!D52</f>
        <v>4</v>
      </c>
      <c r="E52" s="199">
        <f>'CUMPLIMIENTO '!E52</f>
        <v>2</v>
      </c>
      <c r="F52" s="61">
        <f>'CUMPLIMIENTO '!G52</f>
        <v>0.19166666666666665</v>
      </c>
      <c r="G52" s="61">
        <f>'CUMPLIMIENTO '!H52</f>
        <v>0.25</v>
      </c>
    </row>
    <row r="53" spans="1:7" ht="15.75" hidden="1" x14ac:dyDescent="0.25">
      <c r="A53" s="198" t="str">
        <f>'CUMPLIMIENTO '!A53</f>
        <v>PROGRAMA</v>
      </c>
      <c r="B53" s="106" t="str">
        <f>'CUMPLIMIENTO '!B53</f>
        <v>2.4.2</v>
      </c>
      <c r="C53" s="111" t="str">
        <f>'CUMPLIMIENTO '!C53</f>
        <v>Bolivar Primero en emprendimiento y encadenamientos productivos</v>
      </c>
      <c r="D53" s="199">
        <f>'CUMPLIMIENTO '!D53</f>
        <v>3</v>
      </c>
      <c r="E53" s="199">
        <f>'CUMPLIMIENTO '!E53</f>
        <v>1</v>
      </c>
      <c r="F53" s="61">
        <f>'CUMPLIMIENTO '!G53</f>
        <v>0.37407407407407406</v>
      </c>
      <c r="G53" s="61">
        <f>'CUMPLIMIENTO '!H53</f>
        <v>0.66666666666666663</v>
      </c>
    </row>
    <row r="54" spans="1:7" ht="15.75" hidden="1" x14ac:dyDescent="0.25">
      <c r="A54" s="202" t="str">
        <f>'CUMPLIMIENTO '!A54</f>
        <v>LINEA</v>
      </c>
      <c r="B54" s="203" t="str">
        <f>'CUMPLIMIENTO '!B54</f>
        <v>2.5</v>
      </c>
      <c r="C54" s="202" t="str">
        <f>'CUMPLIMIENTO '!C54</f>
        <v>BOLÍVAR PRIMERO EN AGRICULTURA, EXPLOTACIONES PECUARIAS, PESCA FORESTAL Y SEGURIDAD ALIMENTARIA</v>
      </c>
      <c r="D54" s="216">
        <f>'CUMPLIMIENTO '!D54</f>
        <v>8</v>
      </c>
      <c r="E54" s="216">
        <f>'CUMPLIMIENTO '!E54</f>
        <v>6</v>
      </c>
      <c r="F54" s="217">
        <f>'CUMPLIMIENTO '!G54</f>
        <v>0.26021690090122751</v>
      </c>
      <c r="G54" s="218">
        <f>'CUMPLIMIENTO '!H54</f>
        <v>0.37503049785364378</v>
      </c>
    </row>
    <row r="55" spans="1:7" ht="15.75" hidden="1" x14ac:dyDescent="0.25">
      <c r="A55" s="198" t="str">
        <f>'CUMPLIMIENTO '!A55</f>
        <v>PROGRAMA</v>
      </c>
      <c r="B55" s="106" t="str">
        <f>'CUMPLIMIENTO '!B55</f>
        <v>2.5.1</v>
      </c>
      <c r="C55" s="111" t="str">
        <f>'CUMPLIMIENTO '!C55</f>
        <v>Tecnología al campo</v>
      </c>
      <c r="D55" s="199">
        <f>'CUMPLIMIENTO '!D55</f>
        <v>1</v>
      </c>
      <c r="E55" s="199">
        <f>'CUMPLIMIENTO '!E55</f>
        <v>1</v>
      </c>
      <c r="F55" s="61">
        <f>'CUMPLIMIENTO '!G55</f>
        <v>2.032520325203252E-2</v>
      </c>
      <c r="G55" s="61">
        <f>'CUMPLIMIENTO '!H55</f>
        <v>0.1360544217687075</v>
      </c>
    </row>
    <row r="56" spans="1:7" ht="15.75" hidden="1" x14ac:dyDescent="0.25">
      <c r="A56" s="198" t="str">
        <f>'CUMPLIMIENTO '!A56</f>
        <v>PROGRAMA</v>
      </c>
      <c r="B56" s="106" t="str">
        <f>'CUMPLIMIENTO '!B56</f>
        <v>2.5.2</v>
      </c>
      <c r="C56" s="111" t="str">
        <f>'CUMPLIMIENTO '!C56</f>
        <v>Bolívar fomenta la agroindustria</v>
      </c>
      <c r="D56" s="199">
        <f>'CUMPLIMIENTO '!D56</f>
        <v>1</v>
      </c>
      <c r="E56" s="199">
        <f>'CUMPLIMIENTO '!E56</f>
        <v>1</v>
      </c>
      <c r="F56" s="61">
        <f>'CUMPLIMIENTO '!G56</f>
        <v>6.6559999999999994E-2</v>
      </c>
      <c r="G56" s="61">
        <f>'CUMPLIMIENTO '!H56</f>
        <v>2.8307508939213348E-2</v>
      </c>
    </row>
    <row r="57" spans="1:7" ht="15.75" hidden="1" x14ac:dyDescent="0.25">
      <c r="A57" s="198" t="str">
        <f>'CUMPLIMIENTO '!A57</f>
        <v>PROGRAMA</v>
      </c>
      <c r="B57" s="106" t="str">
        <f>'CUMPLIMIENTO '!B57</f>
        <v>2.5.3</v>
      </c>
      <c r="C57" s="111" t="str">
        <f>'CUMPLIMIENTO '!C57</f>
        <v>Del campo al mercado</v>
      </c>
      <c r="D57" s="199">
        <f>'CUMPLIMIENTO '!D57</f>
        <v>3</v>
      </c>
      <c r="E57" s="199">
        <f>'CUMPLIMIENTO '!E57</f>
        <v>2</v>
      </c>
      <c r="F57" s="61">
        <f>'CUMPLIMIENTO '!G57</f>
        <v>0.10006837606837608</v>
      </c>
      <c r="G57" s="61">
        <f>'CUMPLIMIENTO '!H57</f>
        <v>0.54842975206611566</v>
      </c>
    </row>
    <row r="58" spans="1:7" ht="15.75" hidden="1" x14ac:dyDescent="0.25">
      <c r="A58" s="198" t="str">
        <f>'CUMPLIMIENTO '!A58</f>
        <v>PROGRAMA</v>
      </c>
      <c r="B58" s="106" t="str">
        <f>'CUMPLIMIENTO '!B58</f>
        <v>2.5.4</v>
      </c>
      <c r="C58" s="111" t="str">
        <f>'CUMPLIMIENTO '!C58</f>
        <v>Apoyo a los municipios en el ordenamiento social de la propiedad.</v>
      </c>
      <c r="D58" s="199">
        <f>'CUMPLIMIENTO '!D58</f>
        <v>1</v>
      </c>
      <c r="E58" s="199">
        <f>'CUMPLIMIENTO '!E58</f>
        <v>1</v>
      </c>
      <c r="F58" s="61">
        <f>'CUMPLIMIENTO '!G58</f>
        <v>0.30434782608695654</v>
      </c>
      <c r="G58" s="61">
        <f>'CUMPLIMIENTO '!H58</f>
        <v>0.21739130434782608</v>
      </c>
    </row>
    <row r="59" spans="1:7" ht="15.75" hidden="1" x14ac:dyDescent="0.25">
      <c r="A59" s="198" t="str">
        <f>'CUMPLIMIENTO '!A59</f>
        <v>PROGRAMA</v>
      </c>
      <c r="B59" s="106" t="str">
        <f>'CUMPLIMIENTO '!B59</f>
        <v xml:space="preserve">2.5.5 </v>
      </c>
      <c r="C59" s="111" t="str">
        <f>'CUMPLIMIENTO '!C59</f>
        <v xml:space="preserve">Bancarización </v>
      </c>
      <c r="D59" s="199">
        <f>'CUMPLIMIENTO '!D59</f>
        <v>1</v>
      </c>
      <c r="E59" s="199">
        <f>'CUMPLIMIENTO '!E59</f>
        <v>1</v>
      </c>
      <c r="F59" s="61">
        <f>'CUMPLIMIENTO '!G59</f>
        <v>7.0000000000000007E-2</v>
      </c>
      <c r="G59" s="61">
        <f>'CUMPLIMIENTO '!H59</f>
        <v>0.32</v>
      </c>
    </row>
    <row r="60" spans="1:7" ht="15.75" hidden="1" x14ac:dyDescent="0.25">
      <c r="A60" s="198" t="str">
        <f>'CUMPLIMIENTO '!A60</f>
        <v>PROGRAMA</v>
      </c>
      <c r="B60" s="106" t="str">
        <f>'CUMPLIMIENTO '!B60</f>
        <v>2.5.6</v>
      </c>
      <c r="C60" s="111" t="str">
        <f>'CUMPLIMIENTO '!C60</f>
        <v xml:space="preserve">Seguridad alimentaria </v>
      </c>
      <c r="D60" s="199">
        <f>'CUMPLIMIENTO '!D60</f>
        <v>1</v>
      </c>
      <c r="E60" s="199" t="str">
        <f>'CUMPLIMIENTO '!E60</f>
        <v>NP</v>
      </c>
      <c r="F60" s="61">
        <f>'CUMPLIMIENTO '!G60</f>
        <v>1</v>
      </c>
      <c r="G60" s="61">
        <f>'CUMPLIMIENTO '!H60</f>
        <v>1</v>
      </c>
    </row>
    <row r="61" spans="1:7" ht="15.75" hidden="1" x14ac:dyDescent="0.25">
      <c r="A61" s="251" t="str">
        <f>'CUMPLIMIENTO '!A61</f>
        <v>LINEA</v>
      </c>
      <c r="B61" s="252" t="str">
        <f>'CUMPLIMIENTO '!B61</f>
        <v>2.6</v>
      </c>
      <c r="C61" s="251" t="str">
        <f>'CUMPLIMIENTO '!C61</f>
        <v>BOLIVAR PRIMERO EN PRODUCTIVIDAD Y COMPETITIVIDAD MINERO ENERGÉTICA</v>
      </c>
      <c r="D61" s="253">
        <f>'CUMPLIMIENTO '!D61</f>
        <v>18</v>
      </c>
      <c r="E61" s="253">
        <f>'CUMPLIMIENTO '!E61</f>
        <v>6</v>
      </c>
      <c r="F61" s="254">
        <f>'CUMPLIMIENTO '!G61</f>
        <v>0.14849206349206351</v>
      </c>
      <c r="G61" s="255">
        <f>'CUMPLIMIENTO '!H61</f>
        <v>0.23641470737153236</v>
      </c>
    </row>
    <row r="62" spans="1:7" ht="15.75" hidden="1" x14ac:dyDescent="0.25">
      <c r="A62" s="198" t="str">
        <f>'CUMPLIMIENTO '!A62</f>
        <v>PROGRAMA</v>
      </c>
      <c r="B62" s="106" t="str">
        <f>'CUMPLIMIENTO '!B62</f>
        <v>2.6.1</v>
      </c>
      <c r="C62" s="111" t="str">
        <f>'CUMPLIMIENTO '!C62</f>
        <v>Minería responsable y segura</v>
      </c>
      <c r="D62" s="199">
        <f>'CUMPLIMIENTO '!D62</f>
        <v>3</v>
      </c>
      <c r="E62" s="199" t="str">
        <f>'CUMPLIMIENTO '!E62</f>
        <v>NP</v>
      </c>
      <c r="F62" s="61">
        <f>'CUMPLIMIENTO '!G62</f>
        <v>5.5555555555555552E-2</v>
      </c>
      <c r="G62" s="61">
        <f>'CUMPLIMIENTO '!H62</f>
        <v>0.16666666666666666</v>
      </c>
    </row>
    <row r="63" spans="1:7" ht="15.75" hidden="1" x14ac:dyDescent="0.25">
      <c r="A63" s="198" t="str">
        <f>'CUMPLIMIENTO '!A63</f>
        <v>PROGRAMA</v>
      </c>
      <c r="B63" s="106" t="str">
        <f>'CUMPLIMIENTO '!B63</f>
        <v>2.6.2</v>
      </c>
      <c r="C63" s="111" t="str">
        <f>'CUMPLIMIENTO '!C63</f>
        <v xml:space="preserve">Minería productiva y competitiva. </v>
      </c>
      <c r="D63" s="199">
        <f>'CUMPLIMIENTO '!D63</f>
        <v>4</v>
      </c>
      <c r="E63" s="199">
        <f>'CUMPLIMIENTO '!E63</f>
        <v>3</v>
      </c>
      <c r="F63" s="61">
        <f>'CUMPLIMIENTO '!G63</f>
        <v>0.17857142857142858</v>
      </c>
      <c r="G63" s="61">
        <f>'CUMPLIMIENTO '!H63</f>
        <v>0.2</v>
      </c>
    </row>
    <row r="64" spans="1:7" ht="15.75" hidden="1" x14ac:dyDescent="0.25">
      <c r="A64" s="198" t="str">
        <f>'CUMPLIMIENTO '!A64</f>
        <v>PROGRAMA</v>
      </c>
      <c r="B64" s="106" t="str">
        <f>'CUMPLIMIENTO '!B64</f>
        <v>2.6.3</v>
      </c>
      <c r="C64" s="111" t="str">
        <f>'CUMPLIMIENTO '!C64</f>
        <v>Ambiente y Minería de la mano, bajo el marco de la legalidad.</v>
      </c>
      <c r="D64" s="199">
        <f>'CUMPLIMIENTO '!D64</f>
        <v>5</v>
      </c>
      <c r="E64" s="199">
        <f>'CUMPLIMIENTO '!E64</f>
        <v>1</v>
      </c>
      <c r="F64" s="61">
        <f>'CUMPLIMIENTO '!G64</f>
        <v>0.155</v>
      </c>
      <c r="G64" s="61">
        <f>'CUMPLIMIENTO '!H64</f>
        <v>0.2298008095849346</v>
      </c>
    </row>
    <row r="65" spans="1:7" ht="15.75" hidden="1" x14ac:dyDescent="0.25">
      <c r="A65" s="198" t="str">
        <f>'CUMPLIMIENTO '!A65</f>
        <v>PROGRAMA</v>
      </c>
      <c r="B65" s="106" t="str">
        <f>'CUMPLIMIENTO '!B65</f>
        <v>2.6.4</v>
      </c>
      <c r="C65" s="111" t="str">
        <f>'CUMPLIMIENTO '!C65</f>
        <v xml:space="preserve">Minería y el desarrollo social participativo </v>
      </c>
      <c r="D65" s="199">
        <f>'CUMPLIMIENTO '!D65</f>
        <v>3</v>
      </c>
      <c r="E65" s="199">
        <f>'CUMPLIMIENTO '!E65</f>
        <v>1</v>
      </c>
      <c r="F65" s="61">
        <f>'CUMPLIMIENTO '!G65</f>
        <v>8.111111111111112E-2</v>
      </c>
      <c r="G65" s="61">
        <f>'CUMPLIMIENTO '!H65</f>
        <v>6.0606060606060608E-2</v>
      </c>
    </row>
    <row r="66" spans="1:7" ht="15.75" hidden="1" x14ac:dyDescent="0.25">
      <c r="A66" s="198" t="str">
        <f>'CUMPLIMIENTO '!A66</f>
        <v>PROGRAMA</v>
      </c>
      <c r="B66" s="106" t="str">
        <f>'CUMPLIMIENTO '!B66</f>
        <v>2.6.5</v>
      </c>
      <c r="C66" s="111" t="str">
        <f>'CUMPLIMIENTO '!C66</f>
        <v xml:space="preserve">Bolívar primero en gas y energía para todos </v>
      </c>
      <c r="D66" s="199">
        <f>'CUMPLIMIENTO '!D66</f>
        <v>3</v>
      </c>
      <c r="E66" s="199">
        <f>'CUMPLIMIENTO '!E66</f>
        <v>1</v>
      </c>
      <c r="F66" s="61">
        <f>'CUMPLIMIENTO '!G66</f>
        <v>0.2722222222222222</v>
      </c>
      <c r="G66" s="61">
        <f>'CUMPLIMIENTO '!H66</f>
        <v>0.52500000000000002</v>
      </c>
    </row>
    <row r="67" spans="1:7" ht="15.75" hidden="1" x14ac:dyDescent="0.25">
      <c r="A67" s="202" t="str">
        <f>'CUMPLIMIENTO '!A67</f>
        <v>LINEA</v>
      </c>
      <c r="B67" s="203" t="str">
        <f>'CUMPLIMIENTO '!B67</f>
        <v>2.7</v>
      </c>
      <c r="C67" s="202" t="str">
        <f>'CUMPLIMIENTO '!C67</f>
        <v>BOLIVAR PRIMERO EN TURISMO</v>
      </c>
      <c r="D67" s="216">
        <f>'CUMPLIMIENTO '!D67</f>
        <v>15</v>
      </c>
      <c r="E67" s="216">
        <f>'CUMPLIMIENTO '!E67</f>
        <v>11</v>
      </c>
      <c r="F67" s="217">
        <f>'CUMPLIMIENTO '!G67</f>
        <v>0.40225641025641029</v>
      </c>
      <c r="G67" s="218">
        <f>'CUMPLIMIENTO '!H67</f>
        <v>0.47361111111111104</v>
      </c>
    </row>
    <row r="68" spans="1:7" ht="15.75" hidden="1" x14ac:dyDescent="0.25">
      <c r="A68" s="198" t="str">
        <f>'CUMPLIMIENTO '!A68</f>
        <v>PROGRAMA</v>
      </c>
      <c r="B68" s="106" t="str">
        <f>'CUMPLIMIENTO '!B68</f>
        <v xml:space="preserve">2.7.1 </v>
      </c>
      <c r="C68" s="111" t="str">
        <f>'CUMPLIMIENTO '!C68</f>
        <v>Bolívar primero en turismo, destinos mágicos</v>
      </c>
      <c r="D68" s="199">
        <f>'CUMPLIMIENTO '!D68</f>
        <v>15</v>
      </c>
      <c r="E68" s="199">
        <f>'CUMPLIMIENTO '!E68</f>
        <v>11</v>
      </c>
      <c r="F68" s="61">
        <f>'CUMPLIMIENTO '!G68</f>
        <v>0.40225641025641029</v>
      </c>
      <c r="G68" s="61">
        <f>'CUMPLIMIENTO '!H68</f>
        <v>0.47361111111111104</v>
      </c>
    </row>
    <row r="69" spans="1:7" ht="15.75" hidden="1" x14ac:dyDescent="0.25">
      <c r="A69" s="251" t="str">
        <f>'CUMPLIMIENTO '!A69</f>
        <v>LINEA</v>
      </c>
      <c r="B69" s="252" t="str">
        <f>'CUMPLIMIENTO '!B69</f>
        <v>2.8</v>
      </c>
      <c r="C69" s="251" t="str">
        <f>'CUMPLIMIENTO '!C69</f>
        <v>TRABAJO DECENTE Y SOSTENIBILIDAD DEL EMPLEO EN ESCENARIOS DE AMENAZAS</v>
      </c>
      <c r="D69" s="253">
        <f>'CUMPLIMIENTO '!D69</f>
        <v>4</v>
      </c>
      <c r="E69" s="253" t="str">
        <f>'CUMPLIMIENTO '!E69</f>
        <v>NP</v>
      </c>
      <c r="F69" s="254">
        <f>'CUMPLIMIENTO '!G69</f>
        <v>8.3333333333333343E-2</v>
      </c>
      <c r="G69" s="255">
        <f>'CUMPLIMIENTO '!H69</f>
        <v>0.19642857142857142</v>
      </c>
    </row>
    <row r="70" spans="1:7" ht="15.75" hidden="1" x14ac:dyDescent="0.25">
      <c r="A70" s="198" t="str">
        <f>'CUMPLIMIENTO '!A70</f>
        <v>PROGRAMA</v>
      </c>
      <c r="B70" s="106" t="str">
        <f>'CUMPLIMIENTO '!B70</f>
        <v xml:space="preserve">2.8.1 </v>
      </c>
      <c r="C70" s="111" t="str">
        <f>'CUMPLIMIENTO '!C70</f>
        <v>Empleo y trabajo decente</v>
      </c>
      <c r="D70" s="199">
        <f>'CUMPLIMIENTO '!D70</f>
        <v>3</v>
      </c>
      <c r="E70" s="199" t="str">
        <f>'CUMPLIMIENTO '!E70</f>
        <v>NP</v>
      </c>
      <c r="F70" s="61">
        <f>'CUMPLIMIENTO '!G70</f>
        <v>6.6666666666666666E-2</v>
      </c>
      <c r="G70" s="61">
        <f>'CUMPLIMIENTO '!H70</f>
        <v>0.14285714285714285</v>
      </c>
    </row>
    <row r="71" spans="1:7" ht="15.75" hidden="1" x14ac:dyDescent="0.25">
      <c r="A71" s="198" t="str">
        <f>'CUMPLIMIENTO '!A71</f>
        <v>PROGRAMA</v>
      </c>
      <c r="B71" s="106" t="str">
        <f>'CUMPLIMIENTO '!B71</f>
        <v>2.8.2</v>
      </c>
      <c r="C71" s="111" t="str">
        <f>'CUMPLIMIENTO '!C71</f>
        <v>Bolívar Primero en beneficios BEPS y desempleo</v>
      </c>
      <c r="D71" s="199">
        <f>'CUMPLIMIENTO '!D71</f>
        <v>1</v>
      </c>
      <c r="E71" s="199" t="str">
        <f>'CUMPLIMIENTO '!E71</f>
        <v>NP</v>
      </c>
      <c r="F71" s="61">
        <f>'CUMPLIMIENTO '!G71</f>
        <v>0.1</v>
      </c>
      <c r="G71" s="61">
        <f>'CUMPLIMIENTO '!H71</f>
        <v>0.25</v>
      </c>
    </row>
    <row r="72" spans="1:7" ht="15.75" hidden="1" x14ac:dyDescent="0.25">
      <c r="A72" s="202" t="str">
        <f>'CUMPLIMIENTO '!A72</f>
        <v>LINEA</v>
      </c>
      <c r="B72" s="203" t="str">
        <f>'CUMPLIMIENTO '!B72</f>
        <v>2.9</v>
      </c>
      <c r="C72" s="202" t="str">
        <f>'CUMPLIMIENTO '!C72</f>
        <v>BOLIVAR PRIMERO EN CIENCIA TECNOLOGÍA E INNOVACIÓN</v>
      </c>
      <c r="D72" s="216">
        <f>'CUMPLIMIENTO '!D72</f>
        <v>11</v>
      </c>
      <c r="E72" s="216">
        <f>'CUMPLIMIENTO '!E72</f>
        <v>11</v>
      </c>
      <c r="F72" s="217">
        <f>'CUMPLIMIENTO '!G72</f>
        <v>0.17891369047619049</v>
      </c>
      <c r="G72" s="218">
        <f>'CUMPLIMIENTO '!H72</f>
        <v>0.50321428571428573</v>
      </c>
    </row>
    <row r="73" spans="1:7" ht="15.75" hidden="1" x14ac:dyDescent="0.25">
      <c r="A73" s="198" t="str">
        <f>'CUMPLIMIENTO '!A73</f>
        <v>PROGRAMA</v>
      </c>
      <c r="B73" s="106" t="str">
        <f>'CUMPLIMIENTO '!B73</f>
        <v>2.9.1</v>
      </c>
      <c r="C73" s="111" t="str">
        <f>'CUMPLIMIENTO '!C73</f>
        <v>Fortalecimiento del sistema territorial del CTI.</v>
      </c>
      <c r="D73" s="199">
        <f>'CUMPLIMIENTO '!D73</f>
        <v>2</v>
      </c>
      <c r="E73" s="199">
        <f>'CUMPLIMIENTO '!E73</f>
        <v>2</v>
      </c>
      <c r="F73" s="61">
        <f>'CUMPLIMIENTO '!G73</f>
        <v>0.37500000000000006</v>
      </c>
      <c r="G73" s="61">
        <f>'CUMPLIMIENTO '!H73</f>
        <v>1</v>
      </c>
    </row>
    <row r="74" spans="1:7" ht="30" hidden="1" x14ac:dyDescent="0.25">
      <c r="A74" s="198" t="str">
        <f>'CUMPLIMIENTO '!A74</f>
        <v>PROGRAMA</v>
      </c>
      <c r="B74" s="106" t="str">
        <f>'CUMPLIMIENTO '!B74</f>
        <v>2.9.2</v>
      </c>
      <c r="C74" s="111" t="str">
        <f>'CUMPLIMIENTO '!C74</f>
        <v>Apropiación social del CTEI y vocaciones para la consolidación de una sociedad del conocimiento.</v>
      </c>
      <c r="D74" s="199">
        <f>'CUMPLIMIENTO '!D74</f>
        <v>6</v>
      </c>
      <c r="E74" s="199">
        <f>'CUMPLIMIENTO '!E74</f>
        <v>6</v>
      </c>
      <c r="F74" s="61">
        <f>'CUMPLIMIENTO '!G74</f>
        <v>0.13208333333333333</v>
      </c>
      <c r="G74" s="61">
        <f>'CUMPLIMIENTO '!H74</f>
        <v>0.41285714285714292</v>
      </c>
    </row>
    <row r="75" spans="1:7" ht="15.75" hidden="1" x14ac:dyDescent="0.25">
      <c r="A75" s="198" t="str">
        <f>'CUMPLIMIENTO '!A75</f>
        <v>PROGRAMA</v>
      </c>
      <c r="B75" s="106" t="str">
        <f>'CUMPLIMIENTO '!B75</f>
        <v>2.9.3</v>
      </c>
      <c r="C75" s="111" t="str">
        <f>'CUMPLIMIENTO '!C75</f>
        <v>Formación del capital humano de alto nivel del CTEI</v>
      </c>
      <c r="D75" s="199">
        <f>'CUMPLIMIENTO '!D75</f>
        <v>2</v>
      </c>
      <c r="E75" s="199">
        <f>'CUMPLIMIENTO '!E75</f>
        <v>2</v>
      </c>
      <c r="F75" s="61">
        <f>'CUMPLIMIENTO '!G75</f>
        <v>0.17857142857142858</v>
      </c>
      <c r="G75" s="61">
        <f>'CUMPLIMIENTO '!H75</f>
        <v>0.5</v>
      </c>
    </row>
    <row r="76" spans="1:7" ht="15.75" hidden="1" x14ac:dyDescent="0.25">
      <c r="A76" s="198" t="str">
        <f>'CUMPLIMIENTO '!A76</f>
        <v>PROGRAMA</v>
      </c>
      <c r="B76" s="106" t="str">
        <f>'CUMPLIMIENTO '!B76</f>
        <v>2.9.4</v>
      </c>
      <c r="C76" s="111" t="str">
        <f>'CUMPLIMIENTO '!C76</f>
        <v>Innovación para el desarrollo sostenible</v>
      </c>
      <c r="D76" s="199">
        <f>'CUMPLIMIENTO '!D76</f>
        <v>1</v>
      </c>
      <c r="E76" s="199">
        <f>'CUMPLIMIENTO '!E76</f>
        <v>1</v>
      </c>
      <c r="F76" s="61">
        <f>'CUMPLIMIENTO '!G76</f>
        <v>0.03</v>
      </c>
      <c r="G76" s="61">
        <f>'CUMPLIMIENTO '!H76</f>
        <v>0.1</v>
      </c>
    </row>
    <row r="77" spans="1:7" ht="15.75" hidden="1" x14ac:dyDescent="0.25">
      <c r="A77" s="251" t="str">
        <f>'CUMPLIMIENTO '!A77</f>
        <v>LINEA</v>
      </c>
      <c r="B77" s="252" t="str">
        <f>'CUMPLIMIENTO '!B77</f>
        <v>2.10</v>
      </c>
      <c r="C77" s="251" t="str">
        <f>'CUMPLIMIENTO '!C77</f>
        <v>FORMACIÓN PARA EL TRABAJO</v>
      </c>
      <c r="D77" s="253">
        <f>'CUMPLIMIENTO '!D77</f>
        <v>4</v>
      </c>
      <c r="E77" s="253" t="str">
        <f>'CUMPLIMIENTO '!E77</f>
        <v>NP</v>
      </c>
      <c r="F77" s="254">
        <f>'CUMPLIMIENTO '!G77</f>
        <v>0</v>
      </c>
      <c r="G77" s="255" t="str">
        <f>'CUMPLIMIENTO '!H77</f>
        <v>NP</v>
      </c>
    </row>
    <row r="78" spans="1:7" ht="30" hidden="1" x14ac:dyDescent="0.25">
      <c r="A78" s="198" t="str">
        <f>'CUMPLIMIENTO '!A78</f>
        <v>PROGRAMA</v>
      </c>
      <c r="B78" s="106" t="str">
        <f>'CUMPLIMIENTO '!B78</f>
        <v>2.10.1</v>
      </c>
      <c r="C78" s="111" t="str">
        <f>'CUMPLIMIENTO '!C78</f>
        <v>Bolívar primero facilita el acceso a la educación superior, la educación para el trabajo y el desarrollo humano</v>
      </c>
      <c r="D78" s="199">
        <f>'CUMPLIMIENTO '!D78</f>
        <v>4</v>
      </c>
      <c r="E78" s="199" t="str">
        <f>'CUMPLIMIENTO '!E78</f>
        <v>NP</v>
      </c>
      <c r="F78" s="61">
        <f>'CUMPLIMIENTO '!G78</f>
        <v>0</v>
      </c>
      <c r="G78" s="61" t="str">
        <f>'CUMPLIMIENTO '!H78</f>
        <v>NP</v>
      </c>
    </row>
    <row r="79" spans="1:7" ht="18.75" hidden="1" x14ac:dyDescent="0.25">
      <c r="A79" s="227" t="str">
        <f>'CUMPLIMIENTO '!A79</f>
        <v>EJE ESTRATEGICO</v>
      </c>
      <c r="B79" s="226">
        <f>'CUMPLIMIENTO '!B79</f>
        <v>3</v>
      </c>
      <c r="C79" s="227" t="str">
        <f>'CUMPLIMIENTO '!C79</f>
        <v xml:space="preserve">GESTIÓN AMBIENTAL Y ORDENAMIENTO TERRITORIAL
</v>
      </c>
      <c r="D79" s="187">
        <f>'CUMPLIMIENTO '!D79</f>
        <v>23</v>
      </c>
      <c r="E79" s="187">
        <f>'CUMPLIMIENTO '!E79</f>
        <v>14</v>
      </c>
      <c r="F79" s="188">
        <f>'CUMPLIMIENTO '!G79</f>
        <v>0.22340166188027338</v>
      </c>
      <c r="G79" s="188">
        <f>'CUMPLIMIENTO '!H79</f>
        <v>0.28496980676328504</v>
      </c>
    </row>
    <row r="80" spans="1:7" ht="22.15" hidden="1" customHeight="1" x14ac:dyDescent="0.25">
      <c r="A80" s="202" t="str">
        <f>'CUMPLIMIENTO '!A80</f>
        <v>LINEA</v>
      </c>
      <c r="B80" s="203" t="str">
        <f>'CUMPLIMIENTO '!B80</f>
        <v>3.1</v>
      </c>
      <c r="C80" s="202" t="str">
        <f>'CUMPLIMIENTO '!C80</f>
        <v>BOLIVAR PRIMERO GESTIÓN AMBIENTAL Y DESARROLLO TERRITORIAL</v>
      </c>
      <c r="D80" s="216">
        <f>'CUMPLIMIENTO '!D80</f>
        <v>5</v>
      </c>
      <c r="E80" s="216">
        <f>'CUMPLIMIENTO '!E80</f>
        <v>2</v>
      </c>
      <c r="F80" s="217">
        <f>'CUMPLIMIENTO '!G80</f>
        <v>0.2</v>
      </c>
      <c r="G80" s="218">
        <f>'CUMPLIMIENTO '!H80</f>
        <v>0.5</v>
      </c>
    </row>
    <row r="81" spans="1:7" ht="15.75" hidden="1" x14ac:dyDescent="0.25">
      <c r="A81" s="198" t="str">
        <f>'CUMPLIMIENTO '!A81</f>
        <v>PROGRAMA</v>
      </c>
      <c r="B81" s="106" t="str">
        <f>'CUMPLIMIENTO '!B81</f>
        <v xml:space="preserve">3.1.1 </v>
      </c>
      <c r="C81" s="111" t="str">
        <f>'CUMPLIMIENTO '!C81</f>
        <v>Ordenamiento territorial y para un bolívar primero en institucionalidad</v>
      </c>
      <c r="D81" s="199">
        <f>'CUMPLIMIENTO '!D81</f>
        <v>5</v>
      </c>
      <c r="E81" s="199">
        <f>'CUMPLIMIENTO '!E81</f>
        <v>2</v>
      </c>
      <c r="F81" s="61">
        <f>'CUMPLIMIENTO '!G81</f>
        <v>0.2</v>
      </c>
      <c r="G81" s="61">
        <f>'CUMPLIMIENTO '!H81</f>
        <v>0.5</v>
      </c>
    </row>
    <row r="82" spans="1:7" ht="22.15" hidden="1" customHeight="1" x14ac:dyDescent="0.25">
      <c r="A82" s="268" t="str">
        <f>'CUMPLIMIENTO '!A82</f>
        <v>LINEA</v>
      </c>
      <c r="B82" s="269" t="str">
        <f>'CUMPLIMIENTO '!B82</f>
        <v>3.2</v>
      </c>
      <c r="C82" s="268" t="str">
        <f>'CUMPLIMIENTO '!C82</f>
        <v>BOLÍVAR PRIMERO EN CONSERVACIÓN AMBIENTAL</v>
      </c>
      <c r="D82" s="270">
        <f>'CUMPLIMIENTO '!D82</f>
        <v>5</v>
      </c>
      <c r="E82" s="270">
        <f>'CUMPLIMIENTO '!E82</f>
        <v>4</v>
      </c>
      <c r="F82" s="271">
        <f>'CUMPLIMIENTO '!G82</f>
        <v>0.23333333333333334</v>
      </c>
      <c r="G82" s="272">
        <f>'CUMPLIMIENTO '!H82</f>
        <v>0.25</v>
      </c>
    </row>
    <row r="83" spans="1:7" ht="15.75" hidden="1" x14ac:dyDescent="0.25">
      <c r="A83" s="198" t="str">
        <f>'CUMPLIMIENTO '!A83</f>
        <v>PROGRAMA</v>
      </c>
      <c r="B83" s="106" t="str">
        <f>'CUMPLIMIENTO '!B83</f>
        <v>3.2.1</v>
      </c>
      <c r="C83" s="111" t="str">
        <f>'CUMPLIMIENTO '!C83</f>
        <v>Ambiente por un Bolívar primero en conservación</v>
      </c>
      <c r="D83" s="199">
        <f>'CUMPLIMIENTO '!D83</f>
        <v>5</v>
      </c>
      <c r="E83" s="199">
        <f>'CUMPLIMIENTO '!E83</f>
        <v>4</v>
      </c>
      <c r="F83" s="61">
        <f>'CUMPLIMIENTO '!G83</f>
        <v>0.23333333333333334</v>
      </c>
      <c r="G83" s="61">
        <f>'CUMPLIMIENTO '!H83</f>
        <v>0.25</v>
      </c>
    </row>
    <row r="84" spans="1:7" ht="22.15" hidden="1" customHeight="1" x14ac:dyDescent="0.25">
      <c r="A84" s="202" t="str">
        <f>'CUMPLIMIENTO '!A84</f>
        <v>LINEA</v>
      </c>
      <c r="B84" s="203" t="str">
        <f>'CUMPLIMIENTO '!B84</f>
        <v>3.3</v>
      </c>
      <c r="C84" s="202" t="str">
        <f>'CUMPLIMIENTO '!C84</f>
        <v>BOLIVAR PRIMERO EN ADAPTACIÓN Y MITIGACIÓN DEL CAMBIO CLIMÁTICO</v>
      </c>
      <c r="D84" s="216">
        <f>'CUMPLIMIENTO '!D84</f>
        <v>2</v>
      </c>
      <c r="E84" s="216">
        <f>'CUMPLIMIENTO '!E84</f>
        <v>1</v>
      </c>
      <c r="F84" s="217">
        <f>'CUMPLIMIENTO '!G84</f>
        <v>2.5000000000000001E-2</v>
      </c>
      <c r="G84" s="218">
        <f>'CUMPLIMIENTO '!H84</f>
        <v>0.05</v>
      </c>
    </row>
    <row r="85" spans="1:7" ht="15.75" hidden="1" x14ac:dyDescent="0.25">
      <c r="A85" s="198" t="str">
        <f>'CUMPLIMIENTO '!A85</f>
        <v>PROGRAMA</v>
      </c>
      <c r="B85" s="106" t="str">
        <f>'CUMPLIMIENTO '!B85</f>
        <v>3.3.1</v>
      </c>
      <c r="C85" s="111" t="str">
        <f>'CUMPLIMIENTO '!C85</f>
        <v>Cambio Climatico</v>
      </c>
      <c r="D85" s="199">
        <f>'CUMPLIMIENTO '!D85</f>
        <v>2</v>
      </c>
      <c r="E85" s="199" t="str">
        <f>'CUMPLIMIENTO '!E85</f>
        <v>NP</v>
      </c>
      <c r="F85" s="61">
        <f>'CUMPLIMIENTO '!G85</f>
        <v>2.5000000000000001E-2</v>
      </c>
      <c r="G85" s="61">
        <f>'CUMPLIMIENTO '!H85</f>
        <v>0.05</v>
      </c>
    </row>
    <row r="86" spans="1:7" ht="22.15" hidden="1" customHeight="1" x14ac:dyDescent="0.25">
      <c r="A86" s="268" t="str">
        <f>'CUMPLIMIENTO '!A86</f>
        <v>LINEA</v>
      </c>
      <c r="B86" s="269" t="str">
        <f>'CUMPLIMIENTO '!B86</f>
        <v>3.4</v>
      </c>
      <c r="C86" s="268" t="str">
        <f>'CUMPLIMIENTO '!C86</f>
        <v>GESTIÓN DEL RIESGO</v>
      </c>
      <c r="D86" s="270">
        <f>'CUMPLIMIENTO '!D86</f>
        <v>11</v>
      </c>
      <c r="E86" s="270">
        <f>'CUMPLIMIENTO '!E86</f>
        <v>7</v>
      </c>
      <c r="F86" s="271">
        <f>'CUMPLIMIENTO '!G86</f>
        <v>0.43527331418776022</v>
      </c>
      <c r="G86" s="272">
        <f>'CUMPLIMIENTO '!H86</f>
        <v>0.33987922705314011</v>
      </c>
    </row>
    <row r="87" spans="1:7" ht="15.75" hidden="1" x14ac:dyDescent="0.25">
      <c r="A87" s="198" t="str">
        <f>'CUMPLIMIENTO '!A87</f>
        <v>PROGRAMA</v>
      </c>
      <c r="B87" s="106" t="str">
        <f>'CUMPLIMIENTO '!B87</f>
        <v xml:space="preserve">3.4.1 </v>
      </c>
      <c r="C87" s="111" t="str">
        <f>'CUMPLIMIENTO '!C87</f>
        <v>Conocimiento del Riesgo</v>
      </c>
      <c r="D87" s="199">
        <f>'CUMPLIMIENTO '!D87</f>
        <v>3</v>
      </c>
      <c r="E87" s="199">
        <f>'CUMPLIMIENTO '!E87</f>
        <v>1</v>
      </c>
      <c r="F87" s="61">
        <f>'CUMPLIMIENTO '!G87</f>
        <v>0.28354037267080745</v>
      </c>
      <c r="G87" s="61">
        <f>'CUMPLIMIENTO '!H87</f>
        <v>0.52463768115942022</v>
      </c>
    </row>
    <row r="88" spans="1:7" ht="15.75" hidden="1" x14ac:dyDescent="0.25">
      <c r="A88" s="198" t="str">
        <f>'CUMPLIMIENTO '!A88</f>
        <v>PROGRAMA</v>
      </c>
      <c r="B88" s="106" t="str">
        <f>'CUMPLIMIENTO '!B88</f>
        <v xml:space="preserve">3.4.2 </v>
      </c>
      <c r="C88" s="111" t="str">
        <f>'CUMPLIMIENTO '!C88</f>
        <v>Disminución y/o Elimicación del Riesgo</v>
      </c>
      <c r="D88" s="199">
        <f>'CUMPLIMIENTO '!D88</f>
        <v>3</v>
      </c>
      <c r="E88" s="199">
        <f>'CUMPLIMIENTO '!E88</f>
        <v>3</v>
      </c>
      <c r="F88" s="61">
        <f>'CUMPLIMIENTO '!G88</f>
        <v>0.55161290322580647</v>
      </c>
      <c r="G88" s="61">
        <f>'CUMPLIMIENTO '!H88</f>
        <v>7.4999999999999997E-2</v>
      </c>
    </row>
    <row r="89" spans="1:7" ht="15.75" hidden="1" x14ac:dyDescent="0.25">
      <c r="A89" s="198" t="str">
        <f>'CUMPLIMIENTO '!A89</f>
        <v>PROGRAMA</v>
      </c>
      <c r="B89" s="106" t="str">
        <f>'CUMPLIMIENTO '!B89</f>
        <v>3.4.3</v>
      </c>
      <c r="C89" s="111" t="str">
        <f>'CUMPLIMIENTO '!C89</f>
        <v>Atencion de Desastre</v>
      </c>
      <c r="D89" s="199">
        <f>'CUMPLIMIENTO '!D89</f>
        <v>5</v>
      </c>
      <c r="E89" s="199">
        <f>'CUMPLIMIENTO '!E89</f>
        <v>3</v>
      </c>
      <c r="F89" s="61">
        <f>'CUMPLIMIENTO '!G89</f>
        <v>0.47066666666666668</v>
      </c>
      <c r="G89" s="61">
        <f>'CUMPLIMIENTO '!H89</f>
        <v>0.42000000000000004</v>
      </c>
    </row>
    <row r="90" spans="1:7" ht="37.5" hidden="1" x14ac:dyDescent="0.25">
      <c r="A90" s="273" t="str">
        <f>'CUMPLIMIENTO '!A90</f>
        <v>EJE ESTRATEGICO</v>
      </c>
      <c r="B90" s="274">
        <f>'CUMPLIMIENTO '!B90</f>
        <v>4</v>
      </c>
      <c r="C90" s="277" t="str">
        <f>'CUMPLIMIENTO '!C90</f>
        <v>BOLÍVAR PRIMERO EN FORTALECIMIENTO INSTITUCIONAL Y SEGURIDAD EFECTIVA PARA TODOS</v>
      </c>
      <c r="D90" s="275">
        <f>'CUMPLIMIENTO '!D90</f>
        <v>68</v>
      </c>
      <c r="E90" s="275">
        <f>'CUMPLIMIENTO '!E90</f>
        <v>47</v>
      </c>
      <c r="F90" s="276">
        <f>'CUMPLIMIENTO '!G90</f>
        <v>0.21518996587883446</v>
      </c>
      <c r="G90" s="276">
        <f>'CUMPLIMIENTO '!H90</f>
        <v>0.20474983465608465</v>
      </c>
    </row>
    <row r="91" spans="1:7" ht="15.75" hidden="1" x14ac:dyDescent="0.25">
      <c r="A91" s="202" t="str">
        <f>'CUMPLIMIENTO '!A91</f>
        <v>LINEA</v>
      </c>
      <c r="B91" s="203" t="str">
        <f>'CUMPLIMIENTO '!B91</f>
        <v>4.1</v>
      </c>
      <c r="C91" s="202" t="str">
        <f>'CUMPLIMIENTO '!C91</f>
        <v>BOLÍVAR SEGURO</v>
      </c>
      <c r="D91" s="216">
        <f>'CUMPLIMIENTO '!D91</f>
        <v>4</v>
      </c>
      <c r="E91" s="216">
        <f>'CUMPLIMIENTO '!E91</f>
        <v>2</v>
      </c>
      <c r="F91" s="217">
        <f>'CUMPLIMIENTO '!G91</f>
        <v>5.9583333333333335E-2</v>
      </c>
      <c r="G91" s="218">
        <f>'CUMPLIMIENTO '!H91</f>
        <v>0.25</v>
      </c>
    </row>
    <row r="92" spans="1:7" ht="15.75" hidden="1" x14ac:dyDescent="0.25">
      <c r="A92" s="198" t="str">
        <f>'CUMPLIMIENTO '!A92</f>
        <v>PROGRAMA</v>
      </c>
      <c r="B92" s="106" t="str">
        <f>'CUMPLIMIENTO '!B92</f>
        <v>4.1.1</v>
      </c>
      <c r="C92" s="111" t="str">
        <f>'CUMPLIMIENTO '!C92</f>
        <v>Fortalecimiento integral de la seguridad y convivencia</v>
      </c>
      <c r="D92" s="199">
        <f>'CUMPLIMIENTO '!D92</f>
        <v>4</v>
      </c>
      <c r="E92" s="199">
        <f>'CUMPLIMIENTO '!E92</f>
        <v>2</v>
      </c>
      <c r="F92" s="61">
        <f>'CUMPLIMIENTO '!G92</f>
        <v>5.9583333333333335E-2</v>
      </c>
      <c r="G92" s="61">
        <f>'CUMPLIMIENTO '!H92</f>
        <v>0.25</v>
      </c>
    </row>
    <row r="93" spans="1:7" ht="15.75" hidden="1" x14ac:dyDescent="0.25">
      <c r="A93" s="268" t="str">
        <f>'CUMPLIMIENTO '!A93</f>
        <v>LINEA</v>
      </c>
      <c r="B93" s="269" t="str">
        <f>'CUMPLIMIENTO '!B93</f>
        <v>4.2</v>
      </c>
      <c r="C93" s="268" t="str">
        <f>'CUMPLIMIENTO '!C93</f>
        <v>BOLÍVAR PRIMERO EN DERECHOS HUMANOS</v>
      </c>
      <c r="D93" s="270">
        <f>'CUMPLIMIENTO '!D93</f>
        <v>7</v>
      </c>
      <c r="E93" s="270">
        <f>'CUMPLIMIENTO '!E93</f>
        <v>7</v>
      </c>
      <c r="F93" s="271">
        <f>'CUMPLIMIENTO '!G93</f>
        <v>0.3392857142857143</v>
      </c>
      <c r="G93" s="272">
        <f>'CUMPLIMIENTO '!H93</f>
        <v>0.51904761904761909</v>
      </c>
    </row>
    <row r="94" spans="1:7" ht="15.75" hidden="1" x14ac:dyDescent="0.25">
      <c r="A94" s="198" t="str">
        <f>'CUMPLIMIENTO '!A94</f>
        <v>PROGRAMA</v>
      </c>
      <c r="B94" s="106" t="str">
        <f>'CUMPLIMIENTO '!B94</f>
        <v>4.2.1</v>
      </c>
      <c r="C94" s="111" t="str">
        <f>'CUMPLIMIENTO '!C94</f>
        <v>Garantía integral de los derechos humanos.</v>
      </c>
      <c r="D94" s="199">
        <f>'CUMPLIMIENTO '!D94</f>
        <v>7</v>
      </c>
      <c r="E94" s="199">
        <f>'CUMPLIMIENTO '!E94</f>
        <v>7</v>
      </c>
      <c r="F94" s="61">
        <f>'CUMPLIMIENTO '!G94</f>
        <v>0.3392857142857143</v>
      </c>
      <c r="G94" s="61">
        <f>'CUMPLIMIENTO '!H94</f>
        <v>0.51904761904761909</v>
      </c>
    </row>
    <row r="95" spans="1:7" ht="15.75" hidden="1" x14ac:dyDescent="0.25">
      <c r="A95" s="202" t="str">
        <f>'CUMPLIMIENTO '!A95</f>
        <v>LINEA</v>
      </c>
      <c r="B95" s="203" t="str">
        <f>'CUMPLIMIENTO '!B95</f>
        <v>4.3</v>
      </c>
      <c r="C95" s="202" t="str">
        <f>'CUMPLIMIENTO '!C95</f>
        <v>BOLÍVAR CON SISTEMA INTEGRAL DE PLANIFICACION DEPARTAMENTAL</v>
      </c>
      <c r="D95" s="216">
        <f>'CUMPLIMIENTO '!D95</f>
        <v>13</v>
      </c>
      <c r="E95" s="216">
        <f>'CUMPLIMIENTO '!E95</f>
        <v>10</v>
      </c>
      <c r="F95" s="217">
        <f>'CUMPLIMIENTO '!G95</f>
        <v>0.3098710317460317</v>
      </c>
      <c r="G95" s="218">
        <f>'CUMPLIMIENTO '!H95</f>
        <v>0.30888888888888888</v>
      </c>
    </row>
    <row r="96" spans="1:7" ht="15.75" hidden="1" x14ac:dyDescent="0.25">
      <c r="A96" s="198" t="str">
        <f>'CUMPLIMIENTO '!A96</f>
        <v>PROGRAMA</v>
      </c>
      <c r="B96" s="106" t="str">
        <f>'CUMPLIMIENTO '!B96</f>
        <v>4.3.1</v>
      </c>
      <c r="C96" s="111" t="str">
        <f>'CUMPLIMIENTO '!C96</f>
        <v>Fortalecimiento al sistema de Planeación departamental.</v>
      </c>
      <c r="D96" s="199">
        <f>'CUMPLIMIENTO '!D96</f>
        <v>8</v>
      </c>
      <c r="E96" s="199">
        <f>'CUMPLIMIENTO '!E96</f>
        <v>7</v>
      </c>
      <c r="F96" s="61">
        <f>'CUMPLIMIENTO '!G96</f>
        <v>0.39196428571428565</v>
      </c>
      <c r="G96" s="61">
        <f>'CUMPLIMIENTO '!H96</f>
        <v>0.33333333333333331</v>
      </c>
    </row>
    <row r="97" spans="1:7" ht="15.75" hidden="1" x14ac:dyDescent="0.25">
      <c r="A97" s="198" t="str">
        <f>'CUMPLIMIENTO '!A97</f>
        <v>PROGRAMA</v>
      </c>
      <c r="B97" s="106" t="str">
        <f>'CUMPLIMIENTO '!B97</f>
        <v>4.3.2</v>
      </c>
      <c r="C97" s="111" t="str">
        <f>'CUMPLIMIENTO '!C97</f>
        <v>Programa Descentralización y planeación territorial</v>
      </c>
      <c r="D97" s="199">
        <f>'CUMPLIMIENTO '!D97</f>
        <v>5</v>
      </c>
      <c r="E97" s="199">
        <f>'CUMPLIMIENTO '!E97</f>
        <v>3</v>
      </c>
      <c r="F97" s="61">
        <f>'CUMPLIMIENTO '!G97</f>
        <v>0.22777777777777777</v>
      </c>
      <c r="G97" s="61">
        <f>'CUMPLIMIENTO '!H97</f>
        <v>0.28444444444444444</v>
      </c>
    </row>
    <row r="98" spans="1:7" ht="15.75" hidden="1" x14ac:dyDescent="0.25">
      <c r="A98" s="268" t="str">
        <f>'CUMPLIMIENTO '!A98</f>
        <v>LINEA</v>
      </c>
      <c r="B98" s="269" t="str">
        <f>'CUMPLIMIENTO '!B98</f>
        <v>4.4</v>
      </c>
      <c r="C98" s="268" t="str">
        <f>'CUMPLIMIENTO '!C98</f>
        <v xml:space="preserve">BOLÍVAR CON INSTITUCIONALIDAD AL SERVICIO DE LA CIUDADANÍA. </v>
      </c>
      <c r="D98" s="270">
        <f>'CUMPLIMIENTO '!D98</f>
        <v>26</v>
      </c>
      <c r="E98" s="270">
        <f>'CUMPLIMIENTO '!E98</f>
        <v>21</v>
      </c>
      <c r="F98" s="271">
        <f>'CUMPLIMIENTO '!G98</f>
        <v>0.34112987463808625</v>
      </c>
      <c r="G98" s="272">
        <f>'CUMPLIMIENTO '!H98</f>
        <v>0.12556249999999999</v>
      </c>
    </row>
    <row r="99" spans="1:7" ht="15.75" hidden="1" x14ac:dyDescent="0.25">
      <c r="A99" s="198" t="str">
        <f>'CUMPLIMIENTO '!A99</f>
        <v>PROGRAMA</v>
      </c>
      <c r="B99" s="106" t="str">
        <f>'CUMPLIMIENTO '!B99</f>
        <v>4.4.1</v>
      </c>
      <c r="C99" s="111" t="str">
        <f>'CUMPLIMIENTO '!C99</f>
        <v>Atención y servicios al ciudadano de calidad al alcance de todos.</v>
      </c>
      <c r="D99" s="199">
        <f>'CUMPLIMIENTO '!D99</f>
        <v>5</v>
      </c>
      <c r="E99" s="199">
        <f>'CUMPLIMIENTO '!E99</f>
        <v>2</v>
      </c>
      <c r="F99" s="61">
        <f>'CUMPLIMIENTO '!G99</f>
        <v>0.167625</v>
      </c>
      <c r="G99" s="61">
        <f>'CUMPLIMIENTO '!H99</f>
        <v>1.5000000000000001E-2</v>
      </c>
    </row>
    <row r="100" spans="1:7" ht="15.75" hidden="1" x14ac:dyDescent="0.25">
      <c r="A100" s="198" t="str">
        <f>'CUMPLIMIENTO '!A100</f>
        <v>PROGRAMA</v>
      </c>
      <c r="B100" s="106" t="str">
        <f>'CUMPLIMIENTO '!B100</f>
        <v>4.4.2</v>
      </c>
      <c r="C100" s="111" t="str">
        <f>'CUMPLIMIENTO '!C100</f>
        <v>Gestión Documental</v>
      </c>
      <c r="D100" s="199">
        <f>'CUMPLIMIENTO '!D100</f>
        <v>4</v>
      </c>
      <c r="E100" s="199">
        <f>'CUMPLIMIENTO '!E100</f>
        <v>2</v>
      </c>
      <c r="F100" s="61">
        <f>'CUMPLIMIENTO '!G100</f>
        <v>0.21513888888888891</v>
      </c>
      <c r="G100" s="61">
        <f>'CUMPLIMIENTO '!H100</f>
        <v>0.16999999999999998</v>
      </c>
    </row>
    <row r="101" spans="1:7" ht="15.75" hidden="1" x14ac:dyDescent="0.25">
      <c r="A101" s="198" t="str">
        <f>'CUMPLIMIENTO '!A101</f>
        <v>PROGRAMA</v>
      </c>
      <c r="B101" s="106" t="str">
        <f>'CUMPLIMIENTO '!B101</f>
        <v>4.4.3</v>
      </c>
      <c r="C101" s="111" t="str">
        <f>'CUMPLIMIENTO '!C101</f>
        <v>Gobierno Digital</v>
      </c>
      <c r="D101" s="199">
        <f>'CUMPLIMIENTO '!D101</f>
        <v>8</v>
      </c>
      <c r="E101" s="199">
        <f>'CUMPLIMIENTO '!E101</f>
        <v>8</v>
      </c>
      <c r="F101" s="61">
        <f>'CUMPLIMIENTO '!G101</f>
        <v>0.72017489035087723</v>
      </c>
      <c r="G101" s="61">
        <f>'CUMPLIMIENTO '!H101</f>
        <v>0.13200000000000001</v>
      </c>
    </row>
    <row r="102" spans="1:7" ht="15.75" hidden="1" x14ac:dyDescent="0.25">
      <c r="A102" s="198" t="str">
        <f>'CUMPLIMIENTO '!A102</f>
        <v>PROGRAMA</v>
      </c>
      <c r="B102" s="106" t="str">
        <f>'CUMPLIMIENTO '!B102</f>
        <v>4.4.4</v>
      </c>
      <c r="C102" s="111" t="str">
        <f>'CUMPLIMIENTO '!C102</f>
        <v>Infraestructura física para todos</v>
      </c>
      <c r="D102" s="199">
        <f>'CUMPLIMIENTO '!D102</f>
        <v>3</v>
      </c>
      <c r="E102" s="199">
        <f>'CUMPLIMIENTO '!E102</f>
        <v>3</v>
      </c>
      <c r="F102" s="61">
        <f>'CUMPLIMIENTO '!G102</f>
        <v>0.77276688453159048</v>
      </c>
      <c r="G102" s="61">
        <f>'CUMPLIMIENTO '!H102</f>
        <v>8.3333333333333329E-2</v>
      </c>
    </row>
    <row r="103" spans="1:7" ht="15.75" hidden="1" x14ac:dyDescent="0.25">
      <c r="A103" s="198" t="str">
        <f>'CUMPLIMIENTO '!A103</f>
        <v>PROGRAMA</v>
      </c>
      <c r="B103" s="106" t="str">
        <f>'CUMPLIMIENTO '!B103</f>
        <v>4.4.5</v>
      </c>
      <c r="C103" s="111" t="str">
        <f>'CUMPLIMIENTO '!C103</f>
        <v>Asistencia Municipal</v>
      </c>
      <c r="D103" s="199">
        <f>'CUMPLIMIENTO '!D103</f>
        <v>1</v>
      </c>
      <c r="E103" s="199">
        <f>'CUMPLIMIENTO '!E103</f>
        <v>1</v>
      </c>
      <c r="F103" s="61">
        <f>'CUMPLIMIENTO '!G103</f>
        <v>0.2</v>
      </c>
      <c r="G103" s="61">
        <f>'CUMPLIMIENTO '!H103</f>
        <v>0.25</v>
      </c>
    </row>
    <row r="104" spans="1:7" ht="15.75" hidden="1" x14ac:dyDescent="0.25">
      <c r="A104" s="198" t="str">
        <f>'CUMPLIMIENTO '!A104</f>
        <v>PROGRAMA</v>
      </c>
      <c r="B104" s="106" t="str">
        <f>'CUMPLIMIENTO '!B104</f>
        <v>4.4.6</v>
      </c>
      <c r="C104" s="111" t="str">
        <f>'CUMPLIMIENTO '!C104</f>
        <v>Programa: Cuerpos Bomberos</v>
      </c>
      <c r="D104" s="199">
        <f>'CUMPLIMIENTO '!D104</f>
        <v>1</v>
      </c>
      <c r="E104" s="199">
        <f>'CUMPLIMIENTO '!E104</f>
        <v>1</v>
      </c>
      <c r="F104" s="61">
        <f>'CUMPLIMIENTO '!G104</f>
        <v>0.12</v>
      </c>
      <c r="G104" s="61">
        <f>'CUMPLIMIENTO '!H104</f>
        <v>0.25</v>
      </c>
    </row>
    <row r="105" spans="1:7" ht="15.75" hidden="1" x14ac:dyDescent="0.25">
      <c r="A105" s="198" t="str">
        <f>'CUMPLIMIENTO '!A105</f>
        <v>PROGRAMA</v>
      </c>
      <c r="B105" s="106" t="str">
        <f>'CUMPLIMIENTO '!B105</f>
        <v>4.4.7</v>
      </c>
      <c r="C105" s="111" t="str">
        <f>'CUMPLIMIENTO '!C105</f>
        <v>Mejores funcionarios, mejor gobierno</v>
      </c>
      <c r="D105" s="199">
        <f>'CUMPLIMIENTO '!D105</f>
        <v>1</v>
      </c>
      <c r="E105" s="199">
        <f>'CUMPLIMIENTO '!E105</f>
        <v>1</v>
      </c>
      <c r="F105" s="61">
        <f>'CUMPLIMIENTO '!G105</f>
        <v>0.5</v>
      </c>
      <c r="G105" s="61">
        <f>'CUMPLIMIENTO '!H105</f>
        <v>0</v>
      </c>
    </row>
    <row r="106" spans="1:7" ht="15.75" hidden="1" x14ac:dyDescent="0.25">
      <c r="A106" s="198" t="str">
        <f>'CUMPLIMIENTO '!A106</f>
        <v>PROGRAMA</v>
      </c>
      <c r="B106" s="106" t="str">
        <f>'CUMPLIMIENTO '!B106</f>
        <v>4.4.8</v>
      </c>
      <c r="C106" s="111" t="str">
        <f>'CUMPLIMIENTO '!C106</f>
        <v>Bolívar primero en el territorio: diálogo y acción</v>
      </c>
      <c r="D106" s="199">
        <f>'CUMPLIMIENTO '!D106</f>
        <v>3</v>
      </c>
      <c r="E106" s="199">
        <f>'CUMPLIMIENTO '!E106</f>
        <v>3</v>
      </c>
      <c r="F106" s="61">
        <f>'CUMPLIMIENTO '!G106</f>
        <v>3.3333333333333333E-2</v>
      </c>
      <c r="G106" s="61">
        <f>'CUMPLIMIENTO '!H106</f>
        <v>0.10416666666666667</v>
      </c>
    </row>
    <row r="107" spans="1:7" ht="15.75" hidden="1" x14ac:dyDescent="0.25">
      <c r="A107" s="202" t="str">
        <f>'CUMPLIMIENTO '!A107</f>
        <v>LINEA</v>
      </c>
      <c r="B107" s="203" t="str">
        <f>'CUMPLIMIENTO '!B107</f>
        <v>4.5</v>
      </c>
      <c r="C107" s="202" t="str">
        <f>'CUMPLIMIENTO '!C107</f>
        <v xml:space="preserve">BOLÍVAR CONTROLA LAS FINANZAS PÚBLICAS. </v>
      </c>
      <c r="D107" s="216">
        <f>'CUMPLIMIENTO '!D107</f>
        <v>7</v>
      </c>
      <c r="E107" s="216">
        <f>'CUMPLIMIENTO '!E107</f>
        <v>2</v>
      </c>
      <c r="F107" s="217">
        <f>'CUMPLIMIENTO '!G107</f>
        <v>3.5714285714285712E-2</v>
      </c>
      <c r="G107" s="218">
        <f>'CUMPLIMIENTO '!H107</f>
        <v>0</v>
      </c>
    </row>
    <row r="108" spans="1:7" ht="24.6" hidden="1" customHeight="1" x14ac:dyDescent="0.25">
      <c r="A108" s="198" t="str">
        <f>'CUMPLIMIENTO '!A108</f>
        <v>PROGRAMA</v>
      </c>
      <c r="B108" s="106" t="str">
        <f>'CUMPLIMIENTO '!B108</f>
        <v>4.5.1</v>
      </c>
      <c r="C108" s="111" t="str">
        <f>'CUMPLIMIENTO '!C108</f>
        <v xml:space="preserve">Fortalecimiento financiero administrativo y fiscal de la secretaria de hacienda </v>
      </c>
      <c r="D108" s="199">
        <f>'CUMPLIMIENTO '!D108</f>
        <v>7</v>
      </c>
      <c r="E108" s="199">
        <f>'CUMPLIMIENTO '!E108</f>
        <v>2</v>
      </c>
      <c r="F108" s="61">
        <f>'CUMPLIMIENTO '!G108</f>
        <v>3.5714285714285712E-2</v>
      </c>
      <c r="G108" s="61">
        <f>'CUMPLIMIENTO '!H108</f>
        <v>0</v>
      </c>
    </row>
    <row r="109" spans="1:7" ht="15.75" hidden="1" x14ac:dyDescent="0.25">
      <c r="A109" s="268" t="str">
        <f>'CUMPLIMIENTO '!A109</f>
        <v>LINEA</v>
      </c>
      <c r="B109" s="269" t="str">
        <f>'CUMPLIMIENTO '!B109</f>
        <v>4.6</v>
      </c>
      <c r="C109" s="268" t="str">
        <f>'CUMPLIMIENTO '!C109</f>
        <v>BOLÍVAR PRIMERO PROPICIA LA PARTICIPACIÓN CIUDADANA.</v>
      </c>
      <c r="D109" s="270">
        <f>'CUMPLIMIENTO '!D109</f>
        <v>11</v>
      </c>
      <c r="E109" s="270">
        <f>'CUMPLIMIENTO '!E109</f>
        <v>5</v>
      </c>
      <c r="F109" s="271">
        <f>'CUMPLIMIENTO '!G109</f>
        <v>0.20555555555555557</v>
      </c>
      <c r="G109" s="272">
        <f>'CUMPLIMIENTO '!H109</f>
        <v>2.5000000000000001E-2</v>
      </c>
    </row>
    <row r="110" spans="1:7" ht="15.75" hidden="1" x14ac:dyDescent="0.25">
      <c r="A110" s="198" t="str">
        <f>'CUMPLIMIENTO '!A110</f>
        <v>PROGRAMA</v>
      </c>
      <c r="B110" s="106" t="str">
        <f>'CUMPLIMIENTO '!B110</f>
        <v>4.6.1</v>
      </c>
      <c r="C110" s="111" t="str">
        <f>'CUMPLIMIENTO '!C110</f>
        <v>Participación Ciudadana</v>
      </c>
      <c r="D110" s="199">
        <f>'CUMPLIMIENTO '!D110</f>
        <v>4</v>
      </c>
      <c r="E110" s="199">
        <f>'CUMPLIMIENTO '!E110</f>
        <v>2</v>
      </c>
      <c r="F110" s="61">
        <f>'CUMPLIMIENTO '!G110</f>
        <v>0.140625</v>
      </c>
      <c r="G110" s="61">
        <f>'CUMPLIMIENTO '!H110</f>
        <v>0.05</v>
      </c>
    </row>
    <row r="111" spans="1:7" ht="15.75" hidden="1" x14ac:dyDescent="0.25">
      <c r="A111" s="198" t="str">
        <f>'CUMPLIMIENTO '!A111</f>
        <v>PROGRAMA</v>
      </c>
      <c r="B111" s="106" t="str">
        <f>'CUMPLIMIENTO '!B111</f>
        <v xml:space="preserve">4.6.2 </v>
      </c>
      <c r="C111" s="111" t="str">
        <f>'CUMPLIMIENTO '!C111</f>
        <v>Organismos comunales</v>
      </c>
      <c r="D111" s="199">
        <f>'CUMPLIMIENTO '!D111</f>
        <v>3</v>
      </c>
      <c r="E111" s="199">
        <f>'CUMPLIMIENTO '!E111</f>
        <v>2</v>
      </c>
      <c r="F111" s="61">
        <f>'CUMPLIMIENTO '!G111</f>
        <v>0.11666666666666665</v>
      </c>
      <c r="G111" s="61">
        <f>'CUMPLIMIENTO '!H111</f>
        <v>0</v>
      </c>
    </row>
    <row r="112" spans="1:7" ht="15.75" hidden="1" x14ac:dyDescent="0.25">
      <c r="A112" s="198" t="str">
        <f>'CUMPLIMIENTO '!A112</f>
        <v>PROGRAMA</v>
      </c>
      <c r="B112" s="106" t="str">
        <f>'CUMPLIMIENTO '!B112</f>
        <v>4.6.3</v>
      </c>
      <c r="C112" s="111" t="str">
        <f>'CUMPLIMIENTO '!C112</f>
        <v>Procesos electorales</v>
      </c>
      <c r="D112" s="199">
        <f>'CUMPLIMIENTO '!D112</f>
        <v>1</v>
      </c>
      <c r="E112" s="199">
        <f>'CUMPLIMIENTO '!E112</f>
        <v>1</v>
      </c>
      <c r="F112" s="61">
        <f>'CUMPLIMIENTO '!G112</f>
        <v>0.5</v>
      </c>
      <c r="G112" s="61" t="str">
        <f>'CUMPLIMIENTO '!H112</f>
        <v>NP</v>
      </c>
    </row>
    <row r="113" spans="1:7" ht="15.75" hidden="1" x14ac:dyDescent="0.25">
      <c r="A113" s="198" t="str">
        <f>'CUMPLIMIENTO '!A113</f>
        <v>PROGRAMA</v>
      </c>
      <c r="B113" s="106" t="str">
        <f>'CUMPLIMIENTO '!B113</f>
        <v>4.6.4</v>
      </c>
      <c r="C113" s="111" t="str">
        <f>'CUMPLIMIENTO '!C113</f>
        <v>Construcción de Cultura Ciudadana</v>
      </c>
      <c r="D113" s="199">
        <f>'CUMPLIMIENTO '!D113</f>
        <v>3</v>
      </c>
      <c r="E113" s="199" t="str">
        <f>'CUMPLIMIENTO '!E113</f>
        <v>NP</v>
      </c>
      <c r="F113" s="61">
        <f>'CUMPLIMIENTO '!G113</f>
        <v>0</v>
      </c>
      <c r="G113" s="61" t="str">
        <f>'CUMPLIMIENTO '!H113</f>
        <v>NP</v>
      </c>
    </row>
    <row r="114" spans="1:7" ht="32.65" hidden="1" customHeight="1" x14ac:dyDescent="0.25">
      <c r="A114" s="227" t="str">
        <f>'CUMPLIMIENTO '!A114</f>
        <v>EJE ESTRATEGICO</v>
      </c>
      <c r="B114" s="226">
        <f>'CUMPLIMIENTO '!B114</f>
        <v>5</v>
      </c>
      <c r="C114" s="227" t="str">
        <f>'CUMPLIMIENTO '!C114</f>
        <v>BOLÍVAR PRIMERO EN RURALIDAD</v>
      </c>
      <c r="D114" s="187">
        <f>'CUMPLIMIENTO '!D114</f>
        <v>34</v>
      </c>
      <c r="E114" s="187">
        <f>'CUMPLIMIENTO '!E114</f>
        <v>11</v>
      </c>
      <c r="F114" s="188">
        <f>'CUMPLIMIENTO '!G114</f>
        <v>0.31751547831253712</v>
      </c>
      <c r="G114" s="188">
        <f>'CUMPLIMIENTO '!H114</f>
        <v>0.37496305418719206</v>
      </c>
    </row>
    <row r="115" spans="1:7" ht="31.5" hidden="1" x14ac:dyDescent="0.25">
      <c r="A115" s="202" t="str">
        <f>'CUMPLIMIENTO '!A115</f>
        <v>LINEA</v>
      </c>
      <c r="B115" s="203" t="str">
        <f>'CUMPLIMIENTO '!B115</f>
        <v>5.1</v>
      </c>
      <c r="C115" s="221" t="str">
        <f>'CUMPLIMIENTO '!C115</f>
        <v>BOLÍVAR AL CAMPO: PLAN DE ATENCIÓN RURAL INTEGRAL Y PRIORITARIA - PARIP</v>
      </c>
      <c r="D115" s="216">
        <f>'CUMPLIMIENTO '!D115</f>
        <v>34</v>
      </c>
      <c r="E115" s="216">
        <f>'CUMPLIMIENTO '!E115</f>
        <v>11</v>
      </c>
      <c r="F115" s="217">
        <f>'CUMPLIMIENTO '!G115</f>
        <v>0.31751547831253712</v>
      </c>
      <c r="G115" s="218">
        <f>'CUMPLIMIENTO '!H115</f>
        <v>0.37496305418719206</v>
      </c>
    </row>
    <row r="116" spans="1:7" ht="15.75" hidden="1" x14ac:dyDescent="0.25">
      <c r="A116" s="198" t="str">
        <f>'CUMPLIMIENTO '!A116</f>
        <v>PROGRAMA</v>
      </c>
      <c r="B116" s="106" t="str">
        <f>'CUMPLIMIENTO '!B116</f>
        <v>5.1.1</v>
      </c>
      <c r="C116" s="111" t="str">
        <f>'CUMPLIMIENTO '!C116</f>
        <v xml:space="preserve">Bolívar garantiza derechos sociales en el campo.  </v>
      </c>
      <c r="D116" s="199">
        <f>'CUMPLIMIENTO '!D116</f>
        <v>9</v>
      </c>
      <c r="E116" s="199" t="str">
        <f>'CUMPLIMIENTO '!E116</f>
        <v>NP</v>
      </c>
      <c r="F116" s="61">
        <f>'CUMPLIMIENTO '!G116</f>
        <v>1.9166666666666665E-2</v>
      </c>
      <c r="G116" s="61">
        <f>'CUMPLIMIENTO '!H116</f>
        <v>0.12023809523809523</v>
      </c>
    </row>
    <row r="117" spans="1:7" ht="15.75" hidden="1" x14ac:dyDescent="0.25">
      <c r="A117" s="198" t="str">
        <f>'CUMPLIMIENTO '!A117</f>
        <v>PROGRAMA</v>
      </c>
      <c r="B117" s="106" t="str">
        <f>'CUMPLIMIENTO '!B117</f>
        <v>5.1.2</v>
      </c>
      <c r="C117" s="111" t="str">
        <f>'CUMPLIMIENTO '!C117</f>
        <v>Bolívar Educa en el campo</v>
      </c>
      <c r="D117" s="199">
        <f>'CUMPLIMIENTO '!D117</f>
        <v>4</v>
      </c>
      <c r="E117" s="199" t="str">
        <f>'CUMPLIMIENTO '!E117</f>
        <v>NP</v>
      </c>
      <c r="F117" s="61">
        <f>'CUMPLIMIENTO '!G117</f>
        <v>0.36909090909090914</v>
      </c>
      <c r="G117" s="61">
        <f>'CUMPLIMIENTO '!H117</f>
        <v>0.69620689655172407</v>
      </c>
    </row>
    <row r="118" spans="1:7" ht="15.75" hidden="1" x14ac:dyDescent="0.25">
      <c r="A118" s="198" t="str">
        <f>'CUMPLIMIENTO '!A118</f>
        <v>PROGRAMA</v>
      </c>
      <c r="B118" s="106" t="str">
        <f>'CUMPLIMIENTO '!B118</f>
        <v>5.1.3</v>
      </c>
      <c r="C118" s="111" t="str">
        <f>'CUMPLIMIENTO '!C118</f>
        <v>Bolívar lleva Servicios Públicos al campo.</v>
      </c>
      <c r="D118" s="199">
        <f>'CUMPLIMIENTO '!D118</f>
        <v>3</v>
      </c>
      <c r="E118" s="199">
        <f>'CUMPLIMIENTO '!E118</f>
        <v>1</v>
      </c>
      <c r="F118" s="61">
        <f>'CUMPLIMIENTO '!G118</f>
        <v>0.48</v>
      </c>
      <c r="G118" s="61">
        <f>'CUMPLIMIENTO '!H118</f>
        <v>0.375</v>
      </c>
    </row>
    <row r="119" spans="1:7" ht="15.75" hidden="1" x14ac:dyDescent="0.25">
      <c r="A119" s="198" t="str">
        <f>'CUMPLIMIENTO '!A119</f>
        <v>PROGRAMA</v>
      </c>
      <c r="B119" s="106" t="str">
        <f>'CUMPLIMIENTO '!B119</f>
        <v>5.1.4</v>
      </c>
      <c r="C119" s="111" t="str">
        <f>'CUMPLIMIENTO '!C119</f>
        <v xml:space="preserve">Ingreso, trabajo y productividad en el campo. </v>
      </c>
      <c r="D119" s="199">
        <f>'CUMPLIMIENTO '!D119</f>
        <v>10</v>
      </c>
      <c r="E119" s="199">
        <f>'CUMPLIMIENTO '!E119</f>
        <v>7</v>
      </c>
      <c r="F119" s="61">
        <f>'CUMPLIMIENTO '!G119</f>
        <v>0.28860000000000002</v>
      </c>
      <c r="G119" s="61">
        <f>'CUMPLIMIENTO '!H119</f>
        <v>5.5555555555555552E-2</v>
      </c>
    </row>
    <row r="120" spans="1:7" ht="15.75" hidden="1" x14ac:dyDescent="0.25">
      <c r="A120" s="198" t="str">
        <f>'CUMPLIMIENTO '!A120</f>
        <v>PROGRAMA</v>
      </c>
      <c r="B120" s="106" t="str">
        <f>'CUMPLIMIENTO '!B120</f>
        <v>5.1.5</v>
      </c>
      <c r="C120" s="111" t="str">
        <f>'CUMPLIMIENTO '!C120</f>
        <v>Infraestructura rural.</v>
      </c>
      <c r="D120" s="199">
        <f>'CUMPLIMIENTO '!D120</f>
        <v>2</v>
      </c>
      <c r="E120" s="199">
        <f>'CUMPLIMIENTO '!E120</f>
        <v>2</v>
      </c>
      <c r="F120" s="61">
        <f>'CUMPLIMIENTO '!G120</f>
        <v>0.71323529411764697</v>
      </c>
      <c r="G120" s="61">
        <f>'CUMPLIMIENTO '!H120</f>
        <v>0.85</v>
      </c>
    </row>
    <row r="121" spans="1:7" ht="15.75" hidden="1" x14ac:dyDescent="0.25">
      <c r="A121" s="198" t="str">
        <f>'CUMPLIMIENTO '!A121</f>
        <v>PROGRAMA</v>
      </c>
      <c r="B121" s="106" t="str">
        <f>'CUMPLIMIENTO '!B121</f>
        <v>5.1.6</v>
      </c>
      <c r="C121" s="111" t="str">
        <f>'CUMPLIMIENTO '!C121</f>
        <v>Cultura, deporte y recreación en el campo.</v>
      </c>
      <c r="D121" s="199">
        <f>'CUMPLIMIENTO '!D121</f>
        <v>6</v>
      </c>
      <c r="E121" s="199">
        <f>'CUMPLIMIENTO '!E121</f>
        <v>1</v>
      </c>
      <c r="F121" s="61">
        <f>'CUMPLIMIENTO '!G121</f>
        <v>3.5000000000000003E-2</v>
      </c>
      <c r="G121" s="61">
        <f>'CUMPLIMIENTO '!H121</f>
        <v>0.15277777777777776</v>
      </c>
    </row>
    <row r="122" spans="1:7" ht="31.5" x14ac:dyDescent="0.25">
      <c r="A122" s="273" t="str">
        <f>'CUMPLIMIENTO '!A122</f>
        <v>EJE ESTRATEGICO</v>
      </c>
      <c r="B122" s="274">
        <f>'CUMPLIMIENTO '!B122</f>
        <v>6</v>
      </c>
      <c r="C122" s="413" t="str">
        <f>'CUMPLIMIENTO '!C122</f>
        <v>GRUPOS POBLACIONALES</v>
      </c>
      <c r="D122" s="414">
        <f>'CUMPLIMIENTO '!D122</f>
        <v>128</v>
      </c>
      <c r="E122" s="414">
        <f>'CUMPLIMIENTO '!E122</f>
        <v>83</v>
      </c>
      <c r="F122" s="415">
        <f>'CUMPLIMIENTO '!G122</f>
        <v>0.29743627103134557</v>
      </c>
      <c r="G122" s="415">
        <f>'CUMPLIMIENTO '!H122</f>
        <v>0.18931768927175735</v>
      </c>
    </row>
    <row r="123" spans="1:7" ht="31.5" x14ac:dyDescent="0.25">
      <c r="A123" s="202" t="str">
        <f>'CUMPLIMIENTO '!A123</f>
        <v>LINEA</v>
      </c>
      <c r="B123" s="203" t="str">
        <f>'CUMPLIMIENTO '!B123</f>
        <v>6.1</v>
      </c>
      <c r="C123" s="221" t="str">
        <f>'CUMPLIMIENTO '!C123</f>
        <v xml:space="preserve">CAPITULO ATENCIÓN A VÍCTIMAS, CONSTRUCCIÓN DE PAZ Y RECONCILIACIÓN </v>
      </c>
      <c r="D123" s="280">
        <f>'CUMPLIMIENTO '!D123</f>
        <v>52</v>
      </c>
      <c r="E123" s="280">
        <f>'CUMPLIMIENTO '!E123</f>
        <v>38</v>
      </c>
      <c r="F123" s="281">
        <f>'CUMPLIMIENTO '!G123</f>
        <v>0.22420701145984015</v>
      </c>
      <c r="G123" s="282">
        <f>'CUMPLIMIENTO '!H123</f>
        <v>0.27793974732750243</v>
      </c>
    </row>
    <row r="124" spans="1:7" ht="15.75" hidden="1" x14ac:dyDescent="0.25">
      <c r="A124" s="198" t="str">
        <f>'CUMPLIMIENTO '!A124</f>
        <v>PROGRAMA</v>
      </c>
      <c r="B124" s="106" t="str">
        <f>'CUMPLIMIENTO '!B124</f>
        <v>6.1.1</v>
      </c>
      <c r="C124" s="111" t="str">
        <f>'CUMPLIMIENTO '!C124</f>
        <v>Atención y Asistencia</v>
      </c>
      <c r="D124" s="199">
        <f>'CUMPLIMIENTO '!D124</f>
        <v>16</v>
      </c>
      <c r="E124" s="199">
        <f>'CUMPLIMIENTO '!E124</f>
        <v>9</v>
      </c>
      <c r="F124" s="61">
        <f>'CUMPLIMIENTO '!G124</f>
        <v>0.25437813283208016</v>
      </c>
      <c r="G124" s="61">
        <f>'CUMPLIMIENTO '!H124</f>
        <v>0.29777777777777775</v>
      </c>
    </row>
    <row r="125" spans="1:7" ht="15.75" hidden="1" x14ac:dyDescent="0.25">
      <c r="A125" s="198" t="str">
        <f>'CUMPLIMIENTO '!A125</f>
        <v>PROGRAMA</v>
      </c>
      <c r="B125" s="106" t="str">
        <f>'CUMPLIMIENTO '!B125</f>
        <v>6.1.2</v>
      </c>
      <c r="C125" s="111" t="str">
        <f>'CUMPLIMIENTO '!C125</f>
        <v>Prevención y Protección</v>
      </c>
      <c r="D125" s="199">
        <f>'CUMPLIMIENTO '!D125</f>
        <v>5</v>
      </c>
      <c r="E125" s="199">
        <f>'CUMPLIMIENTO '!E125</f>
        <v>5</v>
      </c>
      <c r="F125" s="61">
        <f>'CUMPLIMIENTO '!G125</f>
        <v>0.16250000000000001</v>
      </c>
      <c r="G125" s="61">
        <f>'CUMPLIMIENTO '!H125</f>
        <v>0.2</v>
      </c>
    </row>
    <row r="126" spans="1:7" ht="15.75" hidden="1" x14ac:dyDescent="0.25">
      <c r="A126" s="198" t="str">
        <f>'CUMPLIMIENTO '!A126</f>
        <v>PROGRAMA</v>
      </c>
      <c r="B126" s="106" t="str">
        <f>'CUMPLIMIENTO '!B126</f>
        <v xml:space="preserve">6.1.3 </v>
      </c>
      <c r="C126" s="111" t="str">
        <f>'CUMPLIMIENTO '!C126</f>
        <v xml:space="preserve">Reparación Colectiva, retornos y reubicaciones </v>
      </c>
      <c r="D126" s="199">
        <f>'CUMPLIMIENTO '!D126</f>
        <v>3</v>
      </c>
      <c r="E126" s="199">
        <f>'CUMPLIMIENTO '!E126</f>
        <v>3</v>
      </c>
      <c r="F126" s="61">
        <f>'CUMPLIMIENTO '!G126</f>
        <v>0.16250000000000001</v>
      </c>
      <c r="G126" s="61">
        <f>'CUMPLIMIENTO '!H126</f>
        <v>0.12222222222222223</v>
      </c>
    </row>
    <row r="127" spans="1:7" ht="15.75" hidden="1" x14ac:dyDescent="0.25">
      <c r="A127" s="198" t="str">
        <f>'CUMPLIMIENTO '!A127</f>
        <v>PROGRAMA</v>
      </c>
      <c r="B127" s="106" t="str">
        <f>'CUMPLIMIENTO '!B127</f>
        <v xml:space="preserve">6.1.4 </v>
      </c>
      <c r="C127" s="111" t="str">
        <f>'CUMPLIMIENTO '!C127</f>
        <v>Participación efectiva</v>
      </c>
      <c r="D127" s="199">
        <f>'CUMPLIMIENTO '!D127</f>
        <v>5</v>
      </c>
      <c r="E127" s="199">
        <f>'CUMPLIMIENTO '!E127</f>
        <v>4</v>
      </c>
      <c r="F127" s="61">
        <f>'CUMPLIMIENTO '!G127</f>
        <v>0.10482336956521739</v>
      </c>
      <c r="G127" s="61">
        <f>'CUMPLIMIENTO '!H127</f>
        <v>0.10500000000000001</v>
      </c>
    </row>
    <row r="128" spans="1:7" ht="15.75" hidden="1" x14ac:dyDescent="0.25">
      <c r="A128" s="198" t="str">
        <f>'CUMPLIMIENTO '!A128</f>
        <v>PROGRAMA</v>
      </c>
      <c r="B128" s="106" t="str">
        <f>'CUMPLIMIENTO '!B128</f>
        <v xml:space="preserve">6.1.5 </v>
      </c>
      <c r="C128" s="111" t="str">
        <f>'CUMPLIMIENTO '!C128</f>
        <v xml:space="preserve">Fortalecimiento para la Gestión institucional y Sistemas de Información </v>
      </c>
      <c r="D128" s="199">
        <f>'CUMPLIMIENTO '!D128</f>
        <v>11</v>
      </c>
      <c r="E128" s="199">
        <f>'CUMPLIMIENTO '!E128</f>
        <v>10</v>
      </c>
      <c r="F128" s="61">
        <f>'CUMPLIMIENTO '!G128</f>
        <v>0.35759313766714318</v>
      </c>
      <c r="G128" s="61">
        <f>'CUMPLIMIENTO '!H128</f>
        <v>0.21224489795918369</v>
      </c>
    </row>
    <row r="129" spans="1:11" ht="15.75" hidden="1" x14ac:dyDescent="0.25">
      <c r="A129" s="198" t="str">
        <f>'CUMPLIMIENTO '!A129</f>
        <v>PROGRAMA</v>
      </c>
      <c r="B129" s="106" t="str">
        <f>'CUMPLIMIENTO '!B129</f>
        <v>6.1.6</v>
      </c>
      <c r="C129" s="111" t="str">
        <f>'CUMPLIMIENTO '!C129</f>
        <v>Restitución de tierras</v>
      </c>
      <c r="D129" s="199">
        <f>'CUMPLIMIENTO '!D129</f>
        <v>4</v>
      </c>
      <c r="E129" s="199">
        <f>'CUMPLIMIENTO '!E129</f>
        <v>4</v>
      </c>
      <c r="F129" s="61">
        <f>'CUMPLIMIENTO '!G129</f>
        <v>0.38063063063063063</v>
      </c>
      <c r="G129" s="61">
        <f>'CUMPLIMIENTO '!H129</f>
        <v>0.8</v>
      </c>
    </row>
    <row r="130" spans="1:11" ht="30" hidden="1" x14ac:dyDescent="0.25">
      <c r="A130" s="198" t="str">
        <f>'CUMPLIMIENTO '!A130</f>
        <v>PROGRAMA</v>
      </c>
      <c r="B130" s="106" t="str">
        <f>'CUMPLIMIENTO '!B130</f>
        <v>6.1.7</v>
      </c>
      <c r="C130" s="111" t="str">
        <f>'CUMPLIMIENTO '!C130</f>
        <v>Programa: Inclusión y reincorporación comunitaria para la consolidación de la paz</v>
      </c>
      <c r="D130" s="199">
        <f>'CUMPLIMIENTO '!D130</f>
        <v>8</v>
      </c>
      <c r="E130" s="199">
        <f>'CUMPLIMIENTO '!E130</f>
        <v>3</v>
      </c>
      <c r="F130" s="61">
        <f>'CUMPLIMIENTO '!G130</f>
        <v>0.14702380952380953</v>
      </c>
      <c r="G130" s="61">
        <f>'CUMPLIMIENTO '!H130</f>
        <v>0.20833333333333331</v>
      </c>
    </row>
    <row r="131" spans="1:11" ht="21" x14ac:dyDescent="0.25">
      <c r="A131" s="268" t="str">
        <f>'CUMPLIMIENTO '!A131</f>
        <v>LINEA</v>
      </c>
      <c r="B131" s="269" t="str">
        <f>'CUMPLIMIENTO '!B131</f>
        <v>6.2</v>
      </c>
      <c r="C131" s="268" t="str">
        <f>'CUMPLIMIENTO '!C131</f>
        <v>CAPITULO DE MINORÍAS ÉTNICAS.</v>
      </c>
      <c r="D131" s="283">
        <f>'CUMPLIMIENTO '!D131</f>
        <v>37</v>
      </c>
      <c r="E131" s="283">
        <f>'CUMPLIMIENTO '!E131</f>
        <v>10</v>
      </c>
      <c r="F131" s="284">
        <f>'CUMPLIMIENTO '!G131</f>
        <v>0.12273065476190476</v>
      </c>
      <c r="G131" s="285">
        <f>'CUMPLIMIENTO '!H131</f>
        <v>0.12968749999999998</v>
      </c>
    </row>
    <row r="132" spans="1:11" ht="15.75" hidden="1" x14ac:dyDescent="0.25">
      <c r="A132" s="198" t="str">
        <f>'CUMPLIMIENTO '!A132</f>
        <v>PROGRAMA</v>
      </c>
      <c r="B132" s="106" t="str">
        <f>'CUMPLIMIENTO '!B132</f>
        <v>6.2.1</v>
      </c>
      <c r="C132" s="111" t="str">
        <f>'CUMPLIMIENTO '!C132</f>
        <v xml:space="preserve">Fortalecimiento de los procesos organizacionales de la población NARP. </v>
      </c>
      <c r="D132" s="199">
        <f>'CUMPLIMIENTO '!D132</f>
        <v>4</v>
      </c>
      <c r="E132" s="199">
        <f>'CUMPLIMIENTO '!E132</f>
        <v>4</v>
      </c>
      <c r="F132" s="61">
        <f>'CUMPLIMIENTO '!G132</f>
        <v>0.453125</v>
      </c>
      <c r="G132" s="61">
        <f>'CUMPLIMIENTO '!H132</f>
        <v>0.4375</v>
      </c>
    </row>
    <row r="133" spans="1:11" ht="30" hidden="1" x14ac:dyDescent="0.25">
      <c r="A133" s="198" t="str">
        <f>'CUMPLIMIENTO '!A133</f>
        <v>PROGRAMA</v>
      </c>
      <c r="B133" s="106" t="str">
        <f>'CUMPLIMIENTO '!B133</f>
        <v>6.2.2</v>
      </c>
      <c r="C133" s="111" t="str">
        <f>'CUMPLIMIENTO '!C133</f>
        <v>Mujer y género en población negra, afrocolombiana, raizal, palenquera, indígena y rom</v>
      </c>
      <c r="D133" s="199">
        <f>'CUMPLIMIENTO '!D133</f>
        <v>4</v>
      </c>
      <c r="E133" s="199">
        <f>'CUMPLIMIENTO '!E133</f>
        <v>2</v>
      </c>
      <c r="F133" s="61">
        <f>'CUMPLIMIENTO '!G133</f>
        <v>4.0625000000000001E-2</v>
      </c>
      <c r="G133" s="61">
        <f>'CUMPLIMIENTO '!H133</f>
        <v>0.1</v>
      </c>
    </row>
    <row r="134" spans="1:11" ht="15.75" hidden="1" x14ac:dyDescent="0.25">
      <c r="A134" s="198" t="str">
        <f>'CUMPLIMIENTO '!A134</f>
        <v>PROGRAMA</v>
      </c>
      <c r="B134" s="106" t="str">
        <f>'CUMPLIMIENTO '!B134</f>
        <v>6.2.3</v>
      </c>
      <c r="C134" s="111" t="str">
        <f>'CUMPLIMIENTO '!C134</f>
        <v>Arte, cultura y patrimonio</v>
      </c>
      <c r="D134" s="199">
        <f>'CUMPLIMIENTO '!D134</f>
        <v>7</v>
      </c>
      <c r="E134" s="199" t="str">
        <f>'CUMPLIMIENTO '!E134</f>
        <v>NP</v>
      </c>
      <c r="F134" s="61">
        <f>'CUMPLIMIENTO '!G134</f>
        <v>0</v>
      </c>
      <c r="G134" s="61">
        <f>'CUMPLIMIENTO '!H134</f>
        <v>0</v>
      </c>
    </row>
    <row r="135" spans="1:11" ht="15.75" hidden="1" x14ac:dyDescent="0.25">
      <c r="A135" s="198" t="str">
        <f>'CUMPLIMIENTO '!A135</f>
        <v>PROGRAMA</v>
      </c>
      <c r="B135" s="106" t="str">
        <f>'CUMPLIMIENTO '!B135</f>
        <v>6,2,4</v>
      </c>
      <c r="C135" s="111" t="str">
        <f>'CUMPLIMIENTO '!C135</f>
        <v>Recreación y deporte.</v>
      </c>
      <c r="D135" s="199">
        <f>'CUMPLIMIENTO '!D135</f>
        <v>1</v>
      </c>
      <c r="E135" s="199" t="str">
        <f>'CUMPLIMIENTO '!E135</f>
        <v>NP</v>
      </c>
      <c r="F135" s="61">
        <f>'CUMPLIMIENTO '!G135</f>
        <v>0</v>
      </c>
      <c r="G135" s="61">
        <f>'CUMPLIMIENTO '!H135</f>
        <v>0</v>
      </c>
    </row>
    <row r="136" spans="1:11" ht="15.75" hidden="1" x14ac:dyDescent="0.25">
      <c r="A136" s="198" t="str">
        <f>'CUMPLIMIENTO '!A136</f>
        <v>PROGRAMA</v>
      </c>
      <c r="B136" s="106" t="str">
        <f>'CUMPLIMIENTO '!B136</f>
        <v>6,2,5</v>
      </c>
      <c r="C136" s="111" t="str">
        <f>'CUMPLIMIENTO '!C136</f>
        <v>Desarrollo económico</v>
      </c>
      <c r="D136" s="199">
        <f>'CUMPLIMIENTO '!D136</f>
        <v>7</v>
      </c>
      <c r="E136" s="199">
        <f>'CUMPLIMIENTO '!E136</f>
        <v>1</v>
      </c>
      <c r="F136" s="61">
        <f>'CUMPLIMIENTO '!G136</f>
        <v>7.1428571428571425E-2</v>
      </c>
      <c r="G136" s="61">
        <f>'CUMPLIMIENTO '!H136</f>
        <v>0.16666666666666666</v>
      </c>
    </row>
    <row r="137" spans="1:11" ht="15.75" hidden="1" x14ac:dyDescent="0.25">
      <c r="A137" s="198" t="str">
        <f>'CUMPLIMIENTO '!A137</f>
        <v>PROGRAMA</v>
      </c>
      <c r="B137" s="106" t="str">
        <f>'CUMPLIMIENTO '!B137</f>
        <v>6.2.6</v>
      </c>
      <c r="C137" s="111" t="str">
        <f>'CUMPLIMIENTO '!C137</f>
        <v>Educación</v>
      </c>
      <c r="D137" s="199">
        <f>'CUMPLIMIENTO '!D137</f>
        <v>6</v>
      </c>
      <c r="E137" s="199" t="str">
        <f>'CUMPLIMIENTO '!E137</f>
        <v>NP</v>
      </c>
      <c r="F137" s="61">
        <f>'CUMPLIMIENTO '!G137</f>
        <v>0</v>
      </c>
      <c r="G137" s="61">
        <f>'CUMPLIMIENTO '!H137</f>
        <v>0</v>
      </c>
    </row>
    <row r="138" spans="1:11" ht="15.75" hidden="1" x14ac:dyDescent="0.25">
      <c r="A138" s="198" t="str">
        <f>'CUMPLIMIENTO '!A138</f>
        <v>PROGRAMA</v>
      </c>
      <c r="B138" s="106" t="str">
        <f>'CUMPLIMIENTO '!B138</f>
        <v>6.2.7</v>
      </c>
      <c r="C138" s="111" t="str">
        <f>'CUMPLIMIENTO '!C138</f>
        <v>Derechos Humanos</v>
      </c>
      <c r="D138" s="199">
        <f>'CUMPLIMIENTO '!D138</f>
        <v>3</v>
      </c>
      <c r="E138" s="199">
        <f>'CUMPLIMIENTO '!E138</f>
        <v>1</v>
      </c>
      <c r="F138" s="61">
        <f>'CUMPLIMIENTO '!G138</f>
        <v>0.16666666666666666</v>
      </c>
      <c r="G138" s="61">
        <f>'CUMPLIMIENTO '!H138</f>
        <v>0</v>
      </c>
    </row>
    <row r="139" spans="1:11" ht="15.75" hidden="1" x14ac:dyDescent="0.25">
      <c r="A139" s="198" t="str">
        <f>'CUMPLIMIENTO '!A139</f>
        <v>PROGRAMA</v>
      </c>
      <c r="B139" s="106" t="str">
        <f>'CUMPLIMIENTO '!B139</f>
        <v>6.2.8</v>
      </c>
      <c r="C139" s="111" t="str">
        <f>'CUMPLIMIENTO '!C139</f>
        <v>Atención a población indígena.</v>
      </c>
      <c r="D139" s="199">
        <f>'CUMPLIMIENTO '!D139</f>
        <v>5</v>
      </c>
      <c r="E139" s="199">
        <f>'CUMPLIMIENTO '!E139</f>
        <v>2</v>
      </c>
      <c r="F139" s="61">
        <f>'CUMPLIMIENTO '!G139</f>
        <v>0.25</v>
      </c>
      <c r="G139" s="61">
        <f>'CUMPLIMIENTO '!H139</f>
        <v>0.33333333333333331</v>
      </c>
      <c r="H139" s="62"/>
    </row>
    <row r="140" spans="1:11" ht="31.5" x14ac:dyDescent="0.25">
      <c r="A140" s="202" t="str">
        <f>'CUMPLIMIENTO '!A140</f>
        <v>LINEA</v>
      </c>
      <c r="B140" s="203" t="str">
        <f>'CUMPLIMIENTO '!B140</f>
        <v>6.3</v>
      </c>
      <c r="C140" s="221" t="str">
        <f>'CUMPLIMIENTO '!C140</f>
        <v>CAPITULO NIÑOS Y NIÑAS EN SU PRIMERA INFANCIA, INFANCIA Y ADOLESCENCIA.</v>
      </c>
      <c r="D140" s="280">
        <f>'CUMPLIMIENTO '!D140</f>
        <v>9</v>
      </c>
      <c r="E140" s="280">
        <f>'CUMPLIMIENTO '!E140</f>
        <v>7</v>
      </c>
      <c r="F140" s="281">
        <f>'CUMPLIMIENTO '!G140</f>
        <v>0.53456790123456799</v>
      </c>
      <c r="G140" s="282">
        <f>'CUMPLIMIENTO '!H140</f>
        <v>0.25</v>
      </c>
    </row>
    <row r="141" spans="1:11" ht="15.75" hidden="1" x14ac:dyDescent="0.25">
      <c r="A141" s="198" t="str">
        <f>'CUMPLIMIENTO '!A141</f>
        <v>PROGRAMA</v>
      </c>
      <c r="B141" s="106" t="str">
        <f>'CUMPLIMIENTO '!B141</f>
        <v>6.3.1</v>
      </c>
      <c r="C141" s="111" t="str">
        <f>'CUMPLIMIENTO '!C141</f>
        <v>Niños y niñas en su primera infancia, infancia y adolescencia</v>
      </c>
      <c r="D141" s="199">
        <f>'CUMPLIMIENTO '!D141</f>
        <v>9</v>
      </c>
      <c r="E141" s="199">
        <f>'CUMPLIMIENTO '!E141</f>
        <v>7</v>
      </c>
      <c r="F141" s="61">
        <f>'CUMPLIMIENTO '!G141</f>
        <v>0.53456790123456799</v>
      </c>
      <c r="G141" s="61">
        <f>'CUMPLIMIENTO '!H141</f>
        <v>0.25</v>
      </c>
    </row>
    <row r="142" spans="1:11" ht="21" x14ac:dyDescent="0.25">
      <c r="A142" s="268" t="str">
        <f>'CUMPLIMIENTO '!A142</f>
        <v>LINEA</v>
      </c>
      <c r="B142" s="269" t="str">
        <f>'CUMPLIMIENTO '!B142</f>
        <v>6.4</v>
      </c>
      <c r="C142" s="268" t="str">
        <f>'CUMPLIMIENTO '!C142</f>
        <v>JUVENTUD</v>
      </c>
      <c r="D142" s="283">
        <f>'CUMPLIMIENTO '!D142</f>
        <v>4</v>
      </c>
      <c r="E142" s="283">
        <f>'CUMPLIMIENTO '!E142</f>
        <v>4</v>
      </c>
      <c r="F142" s="284">
        <f>'CUMPLIMIENTO '!G142</f>
        <v>0.44374999999999998</v>
      </c>
      <c r="G142" s="285">
        <f>'CUMPLIMIENTO '!H142</f>
        <v>0.35638297872340424</v>
      </c>
      <c r="J142" s="77"/>
      <c r="K142" s="77"/>
    </row>
    <row r="143" spans="1:11" ht="15.75" hidden="1" x14ac:dyDescent="0.25">
      <c r="A143" s="198" t="str">
        <f>'CUMPLIMIENTO '!A143</f>
        <v>PROGRAMA</v>
      </c>
      <c r="B143" s="106" t="str">
        <f>'CUMPLIMIENTO '!B143</f>
        <v>6.4.1</v>
      </c>
      <c r="C143" s="111" t="str">
        <f>'CUMPLIMIENTO '!C143</f>
        <v>Juventud</v>
      </c>
      <c r="D143" s="199">
        <f>'CUMPLIMIENTO '!D143</f>
        <v>4</v>
      </c>
      <c r="E143" s="199">
        <f>'CUMPLIMIENTO '!E143</f>
        <v>4</v>
      </c>
      <c r="F143" s="61">
        <f>'CUMPLIMIENTO '!G143</f>
        <v>0.44374999999999998</v>
      </c>
      <c r="G143" s="61">
        <f>'CUMPLIMIENTO '!H143</f>
        <v>0.35638297872340424</v>
      </c>
      <c r="J143" s="77"/>
      <c r="K143" s="77"/>
    </row>
    <row r="144" spans="1:11" ht="31.5" x14ac:dyDescent="0.25">
      <c r="A144" s="202" t="str">
        <f>'CUMPLIMIENTO '!A144</f>
        <v>LINEA</v>
      </c>
      <c r="B144" s="203" t="str">
        <f>'CUMPLIMIENTO '!B144</f>
        <v>6.5</v>
      </c>
      <c r="C144" s="221" t="str">
        <f>'CUMPLIMIENTO '!C144</f>
        <v xml:space="preserve">BOLÍVAR GARANTIZA DERECHOS Y CUBRE LAS NECESIDADES DE ENVEJECIMIENTO Y VEJEZ. </v>
      </c>
      <c r="D144" s="280">
        <f>'CUMPLIMIENTO '!D144</f>
        <v>7</v>
      </c>
      <c r="E144" s="280">
        <f>'CUMPLIMIENTO '!E144</f>
        <v>6</v>
      </c>
      <c r="F144" s="281">
        <f>'CUMPLIMIENTO '!G144</f>
        <v>0.38174603174603178</v>
      </c>
      <c r="G144" s="282">
        <f>'CUMPLIMIENTO '!H144</f>
        <v>0</v>
      </c>
      <c r="J144" s="77"/>
      <c r="K144" s="77"/>
    </row>
    <row r="145" spans="1:11" ht="30" hidden="1" x14ac:dyDescent="0.25">
      <c r="A145" s="198" t="str">
        <f>'CUMPLIMIENTO '!A145</f>
        <v>PROGRAMA</v>
      </c>
      <c r="B145" s="106" t="str">
        <f>'CUMPLIMIENTO '!B145</f>
        <v>6.5.1</v>
      </c>
      <c r="C145" s="111" t="str">
        <f>'CUMPLIMIENTO '!C145</f>
        <v>Bolívar garantiza derechos y cubre las necesidades de envejecimiento y vejez.</v>
      </c>
      <c r="D145" s="199">
        <f>'CUMPLIMIENTO '!D145</f>
        <v>7</v>
      </c>
      <c r="E145" s="199">
        <f>'CUMPLIMIENTO '!E145</f>
        <v>6</v>
      </c>
      <c r="F145" s="61">
        <f>'CUMPLIMIENTO '!G145</f>
        <v>0.38174603174603178</v>
      </c>
      <c r="G145" s="61">
        <f>'CUMPLIMIENTO '!H145</f>
        <v>0</v>
      </c>
      <c r="J145" s="77"/>
      <c r="K145" s="77"/>
    </row>
    <row r="146" spans="1:11" ht="31.5" x14ac:dyDescent="0.25">
      <c r="A146" s="268" t="str">
        <f>'CUMPLIMIENTO '!A146</f>
        <v>LINEA</v>
      </c>
      <c r="B146" s="269" t="str">
        <f>'CUMPLIMIENTO '!B146</f>
        <v>6.6</v>
      </c>
      <c r="C146" s="279" t="str">
        <f>'CUMPLIMIENTO '!C146</f>
        <v>BOLÍVAR PRIMERO GARANTIZA LA EQUIDAD DE GÉNERO Y LA AUTONOMÍA DE LA MUJER BOLIVARENSE.</v>
      </c>
      <c r="D146" s="283">
        <f>'CUMPLIMIENTO '!D146</f>
        <v>9</v>
      </c>
      <c r="E146" s="283">
        <f>'CUMPLIMIENTO '!E146</f>
        <v>8</v>
      </c>
      <c r="F146" s="284">
        <f>'CUMPLIMIENTO '!G146</f>
        <v>0.44444444444444442</v>
      </c>
      <c r="G146" s="285">
        <f>'CUMPLIMIENTO '!H146</f>
        <v>0.25</v>
      </c>
      <c r="J146" s="77"/>
      <c r="K146" s="77"/>
    </row>
    <row r="147" spans="1:11" ht="15.75" hidden="1" x14ac:dyDescent="0.25">
      <c r="A147" s="198" t="str">
        <f>'CUMPLIMIENTO '!A147</f>
        <v>PROGRAMA</v>
      </c>
      <c r="B147" s="106" t="str">
        <f>'CUMPLIMIENTO '!B147</f>
        <v>6.6.1</v>
      </c>
      <c r="C147" s="111" t="str">
        <f>'CUMPLIMIENTO '!C147</f>
        <v>Mujer Bolivarense</v>
      </c>
      <c r="D147" s="199">
        <f>'CUMPLIMIENTO '!D147</f>
        <v>9</v>
      </c>
      <c r="E147" s="199">
        <f>'CUMPLIMIENTO '!E147</f>
        <v>8</v>
      </c>
      <c r="F147" s="61">
        <f>'CUMPLIMIENTO '!G147</f>
        <v>0.44444444444444442</v>
      </c>
      <c r="G147" s="61">
        <f>'CUMPLIMIENTO '!H147</f>
        <v>0.25</v>
      </c>
      <c r="J147" s="77"/>
      <c r="K147" s="77"/>
    </row>
    <row r="148" spans="1:11" ht="21" x14ac:dyDescent="0.25">
      <c r="A148" s="202" t="str">
        <f>'CUMPLIMIENTO '!A148</f>
        <v>LINEA</v>
      </c>
      <c r="B148" s="203" t="str">
        <f>'CUMPLIMIENTO '!B148</f>
        <v>6.7</v>
      </c>
      <c r="C148" s="202" t="str">
        <f>'CUMPLIMIENTO '!C148</f>
        <v>CAPITULO LGTBIQ</v>
      </c>
      <c r="D148" s="280">
        <f>'CUMPLIMIENTO '!D148</f>
        <v>4</v>
      </c>
      <c r="E148" s="280">
        <f>'CUMPLIMIENTO '!E148</f>
        <v>4</v>
      </c>
      <c r="F148" s="281">
        <f>'CUMPLIMIENTO '!G148</f>
        <v>0.47291666666666665</v>
      </c>
      <c r="G148" s="282">
        <f>'CUMPLIMIENTO '!H148</f>
        <v>0.14583333333333331</v>
      </c>
      <c r="J148" s="150"/>
      <c r="K148" s="150"/>
    </row>
    <row r="149" spans="1:11" ht="15.75" hidden="1" x14ac:dyDescent="0.25">
      <c r="A149" s="198" t="str">
        <f>'CUMPLIMIENTO '!A149</f>
        <v>PROGRAMA</v>
      </c>
      <c r="B149" s="106" t="str">
        <f>'CUMPLIMIENTO '!B149</f>
        <v>6.7.1</v>
      </c>
      <c r="C149" s="111" t="str">
        <f>'CUMPLIMIENTO '!C149</f>
        <v>LGTBIQ</v>
      </c>
      <c r="D149" s="199">
        <f>'CUMPLIMIENTO '!D149</f>
        <v>4</v>
      </c>
      <c r="E149" s="199">
        <f>'CUMPLIMIENTO '!E149</f>
        <v>4</v>
      </c>
      <c r="F149" s="61">
        <f>'CUMPLIMIENTO '!G149</f>
        <v>0.47291666666666665</v>
      </c>
      <c r="G149" s="61">
        <f>'CUMPLIMIENTO '!H149</f>
        <v>0.14583333333333331</v>
      </c>
    </row>
    <row r="150" spans="1:11" ht="21" x14ac:dyDescent="0.25">
      <c r="A150" s="268" t="str">
        <f>'CUMPLIMIENTO '!A150</f>
        <v>LINEA</v>
      </c>
      <c r="B150" s="269" t="str">
        <f>'CUMPLIMIENTO '!B150</f>
        <v>6.8</v>
      </c>
      <c r="C150" s="268" t="str">
        <f>'CUMPLIMIENTO '!C150</f>
        <v>CAPITULO POBLACIÓN EN SITUACIÓN DE DISCAPACIDAD</v>
      </c>
      <c r="D150" s="283">
        <f>'CUMPLIMIENTO '!D150</f>
        <v>2</v>
      </c>
      <c r="E150" s="283">
        <f>'CUMPLIMIENTO '!E150</f>
        <v>2</v>
      </c>
      <c r="F150" s="284">
        <f>'CUMPLIMIENTO '!G150</f>
        <v>0.2</v>
      </c>
      <c r="G150" s="285">
        <f>'CUMPLIMIENTO '!H150</f>
        <v>0.31666666666666665</v>
      </c>
    </row>
    <row r="151" spans="1:11" ht="15.75" hidden="1" x14ac:dyDescent="0.25">
      <c r="A151" s="198" t="str">
        <f>'CUMPLIMIENTO '!A151</f>
        <v>PROGRAMA</v>
      </c>
      <c r="B151" s="106" t="str">
        <f>'CUMPLIMIENTO '!B151</f>
        <v>6.8.1</v>
      </c>
      <c r="C151" s="111" t="str">
        <f>'CUMPLIMIENTO '!C151</f>
        <v>Población en situación de discapacidad</v>
      </c>
      <c r="D151" s="199">
        <f>'CUMPLIMIENTO '!D151</f>
        <v>2</v>
      </c>
      <c r="E151" s="199">
        <f>'CUMPLIMIENTO '!E151</f>
        <v>2</v>
      </c>
      <c r="F151" s="61">
        <f>'CUMPLIMIENTO '!G151</f>
        <v>0.2</v>
      </c>
      <c r="G151" s="61">
        <f>'CUMPLIMIENTO '!H151</f>
        <v>0.31666666666666665</v>
      </c>
    </row>
    <row r="152" spans="1:11" ht="21" x14ac:dyDescent="0.25">
      <c r="A152" s="202" t="str">
        <f>'CUMPLIMIENTO '!A152</f>
        <v>LINEA</v>
      </c>
      <c r="B152" s="203" t="str">
        <f>'CUMPLIMIENTO '!B152</f>
        <v>6.9</v>
      </c>
      <c r="C152" s="202" t="str">
        <f>'CUMPLIMIENTO '!C152</f>
        <v>ASUNTOS RELIGIOSOS</v>
      </c>
      <c r="D152" s="280">
        <f>'CUMPLIMIENTO '!D152</f>
        <v>2</v>
      </c>
      <c r="E152" s="280">
        <f>'CUMPLIMIENTO '!E152</f>
        <v>2</v>
      </c>
      <c r="F152" s="281">
        <f>'CUMPLIMIENTO '!G152</f>
        <v>0.15</v>
      </c>
      <c r="G152" s="282">
        <f>'CUMPLIMIENTO '!H152</f>
        <v>0.16666666666666666</v>
      </c>
    </row>
    <row r="153" spans="1:11" ht="15.75" hidden="1" x14ac:dyDescent="0.25">
      <c r="A153" s="198" t="str">
        <f>'CUMPLIMIENTO '!A153</f>
        <v>PROGRAMA</v>
      </c>
      <c r="B153" s="106" t="str">
        <f>'CUMPLIMIENTO '!B153</f>
        <v>6.9.1</v>
      </c>
      <c r="C153" s="111" t="str">
        <f>'CUMPLIMIENTO '!C153</f>
        <v>Asuntos religiosos</v>
      </c>
      <c r="D153" s="199">
        <f>'CUMPLIMIENTO '!D153</f>
        <v>2</v>
      </c>
      <c r="E153" s="199">
        <f>'CUMPLIMIENTO '!E153</f>
        <v>2</v>
      </c>
      <c r="F153" s="61">
        <f>'CUMPLIMIENTO '!G153</f>
        <v>0.15</v>
      </c>
      <c r="G153" s="61">
        <f>'CUMPLIMIENTO '!H153</f>
        <v>0.16666666666666666</v>
      </c>
    </row>
    <row r="154" spans="1:11" ht="15.75" x14ac:dyDescent="0.25">
      <c r="A154" s="202" t="str">
        <f>'CUMPLIMIENTO '!A154</f>
        <v>LINEA</v>
      </c>
      <c r="B154" s="203" t="str">
        <f>'CUMPLIMIENTO '!B154</f>
        <v>6.10</v>
      </c>
      <c r="C154" s="202" t="str">
        <f>'CUMPLIMIENTO '!C154</f>
        <v>SISTEMA PENITENCIARIO</v>
      </c>
      <c r="D154" s="216">
        <f>'CUMPLIMIENTO '!D154</f>
        <v>2</v>
      </c>
      <c r="E154" s="216">
        <f>'CUMPLIMIENTO '!E154</f>
        <v>2</v>
      </c>
      <c r="F154" s="217">
        <f>'CUMPLIMIENTO '!G154</f>
        <v>0</v>
      </c>
      <c r="G154" s="218">
        <f>'CUMPLIMIENTO '!H154</f>
        <v>0</v>
      </c>
    </row>
    <row r="155" spans="1:11" ht="15.75" hidden="1" x14ac:dyDescent="0.25">
      <c r="A155" s="198" t="str">
        <f>'CUMPLIMIENTO '!A155</f>
        <v>PROGRAMA</v>
      </c>
      <c r="B155" s="106" t="str">
        <f>'CUMPLIMIENTO '!B155</f>
        <v>6.10.1</v>
      </c>
      <c r="C155" s="111" t="str">
        <f>'CUMPLIMIENTO '!C155</f>
        <v>Sistema Penitenciario</v>
      </c>
      <c r="D155" s="199">
        <f>'CUMPLIMIENTO '!D155</f>
        <v>2</v>
      </c>
      <c r="E155" s="199">
        <f>'CUMPLIMIENTO '!E155</f>
        <v>2</v>
      </c>
      <c r="F155" s="61">
        <f>'CUMPLIMIENTO '!G155</f>
        <v>0</v>
      </c>
      <c r="G155" s="61">
        <f>'CUMPLIMIENTO '!H155</f>
        <v>0</v>
      </c>
    </row>
    <row r="157" spans="1:11" ht="23.25" x14ac:dyDescent="0.35">
      <c r="A157" s="625" t="str">
        <f>C122</f>
        <v>GRUPOS POBLACIONALES</v>
      </c>
      <c r="B157" s="625"/>
      <c r="C157" s="625"/>
      <c r="D157" s="625"/>
      <c r="E157" s="625"/>
      <c r="F157" s="625"/>
      <c r="G157" s="625"/>
    </row>
    <row r="188" spans="11:13" ht="18.75" x14ac:dyDescent="0.3">
      <c r="K188" s="518"/>
      <c r="L188" s="522" t="s">
        <v>2033</v>
      </c>
      <c r="M188" s="522" t="s">
        <v>2034</v>
      </c>
    </row>
    <row r="189" spans="11:13" x14ac:dyDescent="0.25">
      <c r="K189" s="519"/>
      <c r="L189" s="523" t="s">
        <v>2035</v>
      </c>
      <c r="M189" s="517" t="s">
        <v>2037</v>
      </c>
    </row>
    <row r="190" spans="11:13" x14ac:dyDescent="0.25">
      <c r="K190" s="520"/>
      <c r="L190" s="523" t="s">
        <v>2036</v>
      </c>
      <c r="M190" s="517" t="s">
        <v>2038</v>
      </c>
    </row>
    <row r="191" spans="11:13" ht="30" x14ac:dyDescent="0.25">
      <c r="K191" s="521"/>
      <c r="L191" s="394" t="s">
        <v>2040</v>
      </c>
      <c r="M191" s="524" t="s">
        <v>2039</v>
      </c>
    </row>
  </sheetData>
  <autoFilter ref="A9:G155" xr:uid="{A9C5D684-4882-4199-835C-A4262CB1F79C}">
    <filterColumn colId="1">
      <filters>
        <filter val="6"/>
        <filter val="6.1"/>
        <filter val="6.10"/>
        <filter val="6.2"/>
        <filter val="6.3"/>
        <filter val="6.4"/>
        <filter val="6.5"/>
        <filter val="6.6"/>
        <filter val="6.7"/>
        <filter val="6.8"/>
        <filter val="6.9"/>
      </filters>
    </filterColumn>
  </autoFilter>
  <mergeCells count="2">
    <mergeCell ref="A3:D6"/>
    <mergeCell ref="A157:G157"/>
  </mergeCells>
  <printOptions horizontalCentered="1"/>
  <pageMargins left="0.51181102362204722" right="0.51181102362204722" top="0" bottom="0" header="0.11811023622047245" footer="0.11811023622047245"/>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91B69-0F5D-48A2-8B6A-7E25383706CD}">
  <sheetPr codeName="Hoja13"/>
  <dimension ref="A1"/>
  <sheetViews>
    <sheetView workbookViewId="0"/>
  </sheetViews>
  <sheetFormatPr baseColWidth="10"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C8F6B-CC4D-4AE0-951F-D314E622884C}">
  <sheetPr codeName="Hoja2">
    <pageSetUpPr fitToPage="1"/>
  </sheetPr>
  <dimension ref="A1:AJ565"/>
  <sheetViews>
    <sheetView showGridLines="0" zoomScale="55" zoomScaleNormal="55" workbookViewId="0"/>
  </sheetViews>
  <sheetFormatPr baseColWidth="10" defaultColWidth="11.42578125" defaultRowHeight="15" x14ac:dyDescent="0.2"/>
  <cols>
    <col min="1" max="1" width="11.42578125" style="102"/>
    <col min="2" max="2" width="32.5703125" style="82" customWidth="1"/>
    <col min="3" max="3" width="9.28515625" style="83" customWidth="1"/>
    <col min="4" max="4" width="32.42578125" style="82" customWidth="1"/>
    <col min="5" max="5" width="10" style="83" customWidth="1"/>
    <col min="6" max="6" width="35" style="82" customWidth="1"/>
    <col min="7" max="7" width="11.28515625" style="84" hidden="1" customWidth="1"/>
    <col min="8" max="8" width="31.28515625" style="84" hidden="1" customWidth="1"/>
    <col min="9" max="9" width="29.42578125" style="84" customWidth="1"/>
    <col min="10" max="10" width="15" style="83" customWidth="1"/>
    <col min="11" max="11" width="12.42578125" style="83" customWidth="1"/>
    <col min="12" max="12" width="13.28515625" style="84" customWidth="1"/>
    <col min="13" max="13" width="36.28515625" style="84" customWidth="1"/>
    <col min="14" max="14" width="31.85546875" style="85" customWidth="1"/>
    <col min="15" max="15" width="14.7109375" style="84" customWidth="1"/>
    <col min="16" max="16" width="17.28515625" style="85" customWidth="1"/>
    <col min="17" max="17" width="23.42578125" style="84" customWidth="1"/>
    <col min="18" max="20" width="27.7109375" style="84" customWidth="1"/>
    <col min="21" max="21" width="16.28515625" style="103" customWidth="1"/>
    <col min="22" max="22" width="21.5703125" style="84" customWidth="1"/>
    <col min="23" max="26" width="19.7109375" style="84" customWidth="1"/>
    <col min="27" max="27" width="16.5703125" style="84" customWidth="1"/>
    <col min="28" max="28" width="23.42578125" style="84" hidden="1" customWidth="1"/>
    <col min="29" max="29" width="37.5703125" style="84" hidden="1" customWidth="1"/>
    <col min="30" max="30" width="27.7109375" style="84" hidden="1" customWidth="1"/>
    <col min="31" max="31" width="27.42578125" style="84" hidden="1" customWidth="1"/>
    <col min="32" max="32" width="30.7109375" style="82" hidden="1" customWidth="1"/>
    <col min="33" max="33" width="25.7109375" style="84" customWidth="1"/>
    <col min="34" max="35" width="12.28515625" style="84" hidden="1" customWidth="1"/>
    <col min="36" max="36" width="23.42578125" style="84" hidden="1" customWidth="1"/>
    <col min="37" max="37" width="12.28515625" style="86" bestFit="1" customWidth="1"/>
    <col min="38" max="16384" width="11.42578125" style="86"/>
  </cols>
  <sheetData>
    <row r="1" spans="1:36" ht="15.75" x14ac:dyDescent="0.25">
      <c r="A1"/>
      <c r="Q1"/>
      <c r="R1"/>
      <c r="S1"/>
      <c r="T1"/>
      <c r="U1"/>
      <c r="V1"/>
      <c r="W1"/>
      <c r="X1"/>
      <c r="Y1"/>
      <c r="Z1"/>
      <c r="AA1"/>
    </row>
    <row r="2" spans="1:36" ht="15.75" x14ac:dyDescent="0.25">
      <c r="A2"/>
      <c r="Q2"/>
      <c r="R2"/>
      <c r="S2"/>
      <c r="T2"/>
      <c r="U2"/>
      <c r="V2"/>
      <c r="W2"/>
      <c r="X2"/>
      <c r="Y2"/>
      <c r="Z2"/>
      <c r="AA2"/>
    </row>
    <row r="3" spans="1:36" ht="15.75" x14ac:dyDescent="0.25">
      <c r="A3"/>
      <c r="Q3"/>
      <c r="R3"/>
      <c r="S3"/>
      <c r="T3"/>
      <c r="U3"/>
      <c r="V3"/>
      <c r="W3"/>
      <c r="X3"/>
      <c r="Y3"/>
      <c r="Z3"/>
      <c r="AA3"/>
    </row>
    <row r="4" spans="1:36" ht="16.5" thickBot="1" x14ac:dyDescent="0.3">
      <c r="A4"/>
      <c r="Q4"/>
      <c r="R4"/>
      <c r="S4"/>
      <c r="T4"/>
      <c r="U4"/>
      <c r="V4"/>
      <c r="W4"/>
      <c r="X4"/>
      <c r="Y4"/>
      <c r="Z4"/>
      <c r="AA4"/>
    </row>
    <row r="5" spans="1:36" ht="47.65" customHeight="1" thickBot="1" x14ac:dyDescent="0.4">
      <c r="A5" s="598" t="s">
        <v>0</v>
      </c>
      <c r="B5" s="599"/>
      <c r="C5" s="599"/>
      <c r="D5" s="599"/>
      <c r="E5" s="599"/>
      <c r="F5" s="599"/>
      <c r="G5" s="599"/>
      <c r="H5" s="599"/>
      <c r="I5" s="599"/>
      <c r="J5" s="600"/>
      <c r="K5" s="616" t="s">
        <v>1758</v>
      </c>
      <c r="L5" s="616"/>
      <c r="M5" s="616"/>
      <c r="N5" s="616"/>
      <c r="O5" s="616"/>
      <c r="P5" s="616"/>
      <c r="Q5" s="617"/>
      <c r="R5" s="154" t="s">
        <v>1755</v>
      </c>
      <c r="S5" s="154"/>
      <c r="T5" s="154"/>
      <c r="U5" s="621">
        <f>Fuente!AJ9</f>
        <v>553</v>
      </c>
      <c r="V5" s="622"/>
      <c r="W5" s="618" t="s">
        <v>1756</v>
      </c>
      <c r="X5" s="619"/>
      <c r="Y5" s="619"/>
      <c r="Z5" s="619"/>
      <c r="AA5" s="619"/>
      <c r="AB5" s="619"/>
      <c r="AC5" s="619"/>
      <c r="AD5" s="620"/>
      <c r="AE5" s="153"/>
      <c r="AF5" s="153"/>
      <c r="AG5" s="155">
        <f>'CUMPLIMIENTO '!G10</f>
        <v>0.26338387305792299</v>
      </c>
      <c r="AH5" s="86"/>
      <c r="AI5" s="86"/>
      <c r="AJ5" s="86"/>
    </row>
    <row r="6" spans="1:36" ht="60" customHeight="1" thickBot="1" x14ac:dyDescent="0.4">
      <c r="A6" s="601"/>
      <c r="B6" s="602"/>
      <c r="C6" s="602"/>
      <c r="D6" s="602"/>
      <c r="E6" s="602"/>
      <c r="F6" s="602"/>
      <c r="G6" s="602"/>
      <c r="H6" s="602"/>
      <c r="I6" s="602"/>
      <c r="J6" s="603"/>
      <c r="K6" s="613" t="s">
        <v>2031</v>
      </c>
      <c r="L6" s="614"/>
      <c r="M6" s="614"/>
      <c r="N6" s="614"/>
      <c r="O6" s="614"/>
      <c r="P6" s="614"/>
      <c r="Q6" s="615"/>
      <c r="R6" s="174" t="s">
        <v>1757</v>
      </c>
      <c r="S6" s="174"/>
      <c r="T6" s="174"/>
      <c r="U6" s="608">
        <f>Fuente!AP9</f>
        <v>380</v>
      </c>
      <c r="V6" s="609"/>
      <c r="W6" s="610" t="s">
        <v>1756</v>
      </c>
      <c r="X6" s="611"/>
      <c r="Y6" s="611"/>
      <c r="Z6" s="611"/>
      <c r="AA6" s="611"/>
      <c r="AB6" s="611"/>
      <c r="AC6" s="611"/>
      <c r="AD6" s="612"/>
      <c r="AE6" s="175"/>
      <c r="AF6" s="175"/>
      <c r="AG6" s="176">
        <f>'CUMPLIMIENTO '!H10</f>
        <v>0.28726565544596755</v>
      </c>
      <c r="AH6" s="86"/>
      <c r="AI6" s="86"/>
      <c r="AJ6" s="86"/>
    </row>
    <row r="7" spans="1:36" customFormat="1" ht="30" customHeight="1" x14ac:dyDescent="0.25">
      <c r="A7" s="261"/>
      <c r="B7" s="267"/>
      <c r="C7" s="267"/>
      <c r="D7" s="267"/>
      <c r="E7" s="267"/>
      <c r="F7" s="267"/>
      <c r="G7" s="267"/>
      <c r="H7" s="267"/>
      <c r="I7" s="267"/>
      <c r="J7" s="267"/>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3"/>
    </row>
    <row r="8" spans="1:36" ht="25.5" customHeight="1" x14ac:dyDescent="0.2">
      <c r="A8" s="604"/>
      <c r="B8" s="605"/>
      <c r="C8" s="605"/>
      <c r="D8" s="605"/>
      <c r="E8" s="605"/>
      <c r="F8" s="605"/>
      <c r="G8" s="605"/>
      <c r="H8" s="605"/>
      <c r="I8" s="605"/>
      <c r="J8" s="605"/>
      <c r="K8" s="605"/>
      <c r="L8" s="605"/>
      <c r="M8" s="605"/>
      <c r="N8" s="605"/>
      <c r="O8" s="605"/>
      <c r="P8" s="605"/>
      <c r="Q8" s="605"/>
      <c r="R8" s="605"/>
      <c r="S8" s="605"/>
      <c r="T8" s="605"/>
      <c r="U8" s="605"/>
      <c r="V8" s="605"/>
      <c r="W8" s="605"/>
      <c r="X8" s="605"/>
      <c r="Y8" s="605"/>
      <c r="Z8" s="605"/>
      <c r="AA8" s="605"/>
      <c r="AB8" s="605"/>
      <c r="AC8" s="605"/>
      <c r="AD8" s="605"/>
      <c r="AE8" s="605"/>
      <c r="AF8" s="605"/>
      <c r="AG8" s="606"/>
      <c r="AH8" s="607" t="s">
        <v>2</v>
      </c>
      <c r="AI8" s="607"/>
      <c r="AJ8" s="607"/>
    </row>
    <row r="9" spans="1:36" s="89" customFormat="1" ht="90" x14ac:dyDescent="0.2">
      <c r="A9" s="58" t="s">
        <v>3</v>
      </c>
      <c r="B9" s="58" t="s">
        <v>4</v>
      </c>
      <c r="C9" s="58" t="s">
        <v>6</v>
      </c>
      <c r="D9" s="58" t="s">
        <v>7</v>
      </c>
      <c r="E9" s="58" t="s">
        <v>10</v>
      </c>
      <c r="F9" s="58" t="s">
        <v>11</v>
      </c>
      <c r="G9" s="58" t="s">
        <v>13</v>
      </c>
      <c r="H9" s="58" t="s">
        <v>14</v>
      </c>
      <c r="I9" s="58" t="s">
        <v>15</v>
      </c>
      <c r="J9" s="58" t="s">
        <v>16</v>
      </c>
      <c r="K9" s="58" t="s">
        <v>17</v>
      </c>
      <c r="L9" s="58" t="s">
        <v>18</v>
      </c>
      <c r="M9" s="58" t="s">
        <v>19</v>
      </c>
      <c r="N9" s="58" t="s">
        <v>20</v>
      </c>
      <c r="O9" s="58" t="s">
        <v>21</v>
      </c>
      <c r="P9" s="58" t="s">
        <v>22</v>
      </c>
      <c r="Q9" s="177" t="s">
        <v>2009</v>
      </c>
      <c r="R9" s="177" t="s">
        <v>2010</v>
      </c>
      <c r="S9" s="177" t="s">
        <v>2011</v>
      </c>
      <c r="T9" s="177" t="s">
        <v>1985</v>
      </c>
      <c r="U9" s="179" t="s">
        <v>2019</v>
      </c>
      <c r="V9" s="264" t="s">
        <v>1922</v>
      </c>
      <c r="W9" s="265" t="s">
        <v>2012</v>
      </c>
      <c r="X9" s="265" t="s">
        <v>2013</v>
      </c>
      <c r="Y9" s="265" t="s">
        <v>2014</v>
      </c>
      <c r="Z9" s="265" t="s">
        <v>2015</v>
      </c>
      <c r="AA9" s="266" t="s">
        <v>29</v>
      </c>
      <c r="AB9" s="178" t="s">
        <v>30</v>
      </c>
      <c r="AC9" s="178" t="s">
        <v>31</v>
      </c>
      <c r="AD9" s="178" t="s">
        <v>32</v>
      </c>
      <c r="AE9" s="178" t="s">
        <v>33</v>
      </c>
      <c r="AF9" s="178" t="s">
        <v>34</v>
      </c>
      <c r="AG9" s="178" t="s">
        <v>35</v>
      </c>
      <c r="AH9" s="87" t="s">
        <v>36</v>
      </c>
      <c r="AI9" s="87" t="s">
        <v>37</v>
      </c>
      <c r="AJ9" s="88" t="s">
        <v>38</v>
      </c>
    </row>
    <row r="10" spans="1:36" ht="63" x14ac:dyDescent="0.2">
      <c r="A10" s="76">
        <v>1</v>
      </c>
      <c r="B10" s="350" t="s">
        <v>1746</v>
      </c>
      <c r="C10" s="351" t="s">
        <v>39</v>
      </c>
      <c r="D10" s="350" t="s">
        <v>40</v>
      </c>
      <c r="E10" s="351" t="s">
        <v>41</v>
      </c>
      <c r="F10" s="350" t="s">
        <v>1901</v>
      </c>
      <c r="G10" s="466" t="s">
        <v>43</v>
      </c>
      <c r="H10" s="463" t="s">
        <v>44</v>
      </c>
      <c r="I10" s="350" t="s">
        <v>45</v>
      </c>
      <c r="J10" s="484">
        <v>1</v>
      </c>
      <c r="K10" s="484">
        <v>1</v>
      </c>
      <c r="L10" s="486" t="s">
        <v>46</v>
      </c>
      <c r="M10" s="465" t="s">
        <v>47</v>
      </c>
      <c r="N10" s="350" t="s">
        <v>48</v>
      </c>
      <c r="O10" s="76">
        <v>0</v>
      </c>
      <c r="P10" s="76">
        <v>1</v>
      </c>
      <c r="Q10" s="485">
        <f>Fuente!AT14</f>
        <v>0</v>
      </c>
      <c r="R10" s="485">
        <f>Fuente!AU14</f>
        <v>0</v>
      </c>
      <c r="S10" s="485">
        <f>Fuente!AV14</f>
        <v>0</v>
      </c>
      <c r="T10" s="485">
        <f>Fuente!AW14</f>
        <v>0</v>
      </c>
      <c r="U10" s="467">
        <f>Fuente!AM14</f>
        <v>0</v>
      </c>
      <c r="V10" s="485" t="str">
        <f>Fuente!AY14</f>
        <v>NP</v>
      </c>
      <c r="W10" s="485">
        <f>Fuente!AZ14</f>
        <v>0</v>
      </c>
      <c r="X10" s="485">
        <f>Fuente!BA14</f>
        <v>0</v>
      </c>
      <c r="Y10" s="485">
        <f>Fuente!BB14</f>
        <v>0</v>
      </c>
      <c r="Z10" s="485">
        <f>Fuente!BC14</f>
        <v>0</v>
      </c>
      <c r="AA10" s="467" t="str">
        <f>Fuente!BD14</f>
        <v>NP</v>
      </c>
      <c r="AB10" s="477" t="s">
        <v>49</v>
      </c>
      <c r="AC10" s="477" t="s">
        <v>50</v>
      </c>
      <c r="AD10" s="477" t="s">
        <v>50</v>
      </c>
      <c r="AE10" s="477">
        <v>41</v>
      </c>
      <c r="AF10" s="482" t="s">
        <v>51</v>
      </c>
      <c r="AG10" s="480" t="str">
        <f>Fuente!AB14</f>
        <v>SECRETARÍA DE LA MUJER</v>
      </c>
      <c r="AH10" s="81"/>
      <c r="AI10" s="81"/>
      <c r="AJ10" s="81"/>
    </row>
    <row r="11" spans="1:36" ht="63" x14ac:dyDescent="0.2">
      <c r="A11" s="76">
        <v>1</v>
      </c>
      <c r="B11" s="350" t="s">
        <v>1746</v>
      </c>
      <c r="C11" s="351" t="s">
        <v>39</v>
      </c>
      <c r="D11" s="350" t="s">
        <v>40</v>
      </c>
      <c r="E11" s="351" t="s">
        <v>41</v>
      </c>
      <c r="F11" s="350" t="s">
        <v>1901</v>
      </c>
      <c r="G11" s="466" t="s">
        <v>43</v>
      </c>
      <c r="H11" s="463" t="s">
        <v>44</v>
      </c>
      <c r="I11" s="350" t="s">
        <v>45</v>
      </c>
      <c r="J11" s="484">
        <v>1</v>
      </c>
      <c r="K11" s="484">
        <v>1</v>
      </c>
      <c r="L11" s="486" t="s">
        <v>52</v>
      </c>
      <c r="M11" s="350" t="s">
        <v>53</v>
      </c>
      <c r="N11" s="350" t="s">
        <v>54</v>
      </c>
      <c r="O11" s="76" t="s">
        <v>55</v>
      </c>
      <c r="P11" s="76">
        <v>12</v>
      </c>
      <c r="Q11" s="485">
        <f>Fuente!AT15</f>
        <v>0</v>
      </c>
      <c r="R11" s="485">
        <f>Fuente!AU15</f>
        <v>0</v>
      </c>
      <c r="S11" s="485">
        <f>Fuente!AV15</f>
        <v>0</v>
      </c>
      <c r="T11" s="485">
        <f>Fuente!AW15</f>
        <v>0</v>
      </c>
      <c r="U11" s="467">
        <f>Fuente!AM15</f>
        <v>0</v>
      </c>
      <c r="V11" s="485">
        <f>Fuente!AY15</f>
        <v>5</v>
      </c>
      <c r="W11" s="485">
        <f>Fuente!AZ15</f>
        <v>0</v>
      </c>
      <c r="X11" s="485">
        <f>Fuente!BA15</f>
        <v>0</v>
      </c>
      <c r="Y11" s="485">
        <f>Fuente!BB15</f>
        <v>0</v>
      </c>
      <c r="Z11" s="485">
        <f>Fuente!BC15</f>
        <v>0</v>
      </c>
      <c r="AA11" s="467">
        <f>Fuente!BD15</f>
        <v>0</v>
      </c>
      <c r="AB11" s="477" t="s">
        <v>49</v>
      </c>
      <c r="AC11" s="477" t="s">
        <v>50</v>
      </c>
      <c r="AD11" s="477" t="s">
        <v>50</v>
      </c>
      <c r="AE11" s="477">
        <v>41</v>
      </c>
      <c r="AF11" s="482" t="s">
        <v>51</v>
      </c>
      <c r="AG11" s="480" t="str">
        <f>Fuente!AB15</f>
        <v>SECRETARÍA DE LA MUJER</v>
      </c>
      <c r="AH11" s="81"/>
      <c r="AI11" s="81"/>
      <c r="AJ11" s="81"/>
    </row>
    <row r="12" spans="1:36" ht="63" x14ac:dyDescent="0.2">
      <c r="A12" s="76">
        <v>1</v>
      </c>
      <c r="B12" s="350" t="s">
        <v>1746</v>
      </c>
      <c r="C12" s="351" t="s">
        <v>39</v>
      </c>
      <c r="D12" s="350" t="s">
        <v>40</v>
      </c>
      <c r="E12" s="351" t="s">
        <v>41</v>
      </c>
      <c r="F12" s="350" t="s">
        <v>1901</v>
      </c>
      <c r="G12" s="466" t="s">
        <v>43</v>
      </c>
      <c r="H12" s="463" t="s">
        <v>44</v>
      </c>
      <c r="I12" s="350" t="s">
        <v>45</v>
      </c>
      <c r="J12" s="484">
        <v>1</v>
      </c>
      <c r="K12" s="484">
        <v>1</v>
      </c>
      <c r="L12" s="486" t="s">
        <v>56</v>
      </c>
      <c r="M12" s="350" t="s">
        <v>57</v>
      </c>
      <c r="N12" s="350" t="s">
        <v>57</v>
      </c>
      <c r="O12" s="495">
        <v>0.879</v>
      </c>
      <c r="P12" s="491">
        <v>0.92</v>
      </c>
      <c r="Q12" s="485">
        <f>Fuente!AT16</f>
        <v>0</v>
      </c>
      <c r="R12" s="485">
        <f>Fuente!AU16</f>
        <v>0</v>
      </c>
      <c r="S12" s="485">
        <f>Fuente!AV16</f>
        <v>0</v>
      </c>
      <c r="T12" s="485">
        <f>Fuente!AW16</f>
        <v>0</v>
      </c>
      <c r="U12" s="467">
        <f>Fuente!AM16</f>
        <v>0</v>
      </c>
      <c r="V12" s="485" t="str">
        <f>Fuente!AY16</f>
        <v>NP</v>
      </c>
      <c r="W12" s="485">
        <f>Fuente!AZ16</f>
        <v>0</v>
      </c>
      <c r="X12" s="485">
        <f>Fuente!BA16</f>
        <v>0</v>
      </c>
      <c r="Y12" s="485">
        <f>Fuente!BB16</f>
        <v>0</v>
      </c>
      <c r="Z12" s="485">
        <f>Fuente!BC16</f>
        <v>0</v>
      </c>
      <c r="AA12" s="467" t="str">
        <f>Fuente!BD16</f>
        <v>NP</v>
      </c>
      <c r="AB12" s="477" t="s">
        <v>49</v>
      </c>
      <c r="AC12" s="480"/>
      <c r="AD12" s="480"/>
      <c r="AE12" s="480"/>
      <c r="AF12" s="494"/>
      <c r="AG12" s="480" t="str">
        <f>Fuente!AB16</f>
        <v>SECRETARÍA DE SALUD</v>
      </c>
      <c r="AH12" s="90"/>
      <c r="AI12" s="90"/>
      <c r="AJ12" s="91"/>
    </row>
    <row r="13" spans="1:36" ht="94.5" x14ac:dyDescent="0.2">
      <c r="A13" s="76">
        <v>1</v>
      </c>
      <c r="B13" s="350" t="s">
        <v>1746</v>
      </c>
      <c r="C13" s="351" t="s">
        <v>39</v>
      </c>
      <c r="D13" s="350" t="s">
        <v>40</v>
      </c>
      <c r="E13" s="351" t="s">
        <v>41</v>
      </c>
      <c r="F13" s="350" t="s">
        <v>1901</v>
      </c>
      <c r="G13" s="466" t="s">
        <v>43</v>
      </c>
      <c r="H13" s="463" t="s">
        <v>44</v>
      </c>
      <c r="I13" s="350" t="s">
        <v>45</v>
      </c>
      <c r="J13" s="484">
        <v>1</v>
      </c>
      <c r="K13" s="484">
        <v>1</v>
      </c>
      <c r="L13" s="486" t="s">
        <v>58</v>
      </c>
      <c r="M13" s="350" t="s">
        <v>59</v>
      </c>
      <c r="N13" s="350" t="s">
        <v>59</v>
      </c>
      <c r="O13" s="351" t="s">
        <v>60</v>
      </c>
      <c r="P13" s="351">
        <v>25</v>
      </c>
      <c r="Q13" s="485">
        <f>Fuente!AT17</f>
        <v>0</v>
      </c>
      <c r="R13" s="485">
        <f>Fuente!AU17</f>
        <v>0</v>
      </c>
      <c r="S13" s="485">
        <f>Fuente!AV17</f>
        <v>0</v>
      </c>
      <c r="T13" s="485">
        <f>Fuente!AW17</f>
        <v>0</v>
      </c>
      <c r="U13" s="467">
        <f>Fuente!AM17</f>
        <v>0</v>
      </c>
      <c r="V13" s="485" t="str">
        <f>Fuente!AY17</f>
        <v>NP</v>
      </c>
      <c r="W13" s="485">
        <f>Fuente!AZ17</f>
        <v>0</v>
      </c>
      <c r="X13" s="485">
        <f>Fuente!BA17</f>
        <v>0</v>
      </c>
      <c r="Y13" s="485">
        <f>Fuente!BB17</f>
        <v>0</v>
      </c>
      <c r="Z13" s="485">
        <f>Fuente!BC17</f>
        <v>0</v>
      </c>
      <c r="AA13" s="467" t="str">
        <f>Fuente!BD17</f>
        <v>NP</v>
      </c>
      <c r="AB13" s="477" t="s">
        <v>49</v>
      </c>
      <c r="AC13" s="480"/>
      <c r="AD13" s="480"/>
      <c r="AE13" s="480"/>
      <c r="AF13" s="494"/>
      <c r="AG13" s="480" t="str">
        <f>Fuente!AB17</f>
        <v>SECRETARÍA DE SALUD</v>
      </c>
      <c r="AH13" s="90"/>
      <c r="AI13" s="90"/>
      <c r="AJ13" s="91"/>
    </row>
    <row r="14" spans="1:36" ht="63" x14ac:dyDescent="0.2">
      <c r="A14" s="76">
        <v>1</v>
      </c>
      <c r="B14" s="350" t="s">
        <v>1746</v>
      </c>
      <c r="C14" s="351" t="s">
        <v>39</v>
      </c>
      <c r="D14" s="350" t="s">
        <v>40</v>
      </c>
      <c r="E14" s="351" t="s">
        <v>41</v>
      </c>
      <c r="F14" s="350" t="s">
        <v>1901</v>
      </c>
      <c r="G14" s="466" t="s">
        <v>43</v>
      </c>
      <c r="H14" s="463" t="s">
        <v>44</v>
      </c>
      <c r="I14" s="350" t="s">
        <v>45</v>
      </c>
      <c r="J14" s="484">
        <v>1</v>
      </c>
      <c r="K14" s="484">
        <v>1</v>
      </c>
      <c r="L14" s="486" t="s">
        <v>61</v>
      </c>
      <c r="M14" s="350" t="s">
        <v>62</v>
      </c>
      <c r="N14" s="350" t="s">
        <v>62</v>
      </c>
      <c r="O14" s="495">
        <v>0.86529999999999996</v>
      </c>
      <c r="P14" s="491">
        <v>0.9</v>
      </c>
      <c r="Q14" s="485">
        <f>Fuente!AT18</f>
        <v>0</v>
      </c>
      <c r="R14" s="485">
        <f>Fuente!AU18</f>
        <v>0</v>
      </c>
      <c r="S14" s="485">
        <f>Fuente!AV18</f>
        <v>0</v>
      </c>
      <c r="T14" s="485">
        <f>Fuente!AW18</f>
        <v>0</v>
      </c>
      <c r="U14" s="467">
        <f>Fuente!AM18</f>
        <v>0</v>
      </c>
      <c r="V14" s="485" t="str">
        <f>Fuente!AY18</f>
        <v>NP</v>
      </c>
      <c r="W14" s="485">
        <f>Fuente!AZ18</f>
        <v>0</v>
      </c>
      <c r="X14" s="485">
        <f>Fuente!BA18</f>
        <v>0</v>
      </c>
      <c r="Y14" s="485">
        <f>Fuente!BB18</f>
        <v>0</v>
      </c>
      <c r="Z14" s="485">
        <f>Fuente!BC18</f>
        <v>0</v>
      </c>
      <c r="AA14" s="467" t="str">
        <f>Fuente!BD18</f>
        <v>NP</v>
      </c>
      <c r="AB14" s="477" t="s">
        <v>49</v>
      </c>
      <c r="AC14" s="480"/>
      <c r="AD14" s="480"/>
      <c r="AE14" s="480"/>
      <c r="AF14" s="494"/>
      <c r="AG14" s="480" t="str">
        <f>Fuente!AB18</f>
        <v>SECRETARÍA DE EDUCACIÓN</v>
      </c>
      <c r="AH14" s="90"/>
      <c r="AI14" s="90"/>
      <c r="AJ14" s="91"/>
    </row>
    <row r="15" spans="1:36" ht="78.75" x14ac:dyDescent="0.2">
      <c r="A15" s="76">
        <v>1</v>
      </c>
      <c r="B15" s="350" t="s">
        <v>1746</v>
      </c>
      <c r="C15" s="351" t="s">
        <v>39</v>
      </c>
      <c r="D15" s="350" t="s">
        <v>40</v>
      </c>
      <c r="E15" s="351" t="s">
        <v>41</v>
      </c>
      <c r="F15" s="350" t="s">
        <v>1901</v>
      </c>
      <c r="G15" s="466" t="s">
        <v>43</v>
      </c>
      <c r="H15" s="463" t="s">
        <v>44</v>
      </c>
      <c r="I15" s="350" t="s">
        <v>45</v>
      </c>
      <c r="J15" s="484">
        <v>1</v>
      </c>
      <c r="K15" s="484">
        <v>1</v>
      </c>
      <c r="L15" s="486" t="s">
        <v>63</v>
      </c>
      <c r="M15" s="350" t="s">
        <v>64</v>
      </c>
      <c r="N15" s="350" t="s">
        <v>64</v>
      </c>
      <c r="O15" s="495">
        <v>0.875</v>
      </c>
      <c r="P15" s="495">
        <v>0.88500000000000001</v>
      </c>
      <c r="Q15" s="485">
        <f>Fuente!AT19</f>
        <v>0</v>
      </c>
      <c r="R15" s="485">
        <f>Fuente!AU19</f>
        <v>0</v>
      </c>
      <c r="S15" s="485">
        <f>Fuente!AV19</f>
        <v>0</v>
      </c>
      <c r="T15" s="485">
        <f>Fuente!AW19</f>
        <v>0</v>
      </c>
      <c r="U15" s="467">
        <f>Fuente!AM19</f>
        <v>0</v>
      </c>
      <c r="V15" s="485" t="str">
        <f>Fuente!AY19</f>
        <v>NP</v>
      </c>
      <c r="W15" s="485">
        <f>Fuente!AZ19</f>
        <v>0</v>
      </c>
      <c r="X15" s="485">
        <f>Fuente!BA19</f>
        <v>0</v>
      </c>
      <c r="Y15" s="485">
        <f>Fuente!BB19</f>
        <v>0</v>
      </c>
      <c r="Z15" s="485">
        <f>Fuente!BC19</f>
        <v>0</v>
      </c>
      <c r="AA15" s="467" t="str">
        <f>Fuente!BD19</f>
        <v>NP</v>
      </c>
      <c r="AB15" s="477" t="s">
        <v>49</v>
      </c>
      <c r="AC15" s="480"/>
      <c r="AD15" s="480"/>
      <c r="AE15" s="480"/>
      <c r="AF15" s="494"/>
      <c r="AG15" s="480" t="str">
        <f>Fuente!AB19</f>
        <v>SECRETARÍA DE EDUCACIÓN</v>
      </c>
      <c r="AH15" s="90"/>
      <c r="AI15" s="90"/>
      <c r="AJ15" s="91"/>
    </row>
    <row r="16" spans="1:36" ht="120" x14ac:dyDescent="0.2">
      <c r="A16" s="76">
        <v>1</v>
      </c>
      <c r="B16" s="350" t="s">
        <v>1746</v>
      </c>
      <c r="C16" s="351" t="s">
        <v>39</v>
      </c>
      <c r="D16" s="350" t="s">
        <v>40</v>
      </c>
      <c r="E16" s="351" t="s">
        <v>41</v>
      </c>
      <c r="F16" s="350" t="s">
        <v>1901</v>
      </c>
      <c r="G16" s="466" t="s">
        <v>43</v>
      </c>
      <c r="H16" s="463" t="s">
        <v>44</v>
      </c>
      <c r="I16" s="350" t="s">
        <v>45</v>
      </c>
      <c r="J16" s="491">
        <v>1</v>
      </c>
      <c r="K16" s="491">
        <v>1</v>
      </c>
      <c r="L16" s="486" t="s">
        <v>65</v>
      </c>
      <c r="M16" s="350" t="s">
        <v>66</v>
      </c>
      <c r="N16" s="350" t="s">
        <v>66</v>
      </c>
      <c r="O16" s="351" t="s">
        <v>55</v>
      </c>
      <c r="P16" s="351">
        <v>400</v>
      </c>
      <c r="Q16" s="485">
        <f>Fuente!AT20</f>
        <v>119</v>
      </c>
      <c r="R16" s="485">
        <f>Fuente!AU20</f>
        <v>0</v>
      </c>
      <c r="S16" s="485">
        <f>Fuente!AV20</f>
        <v>0</v>
      </c>
      <c r="T16" s="485">
        <f>Fuente!AW20</f>
        <v>0</v>
      </c>
      <c r="U16" s="467">
        <f>Fuente!AM20</f>
        <v>0.125</v>
      </c>
      <c r="V16" s="485">
        <f>Fuente!AY20</f>
        <v>50</v>
      </c>
      <c r="W16" s="485">
        <f>Fuente!AZ20</f>
        <v>69</v>
      </c>
      <c r="X16" s="485">
        <f>Fuente!BA20</f>
        <v>0</v>
      </c>
      <c r="Y16" s="485">
        <f>Fuente!BB20</f>
        <v>0</v>
      </c>
      <c r="Z16" s="485">
        <f>Fuente!BC20</f>
        <v>0</v>
      </c>
      <c r="AA16" s="467">
        <f>Fuente!BD20</f>
        <v>1</v>
      </c>
      <c r="AB16" s="477" t="s">
        <v>49</v>
      </c>
      <c r="AC16" s="477"/>
      <c r="AD16" s="480" t="s">
        <v>67</v>
      </c>
      <c r="AE16" s="477" t="s">
        <v>68</v>
      </c>
      <c r="AF16" s="494" t="s">
        <v>69</v>
      </c>
      <c r="AG16" s="480" t="str">
        <f>Fuente!AB20</f>
        <v>SECRETARÍA DE PLANEACIÓN</v>
      </c>
      <c r="AH16" s="81"/>
      <c r="AI16" s="81"/>
      <c r="AJ16" s="81"/>
    </row>
    <row r="17" spans="1:36" ht="78.75" x14ac:dyDescent="0.2">
      <c r="A17" s="76">
        <v>1</v>
      </c>
      <c r="B17" s="350" t="s">
        <v>1746</v>
      </c>
      <c r="C17" s="351" t="s">
        <v>39</v>
      </c>
      <c r="D17" s="350" t="s">
        <v>40</v>
      </c>
      <c r="E17" s="351" t="s">
        <v>41</v>
      </c>
      <c r="F17" s="350" t="s">
        <v>1901</v>
      </c>
      <c r="G17" s="466" t="s">
        <v>43</v>
      </c>
      <c r="H17" s="463" t="s">
        <v>44</v>
      </c>
      <c r="I17" s="350" t="s">
        <v>45</v>
      </c>
      <c r="J17" s="484">
        <v>1</v>
      </c>
      <c r="K17" s="484">
        <v>1</v>
      </c>
      <c r="L17" s="486" t="s">
        <v>70</v>
      </c>
      <c r="M17" s="350" t="s">
        <v>71</v>
      </c>
      <c r="N17" s="350" t="s">
        <v>72</v>
      </c>
      <c r="O17" s="76">
        <v>1</v>
      </c>
      <c r="P17" s="76">
        <v>4</v>
      </c>
      <c r="Q17" s="485">
        <f>Fuente!AT21</f>
        <v>1</v>
      </c>
      <c r="R17" s="485">
        <f>Fuente!AU21</f>
        <v>0</v>
      </c>
      <c r="S17" s="485">
        <f>Fuente!AV21</f>
        <v>0</v>
      </c>
      <c r="T17" s="485">
        <f>Fuente!AW21</f>
        <v>0</v>
      </c>
      <c r="U17" s="467">
        <f>Fuente!AM21</f>
        <v>0.25</v>
      </c>
      <c r="V17" s="485">
        <f>Fuente!AY21</f>
        <v>1</v>
      </c>
      <c r="W17" s="485">
        <f>Fuente!AZ21</f>
        <v>0</v>
      </c>
      <c r="X17" s="485">
        <f>Fuente!BA21</f>
        <v>0</v>
      </c>
      <c r="Y17" s="485">
        <f>Fuente!BB21</f>
        <v>0</v>
      </c>
      <c r="Z17" s="485">
        <f>Fuente!BC21</f>
        <v>0</v>
      </c>
      <c r="AA17" s="467">
        <f>Fuente!BD21</f>
        <v>0</v>
      </c>
      <c r="AB17" s="477" t="s">
        <v>49</v>
      </c>
      <c r="AC17" s="477" t="s">
        <v>73</v>
      </c>
      <c r="AD17" s="477" t="s">
        <v>50</v>
      </c>
      <c r="AE17" s="477">
        <v>41</v>
      </c>
      <c r="AF17" s="482" t="s">
        <v>51</v>
      </c>
      <c r="AG17" s="480" t="str">
        <f>Fuente!AB21</f>
        <v>SECRETARÍA DE LA MUJER</v>
      </c>
      <c r="AH17" s="81" t="s">
        <v>74</v>
      </c>
      <c r="AI17" s="81" t="s">
        <v>75</v>
      </c>
      <c r="AJ17" s="92">
        <v>120000000</v>
      </c>
    </row>
    <row r="18" spans="1:36" ht="63" x14ac:dyDescent="0.2">
      <c r="A18" s="76">
        <v>1</v>
      </c>
      <c r="B18" s="350" t="s">
        <v>1746</v>
      </c>
      <c r="C18" s="351" t="s">
        <v>39</v>
      </c>
      <c r="D18" s="350" t="s">
        <v>40</v>
      </c>
      <c r="E18" s="351" t="s">
        <v>41</v>
      </c>
      <c r="F18" s="350" t="s">
        <v>1901</v>
      </c>
      <c r="G18" s="466" t="s">
        <v>43</v>
      </c>
      <c r="H18" s="463" t="s">
        <v>44</v>
      </c>
      <c r="I18" s="350" t="s">
        <v>45</v>
      </c>
      <c r="J18" s="484">
        <v>1</v>
      </c>
      <c r="K18" s="484">
        <v>1</v>
      </c>
      <c r="L18" s="486" t="s">
        <v>76</v>
      </c>
      <c r="M18" s="350" t="s">
        <v>77</v>
      </c>
      <c r="N18" s="350" t="s">
        <v>77</v>
      </c>
      <c r="O18" s="76">
        <v>1</v>
      </c>
      <c r="P18" s="76">
        <v>1</v>
      </c>
      <c r="Q18" s="485">
        <f>Fuente!AT22</f>
        <v>0.25</v>
      </c>
      <c r="R18" s="485">
        <f>Fuente!AU22</f>
        <v>0</v>
      </c>
      <c r="S18" s="485">
        <f>Fuente!AV22</f>
        <v>0</v>
      </c>
      <c r="T18" s="485">
        <f>Fuente!AW22</f>
        <v>0</v>
      </c>
      <c r="U18" s="467">
        <f>Fuente!AM22</f>
        <v>0</v>
      </c>
      <c r="V18" s="485">
        <f>Fuente!AY22</f>
        <v>1</v>
      </c>
      <c r="W18" s="485">
        <f>Fuente!AZ22</f>
        <v>1</v>
      </c>
      <c r="X18" s="485">
        <f>Fuente!BA22</f>
        <v>0</v>
      </c>
      <c r="Y18" s="485">
        <f>Fuente!BB22</f>
        <v>0</v>
      </c>
      <c r="Z18" s="485">
        <f>Fuente!BC22</f>
        <v>0</v>
      </c>
      <c r="AA18" s="467">
        <f>Fuente!BD22</f>
        <v>1</v>
      </c>
      <c r="AB18" s="477" t="s">
        <v>78</v>
      </c>
      <c r="AC18" s="477"/>
      <c r="AD18" s="477"/>
      <c r="AE18" s="477"/>
      <c r="AF18" s="482"/>
      <c r="AG18" s="480" t="str">
        <f>Fuente!AB22</f>
        <v>SECRETARÍA DE SALUD</v>
      </c>
      <c r="AH18" s="81"/>
      <c r="AI18" s="81"/>
      <c r="AJ18" s="92"/>
    </row>
    <row r="19" spans="1:36" ht="63" x14ac:dyDescent="0.2">
      <c r="A19" s="76">
        <v>1</v>
      </c>
      <c r="B19" s="350" t="s">
        <v>1746</v>
      </c>
      <c r="C19" s="351" t="s">
        <v>39</v>
      </c>
      <c r="D19" s="350" t="s">
        <v>40</v>
      </c>
      <c r="E19" s="351" t="s">
        <v>41</v>
      </c>
      <c r="F19" s="350" t="s">
        <v>1901</v>
      </c>
      <c r="G19" s="466" t="s">
        <v>43</v>
      </c>
      <c r="H19" s="463" t="s">
        <v>44</v>
      </c>
      <c r="I19" s="350" t="s">
        <v>45</v>
      </c>
      <c r="J19" s="351" t="s">
        <v>55</v>
      </c>
      <c r="K19" s="491">
        <v>1</v>
      </c>
      <c r="L19" s="486" t="s">
        <v>79</v>
      </c>
      <c r="M19" s="350" t="s">
        <v>80</v>
      </c>
      <c r="N19" s="350" t="s">
        <v>80</v>
      </c>
      <c r="O19" s="351">
        <v>48962</v>
      </c>
      <c r="P19" s="351">
        <v>1000</v>
      </c>
      <c r="Q19" s="485">
        <f>Fuente!AT23</f>
        <v>200</v>
      </c>
      <c r="R19" s="485">
        <f>Fuente!AU23</f>
        <v>0</v>
      </c>
      <c r="S19" s="485">
        <f>Fuente!AV23</f>
        <v>0</v>
      </c>
      <c r="T19" s="485">
        <f>Fuente!AW23</f>
        <v>0</v>
      </c>
      <c r="U19" s="467">
        <f>Fuente!AM23</f>
        <v>0.2</v>
      </c>
      <c r="V19" s="485" t="str">
        <f>Fuente!AY23</f>
        <v>NP</v>
      </c>
      <c r="W19" s="485">
        <f>Fuente!AZ23</f>
        <v>0</v>
      </c>
      <c r="X19" s="485">
        <f>Fuente!BA23</f>
        <v>0</v>
      </c>
      <c r="Y19" s="485">
        <f>Fuente!BB23</f>
        <v>0</v>
      </c>
      <c r="Z19" s="485">
        <f>Fuente!BC23</f>
        <v>0</v>
      </c>
      <c r="AA19" s="467" t="str">
        <f>Fuente!BD23</f>
        <v>NP</v>
      </c>
      <c r="AB19" s="480" t="s">
        <v>49</v>
      </c>
      <c r="AC19" s="477"/>
      <c r="AD19" s="477" t="s">
        <v>81</v>
      </c>
      <c r="AE19" s="477">
        <v>40</v>
      </c>
      <c r="AF19" s="494" t="s">
        <v>82</v>
      </c>
      <c r="AG19" s="480" t="str">
        <f>Fuente!AB23</f>
        <v>SECRETARÍA DE HÁBITAT</v>
      </c>
      <c r="AH19" s="81"/>
      <c r="AI19" s="81"/>
      <c r="AJ19" s="81"/>
    </row>
    <row r="20" spans="1:36" ht="63" x14ac:dyDescent="0.2">
      <c r="A20" s="76">
        <v>1</v>
      </c>
      <c r="B20" s="350" t="s">
        <v>1746</v>
      </c>
      <c r="C20" s="351" t="s">
        <v>39</v>
      </c>
      <c r="D20" s="350" t="s">
        <v>40</v>
      </c>
      <c r="E20" s="351" t="s">
        <v>41</v>
      </c>
      <c r="F20" s="350" t="s">
        <v>1901</v>
      </c>
      <c r="G20" s="466" t="s">
        <v>43</v>
      </c>
      <c r="H20" s="463" t="s">
        <v>44</v>
      </c>
      <c r="I20" s="350" t="s">
        <v>45</v>
      </c>
      <c r="J20" s="351" t="s">
        <v>55</v>
      </c>
      <c r="K20" s="491">
        <v>1</v>
      </c>
      <c r="L20" s="486" t="s">
        <v>83</v>
      </c>
      <c r="M20" s="350" t="s">
        <v>84</v>
      </c>
      <c r="N20" s="350" t="s">
        <v>84</v>
      </c>
      <c r="O20" s="351">
        <v>179570</v>
      </c>
      <c r="P20" s="351">
        <v>2600</v>
      </c>
      <c r="Q20" s="485">
        <f>Fuente!AT24</f>
        <v>0</v>
      </c>
      <c r="R20" s="485">
        <f>Fuente!AU24</f>
        <v>0</v>
      </c>
      <c r="S20" s="485">
        <f>Fuente!AV24</f>
        <v>0</v>
      </c>
      <c r="T20" s="485">
        <f>Fuente!AW24</f>
        <v>0</v>
      </c>
      <c r="U20" s="467">
        <f>Fuente!AM24</f>
        <v>0</v>
      </c>
      <c r="V20" s="485" t="str">
        <f>Fuente!AY24</f>
        <v>NP</v>
      </c>
      <c r="W20" s="485">
        <f>Fuente!AZ24</f>
        <v>0</v>
      </c>
      <c r="X20" s="485">
        <f>Fuente!BA24</f>
        <v>0</v>
      </c>
      <c r="Y20" s="485">
        <f>Fuente!BB24</f>
        <v>0</v>
      </c>
      <c r="Z20" s="485">
        <f>Fuente!BC24</f>
        <v>0</v>
      </c>
      <c r="AA20" s="467" t="str">
        <f>Fuente!BD24</f>
        <v>NP</v>
      </c>
      <c r="AB20" s="480" t="s">
        <v>49</v>
      </c>
      <c r="AC20" s="477"/>
      <c r="AD20" s="477" t="s">
        <v>81</v>
      </c>
      <c r="AE20" s="477">
        <v>40</v>
      </c>
      <c r="AF20" s="494" t="s">
        <v>82</v>
      </c>
      <c r="AG20" s="480" t="str">
        <f>Fuente!AB24</f>
        <v>SECRETARÍA DE HÁBITAT</v>
      </c>
      <c r="AH20" s="81"/>
      <c r="AI20" s="81"/>
      <c r="AJ20" s="81"/>
    </row>
    <row r="21" spans="1:36" ht="78.75" x14ac:dyDescent="0.2">
      <c r="A21" s="76">
        <v>1</v>
      </c>
      <c r="B21" s="350" t="s">
        <v>1746</v>
      </c>
      <c r="C21" s="351" t="s">
        <v>39</v>
      </c>
      <c r="D21" s="350" t="s">
        <v>40</v>
      </c>
      <c r="E21" s="351" t="s">
        <v>41</v>
      </c>
      <c r="F21" s="350" t="s">
        <v>1901</v>
      </c>
      <c r="G21" s="466" t="s">
        <v>43</v>
      </c>
      <c r="H21" s="463" t="s">
        <v>44</v>
      </c>
      <c r="I21" s="350" t="s">
        <v>45</v>
      </c>
      <c r="J21" s="484">
        <v>1</v>
      </c>
      <c r="K21" s="484">
        <v>1</v>
      </c>
      <c r="L21" s="486" t="s">
        <v>85</v>
      </c>
      <c r="M21" s="350" t="s">
        <v>86</v>
      </c>
      <c r="N21" s="350" t="s">
        <v>87</v>
      </c>
      <c r="O21" s="76">
        <v>0</v>
      </c>
      <c r="P21" s="76">
        <v>500</v>
      </c>
      <c r="Q21" s="485">
        <f>Fuente!AT25</f>
        <v>130</v>
      </c>
      <c r="R21" s="485">
        <f>Fuente!AU25</f>
        <v>0</v>
      </c>
      <c r="S21" s="485">
        <f>Fuente!AV25</f>
        <v>0</v>
      </c>
      <c r="T21" s="485">
        <f>Fuente!AW25</f>
        <v>0</v>
      </c>
      <c r="U21" s="467">
        <f>Fuente!AM25</f>
        <v>0.26</v>
      </c>
      <c r="V21" s="485">
        <f>Fuente!AY25</f>
        <v>100</v>
      </c>
      <c r="W21" s="485">
        <f>Fuente!AZ25</f>
        <v>0</v>
      </c>
      <c r="X21" s="485">
        <f>Fuente!BA25</f>
        <v>0</v>
      </c>
      <c r="Y21" s="485">
        <f>Fuente!BB25</f>
        <v>0</v>
      </c>
      <c r="Z21" s="485">
        <f>Fuente!BC25</f>
        <v>0</v>
      </c>
      <c r="AA21" s="467">
        <f>Fuente!BD25</f>
        <v>0</v>
      </c>
      <c r="AB21" s="477" t="s">
        <v>49</v>
      </c>
      <c r="AC21" s="477" t="s">
        <v>88</v>
      </c>
      <c r="AD21" s="477" t="s">
        <v>89</v>
      </c>
      <c r="AE21" s="477">
        <v>41</v>
      </c>
      <c r="AF21" s="482" t="s">
        <v>51</v>
      </c>
      <c r="AG21" s="480" t="str">
        <f>Fuente!AB25</f>
        <v>SECRETARÍA DE LA MUJER</v>
      </c>
      <c r="AH21" s="81" t="s">
        <v>50</v>
      </c>
      <c r="AI21" s="81" t="s">
        <v>90</v>
      </c>
      <c r="AJ21" s="81" t="s">
        <v>50</v>
      </c>
    </row>
    <row r="22" spans="1:36" ht="63" x14ac:dyDescent="0.2">
      <c r="A22" s="76">
        <v>1</v>
      </c>
      <c r="B22" s="350" t="s">
        <v>1746</v>
      </c>
      <c r="C22" s="351" t="s">
        <v>39</v>
      </c>
      <c r="D22" s="350" t="s">
        <v>40</v>
      </c>
      <c r="E22" s="351" t="s">
        <v>41</v>
      </c>
      <c r="F22" s="350" t="s">
        <v>1901</v>
      </c>
      <c r="G22" s="466" t="s">
        <v>43</v>
      </c>
      <c r="H22" s="463" t="s">
        <v>44</v>
      </c>
      <c r="I22" s="350" t="s">
        <v>45</v>
      </c>
      <c r="J22" s="484">
        <v>1</v>
      </c>
      <c r="K22" s="484">
        <v>1</v>
      </c>
      <c r="L22" s="486" t="s">
        <v>91</v>
      </c>
      <c r="M22" s="350" t="s">
        <v>92</v>
      </c>
      <c r="N22" s="350" t="s">
        <v>92</v>
      </c>
      <c r="O22" s="76">
        <v>0</v>
      </c>
      <c r="P22" s="76">
        <v>400</v>
      </c>
      <c r="Q22" s="485">
        <f>Fuente!AT26</f>
        <v>0</v>
      </c>
      <c r="R22" s="485">
        <f>Fuente!AU26</f>
        <v>0</v>
      </c>
      <c r="S22" s="485">
        <f>Fuente!AV26</f>
        <v>0</v>
      </c>
      <c r="T22" s="485">
        <f>Fuente!AW26</f>
        <v>0</v>
      </c>
      <c r="U22" s="467">
        <f>Fuente!AM26</f>
        <v>0</v>
      </c>
      <c r="V22" s="485" t="str">
        <f>Fuente!AY26</f>
        <v>NP</v>
      </c>
      <c r="W22" s="485">
        <f>Fuente!AZ26</f>
        <v>0</v>
      </c>
      <c r="X22" s="485">
        <f>Fuente!BA26</f>
        <v>0</v>
      </c>
      <c r="Y22" s="485">
        <f>Fuente!BB26</f>
        <v>0</v>
      </c>
      <c r="Z22" s="485">
        <f>Fuente!BC26</f>
        <v>0</v>
      </c>
      <c r="AA22" s="467" t="str">
        <f>Fuente!BD26</f>
        <v>NP</v>
      </c>
      <c r="AB22" s="477" t="s">
        <v>49</v>
      </c>
      <c r="AC22" s="477"/>
      <c r="AD22" s="477"/>
      <c r="AE22" s="477"/>
      <c r="AF22" s="482"/>
      <c r="AG22" s="480" t="str">
        <f>Fuente!AB26</f>
        <v>SECRETARÍA DE LA MUJER</v>
      </c>
      <c r="AH22" s="81"/>
      <c r="AI22" s="81"/>
      <c r="AJ22" s="81"/>
    </row>
    <row r="23" spans="1:36" ht="94.5" x14ac:dyDescent="0.2">
      <c r="A23" s="76">
        <v>1</v>
      </c>
      <c r="B23" s="350" t="s">
        <v>1746</v>
      </c>
      <c r="C23" s="351" t="s">
        <v>39</v>
      </c>
      <c r="D23" s="350" t="s">
        <v>40</v>
      </c>
      <c r="E23" s="351" t="s">
        <v>41</v>
      </c>
      <c r="F23" s="350" t="s">
        <v>1901</v>
      </c>
      <c r="G23" s="466" t="s">
        <v>43</v>
      </c>
      <c r="H23" s="352" t="s">
        <v>93</v>
      </c>
      <c r="I23" s="350" t="s">
        <v>45</v>
      </c>
      <c r="J23" s="484">
        <v>1</v>
      </c>
      <c r="K23" s="484">
        <v>1</v>
      </c>
      <c r="L23" s="486" t="s">
        <v>94</v>
      </c>
      <c r="M23" s="350" t="s">
        <v>95</v>
      </c>
      <c r="N23" s="350" t="s">
        <v>96</v>
      </c>
      <c r="O23" s="76">
        <v>0</v>
      </c>
      <c r="P23" s="76">
        <v>500</v>
      </c>
      <c r="Q23" s="485">
        <f>Fuente!AT27</f>
        <v>100</v>
      </c>
      <c r="R23" s="485">
        <f>Fuente!AU27</f>
        <v>0</v>
      </c>
      <c r="S23" s="485">
        <f>Fuente!AV27</f>
        <v>0</v>
      </c>
      <c r="T23" s="485">
        <f>Fuente!AW27</f>
        <v>0</v>
      </c>
      <c r="U23" s="467">
        <f>Fuente!AM27</f>
        <v>0.2</v>
      </c>
      <c r="V23" s="485">
        <f>Fuente!AY27</f>
        <v>100</v>
      </c>
      <c r="W23" s="485">
        <f>Fuente!AZ27</f>
        <v>0</v>
      </c>
      <c r="X23" s="485">
        <f>Fuente!BA27</f>
        <v>0</v>
      </c>
      <c r="Y23" s="485">
        <f>Fuente!BB27</f>
        <v>0</v>
      </c>
      <c r="Z23" s="485">
        <f>Fuente!BC27</f>
        <v>0</v>
      </c>
      <c r="AA23" s="467">
        <f>Fuente!BD27</f>
        <v>0</v>
      </c>
      <c r="AB23" s="477" t="s">
        <v>49</v>
      </c>
      <c r="AC23" s="477" t="s">
        <v>88</v>
      </c>
      <c r="AD23" s="477" t="s">
        <v>89</v>
      </c>
      <c r="AE23" s="477">
        <v>41</v>
      </c>
      <c r="AF23" s="482" t="s">
        <v>51</v>
      </c>
      <c r="AG23" s="480" t="str">
        <f>Fuente!AB27</f>
        <v>SECRETARÍA DE LA MUJER</v>
      </c>
      <c r="AH23" s="81" t="s">
        <v>50</v>
      </c>
      <c r="AI23" s="81" t="s">
        <v>97</v>
      </c>
      <c r="AJ23" s="81" t="s">
        <v>50</v>
      </c>
    </row>
    <row r="24" spans="1:36" ht="110.25" x14ac:dyDescent="0.2">
      <c r="A24" s="76">
        <v>1</v>
      </c>
      <c r="B24" s="350" t="s">
        <v>1746</v>
      </c>
      <c r="C24" s="351" t="s">
        <v>98</v>
      </c>
      <c r="D24" s="350" t="s">
        <v>99</v>
      </c>
      <c r="E24" s="351" t="s">
        <v>100</v>
      </c>
      <c r="F24" s="350" t="s">
        <v>101</v>
      </c>
      <c r="G24" s="351" t="s">
        <v>102</v>
      </c>
      <c r="H24" s="351" t="s">
        <v>103</v>
      </c>
      <c r="I24" s="350" t="s">
        <v>104</v>
      </c>
      <c r="J24" s="76">
        <v>16.399999999999999</v>
      </c>
      <c r="K24" s="76">
        <v>30</v>
      </c>
      <c r="L24" s="351" t="s">
        <v>105</v>
      </c>
      <c r="M24" s="350" t="s">
        <v>106</v>
      </c>
      <c r="N24" s="350" t="s">
        <v>107</v>
      </c>
      <c r="O24" s="76">
        <v>6</v>
      </c>
      <c r="P24" s="76">
        <v>26</v>
      </c>
      <c r="Q24" s="485">
        <f>Fuente!AT28</f>
        <v>9</v>
      </c>
      <c r="R24" s="485">
        <f>Fuente!AU28</f>
        <v>0</v>
      </c>
      <c r="S24" s="485">
        <f>Fuente!AV28</f>
        <v>0</v>
      </c>
      <c r="T24" s="485">
        <f>Fuente!AW28</f>
        <v>0</v>
      </c>
      <c r="U24" s="467">
        <f>Fuente!AM28</f>
        <v>0.34615384615384615</v>
      </c>
      <c r="V24" s="485">
        <f>Fuente!AY28</f>
        <v>6</v>
      </c>
      <c r="W24" s="485">
        <f>Fuente!AZ28</f>
        <v>0</v>
      </c>
      <c r="X24" s="485">
        <f>Fuente!BA28</f>
        <v>0</v>
      </c>
      <c r="Y24" s="485">
        <f>Fuente!BB28</f>
        <v>0</v>
      </c>
      <c r="Z24" s="485">
        <f>Fuente!BC28</f>
        <v>0</v>
      </c>
      <c r="AA24" s="467">
        <f>Fuente!BD28</f>
        <v>0</v>
      </c>
      <c r="AB24" s="477" t="s">
        <v>49</v>
      </c>
      <c r="AC24" s="477"/>
      <c r="AD24" s="477" t="s">
        <v>108</v>
      </c>
      <c r="AE24" s="477">
        <v>22</v>
      </c>
      <c r="AF24" s="482"/>
      <c r="AG24" s="480" t="str">
        <f>Fuente!AB28</f>
        <v>SECRETARÍA DE EDUCACIÓN</v>
      </c>
      <c r="AH24" s="90"/>
      <c r="AI24" s="90"/>
      <c r="AJ24" s="91"/>
    </row>
    <row r="25" spans="1:36" ht="47.25" x14ac:dyDescent="0.2">
      <c r="A25" s="76">
        <v>1</v>
      </c>
      <c r="B25" s="350" t="s">
        <v>1746</v>
      </c>
      <c r="C25" s="351" t="s">
        <v>98</v>
      </c>
      <c r="D25" s="350" t="s">
        <v>99</v>
      </c>
      <c r="E25" s="351" t="s">
        <v>100</v>
      </c>
      <c r="F25" s="350" t="s">
        <v>101</v>
      </c>
      <c r="G25" s="351" t="s">
        <v>109</v>
      </c>
      <c r="H25" s="351" t="s">
        <v>110</v>
      </c>
      <c r="I25" s="350" t="s">
        <v>111</v>
      </c>
      <c r="J25" s="76">
        <v>4.83</v>
      </c>
      <c r="K25" s="76">
        <v>4.8499999999999996</v>
      </c>
      <c r="L25" s="351" t="s">
        <v>112</v>
      </c>
      <c r="M25" s="350" t="s">
        <v>113</v>
      </c>
      <c r="N25" s="350" t="s">
        <v>114</v>
      </c>
      <c r="O25" s="76">
        <v>555</v>
      </c>
      <c r="P25" s="76">
        <v>420</v>
      </c>
      <c r="Q25" s="485">
        <f>Fuente!AT29</f>
        <v>139</v>
      </c>
      <c r="R25" s="485">
        <f>Fuente!AU29</f>
        <v>0</v>
      </c>
      <c r="S25" s="485">
        <f>Fuente!AV29</f>
        <v>0</v>
      </c>
      <c r="T25" s="485">
        <f>Fuente!AW29</f>
        <v>0</v>
      </c>
      <c r="U25" s="467">
        <f>Fuente!AM29</f>
        <v>0.33095238095238094</v>
      </c>
      <c r="V25" s="485">
        <f>Fuente!AY29</f>
        <v>100</v>
      </c>
      <c r="W25" s="485">
        <f>Fuente!AZ29</f>
        <v>0</v>
      </c>
      <c r="X25" s="485">
        <f>Fuente!BA29</f>
        <v>0</v>
      </c>
      <c r="Y25" s="485">
        <f>Fuente!BB29</f>
        <v>0</v>
      </c>
      <c r="Z25" s="485">
        <f>Fuente!BC29</f>
        <v>0</v>
      </c>
      <c r="AA25" s="467">
        <f>Fuente!BD29</f>
        <v>0</v>
      </c>
      <c r="AB25" s="477" t="s">
        <v>49</v>
      </c>
      <c r="AC25" s="477"/>
      <c r="AD25" s="477" t="s">
        <v>115</v>
      </c>
      <c r="AE25" s="477">
        <v>22</v>
      </c>
      <c r="AF25" s="482"/>
      <c r="AG25" s="480" t="str">
        <f>Fuente!AB29</f>
        <v>SECRETARÍA DE EDUCACIÓN</v>
      </c>
      <c r="AH25" s="90"/>
      <c r="AI25" s="90"/>
      <c r="AJ25" s="91"/>
    </row>
    <row r="26" spans="1:36" ht="47.25" x14ac:dyDescent="0.2">
      <c r="A26" s="76">
        <v>1</v>
      </c>
      <c r="B26" s="350" t="s">
        <v>1746</v>
      </c>
      <c r="C26" s="351" t="s">
        <v>98</v>
      </c>
      <c r="D26" s="350" t="s">
        <v>99</v>
      </c>
      <c r="E26" s="351" t="s">
        <v>100</v>
      </c>
      <c r="F26" s="350" t="s">
        <v>101</v>
      </c>
      <c r="G26" s="351" t="s">
        <v>116</v>
      </c>
      <c r="H26" s="351" t="s">
        <v>117</v>
      </c>
      <c r="I26" s="350" t="s">
        <v>118</v>
      </c>
      <c r="J26" s="76">
        <v>4.74</v>
      </c>
      <c r="K26" s="76">
        <v>4.75</v>
      </c>
      <c r="L26" s="351" t="s">
        <v>119</v>
      </c>
      <c r="M26" s="350" t="s">
        <v>120</v>
      </c>
      <c r="N26" s="350" t="s">
        <v>121</v>
      </c>
      <c r="O26" s="76">
        <v>146</v>
      </c>
      <c r="P26" s="76">
        <v>350</v>
      </c>
      <c r="Q26" s="485">
        <f>Fuente!AT30</f>
        <v>59</v>
      </c>
      <c r="R26" s="485">
        <f>Fuente!AU30</f>
        <v>0</v>
      </c>
      <c r="S26" s="485">
        <f>Fuente!AV30</f>
        <v>0</v>
      </c>
      <c r="T26" s="485">
        <f>Fuente!AW30</f>
        <v>0</v>
      </c>
      <c r="U26" s="467">
        <f>Fuente!AM30</f>
        <v>0.1</v>
      </c>
      <c r="V26" s="485">
        <f>Fuente!AY30</f>
        <v>100</v>
      </c>
      <c r="W26" s="485">
        <f>Fuente!AZ30</f>
        <v>24</v>
      </c>
      <c r="X26" s="485">
        <f>Fuente!BA30</f>
        <v>0</v>
      </c>
      <c r="Y26" s="485">
        <f>Fuente!BB30</f>
        <v>0</v>
      </c>
      <c r="Z26" s="485">
        <f>Fuente!BC30</f>
        <v>0</v>
      </c>
      <c r="AA26" s="467">
        <f>Fuente!BD30</f>
        <v>0.24</v>
      </c>
      <c r="AB26" s="477" t="s">
        <v>49</v>
      </c>
      <c r="AC26" s="477"/>
      <c r="AD26" s="477" t="s">
        <v>108</v>
      </c>
      <c r="AE26" s="477">
        <v>22</v>
      </c>
      <c r="AF26" s="482"/>
      <c r="AG26" s="480" t="str">
        <f>Fuente!AB30</f>
        <v>SECRETARÍA DE EDUCACIÓN</v>
      </c>
      <c r="AH26" s="90"/>
      <c r="AI26" s="90"/>
      <c r="AJ26" s="91"/>
    </row>
    <row r="27" spans="1:36" ht="47.25" x14ac:dyDescent="0.2">
      <c r="A27" s="76">
        <v>1</v>
      </c>
      <c r="B27" s="350" t="s">
        <v>1746</v>
      </c>
      <c r="C27" s="351" t="s">
        <v>98</v>
      </c>
      <c r="D27" s="350" t="s">
        <v>99</v>
      </c>
      <c r="E27" s="351" t="s">
        <v>100</v>
      </c>
      <c r="F27" s="350" t="s">
        <v>101</v>
      </c>
      <c r="G27" s="351" t="s">
        <v>122</v>
      </c>
      <c r="H27" s="351" t="s">
        <v>123</v>
      </c>
      <c r="I27" s="350" t="s">
        <v>124</v>
      </c>
      <c r="J27" s="76">
        <v>4.5999999999999996</v>
      </c>
      <c r="K27" s="76">
        <v>5</v>
      </c>
      <c r="L27" s="351" t="s">
        <v>125</v>
      </c>
      <c r="M27" s="350" t="s">
        <v>126</v>
      </c>
      <c r="N27" s="350" t="s">
        <v>127</v>
      </c>
      <c r="O27" s="76">
        <v>43</v>
      </c>
      <c r="P27" s="76">
        <v>100</v>
      </c>
      <c r="Q27" s="485">
        <f>Fuente!AT31</f>
        <v>26</v>
      </c>
      <c r="R27" s="485">
        <f>Fuente!AU31</f>
        <v>0</v>
      </c>
      <c r="S27" s="485">
        <f>Fuente!AV31</f>
        <v>0</v>
      </c>
      <c r="T27" s="485">
        <f>Fuente!AW31</f>
        <v>0</v>
      </c>
      <c r="U27" s="467">
        <f>Fuente!AM31</f>
        <v>0.26</v>
      </c>
      <c r="V27" s="485">
        <f>Fuente!AY31</f>
        <v>30</v>
      </c>
      <c r="W27" s="485">
        <f>Fuente!AZ31</f>
        <v>0</v>
      </c>
      <c r="X27" s="485">
        <f>Fuente!BA31</f>
        <v>0</v>
      </c>
      <c r="Y27" s="485">
        <f>Fuente!BB31</f>
        <v>0</v>
      </c>
      <c r="Z27" s="485">
        <f>Fuente!BC31</f>
        <v>0</v>
      </c>
      <c r="AA27" s="467">
        <f>Fuente!BD31</f>
        <v>0</v>
      </c>
      <c r="AB27" s="477" t="s">
        <v>49</v>
      </c>
      <c r="AC27" s="477"/>
      <c r="AD27" s="477" t="s">
        <v>115</v>
      </c>
      <c r="AE27" s="477">
        <v>22</v>
      </c>
      <c r="AF27" s="482"/>
      <c r="AG27" s="480" t="str">
        <f>Fuente!AB31</f>
        <v>SECRETARÍA DE EDUCACIÓN</v>
      </c>
      <c r="AH27" s="90"/>
      <c r="AI27" s="90"/>
      <c r="AJ27" s="91"/>
    </row>
    <row r="28" spans="1:36" ht="63" x14ac:dyDescent="0.2">
      <c r="A28" s="76">
        <v>1</v>
      </c>
      <c r="B28" s="350" t="s">
        <v>1746</v>
      </c>
      <c r="C28" s="351" t="s">
        <v>98</v>
      </c>
      <c r="D28" s="350" t="s">
        <v>99</v>
      </c>
      <c r="E28" s="351" t="s">
        <v>100</v>
      </c>
      <c r="F28" s="350" t="s">
        <v>101</v>
      </c>
      <c r="G28" s="351" t="s">
        <v>122</v>
      </c>
      <c r="H28" s="351" t="s">
        <v>123</v>
      </c>
      <c r="I28" s="350" t="s">
        <v>124</v>
      </c>
      <c r="J28" s="76">
        <v>4.5999999999999996</v>
      </c>
      <c r="K28" s="76">
        <v>5</v>
      </c>
      <c r="L28" s="351" t="s">
        <v>128</v>
      </c>
      <c r="M28" s="350" t="s">
        <v>129</v>
      </c>
      <c r="N28" s="350" t="s">
        <v>130</v>
      </c>
      <c r="O28" s="76">
        <v>4</v>
      </c>
      <c r="P28" s="76">
        <v>50</v>
      </c>
      <c r="Q28" s="485">
        <f>Fuente!AT32</f>
        <v>10</v>
      </c>
      <c r="R28" s="485">
        <f>Fuente!AU32</f>
        <v>0</v>
      </c>
      <c r="S28" s="485">
        <f>Fuente!AV32</f>
        <v>0</v>
      </c>
      <c r="T28" s="485">
        <f>Fuente!AW32</f>
        <v>0</v>
      </c>
      <c r="U28" s="467">
        <f>Fuente!AM32</f>
        <v>0.2</v>
      </c>
      <c r="V28" s="485">
        <f>Fuente!AY32</f>
        <v>10</v>
      </c>
      <c r="W28" s="485">
        <f>Fuente!AZ32</f>
        <v>0</v>
      </c>
      <c r="X28" s="485">
        <f>Fuente!BA32</f>
        <v>0</v>
      </c>
      <c r="Y28" s="485">
        <f>Fuente!BB32</f>
        <v>0</v>
      </c>
      <c r="Z28" s="485">
        <f>Fuente!BC32</f>
        <v>0</v>
      </c>
      <c r="AA28" s="467">
        <f>Fuente!BD32</f>
        <v>0</v>
      </c>
      <c r="AB28" s="477" t="s">
        <v>49</v>
      </c>
      <c r="AC28" s="477"/>
      <c r="AD28" s="477" t="s">
        <v>108</v>
      </c>
      <c r="AE28" s="477">
        <v>22</v>
      </c>
      <c r="AF28" s="482"/>
      <c r="AG28" s="480" t="str">
        <f>Fuente!AB32</f>
        <v>SECRETARÍA DE EDUCACIÓN</v>
      </c>
      <c r="AH28" s="90"/>
      <c r="AI28" s="90"/>
      <c r="AJ28" s="91"/>
    </row>
    <row r="29" spans="1:36" ht="78.75" x14ac:dyDescent="0.2">
      <c r="A29" s="76">
        <v>1</v>
      </c>
      <c r="B29" s="350" t="s">
        <v>1746</v>
      </c>
      <c r="C29" s="351" t="s">
        <v>98</v>
      </c>
      <c r="D29" s="350" t="s">
        <v>99</v>
      </c>
      <c r="E29" s="351" t="s">
        <v>100</v>
      </c>
      <c r="F29" s="350" t="s">
        <v>101</v>
      </c>
      <c r="G29" s="351" t="s">
        <v>116</v>
      </c>
      <c r="H29" s="351" t="s">
        <v>131</v>
      </c>
      <c r="I29" s="350" t="s">
        <v>118</v>
      </c>
      <c r="J29" s="76">
        <v>4.74</v>
      </c>
      <c r="K29" s="76">
        <v>4.75</v>
      </c>
      <c r="L29" s="351" t="s">
        <v>132</v>
      </c>
      <c r="M29" s="350" t="s">
        <v>133</v>
      </c>
      <c r="N29" s="350" t="s">
        <v>134</v>
      </c>
      <c r="O29" s="76">
        <v>50</v>
      </c>
      <c r="P29" s="76">
        <v>226</v>
      </c>
      <c r="Q29" s="485">
        <f>Fuente!AT33</f>
        <v>226</v>
      </c>
      <c r="R29" s="485">
        <f>Fuente!AU33</f>
        <v>0</v>
      </c>
      <c r="S29" s="485">
        <f>Fuente!AV33</f>
        <v>0</v>
      </c>
      <c r="T29" s="485">
        <f>Fuente!AW33</f>
        <v>0</v>
      </c>
      <c r="U29" s="467">
        <f>Fuente!AM33</f>
        <v>1</v>
      </c>
      <c r="V29" s="485">
        <f>Fuente!AY33</f>
        <v>226</v>
      </c>
      <c r="W29" s="485">
        <f>Fuente!AZ33</f>
        <v>0</v>
      </c>
      <c r="X29" s="485">
        <f>Fuente!BA33</f>
        <v>0</v>
      </c>
      <c r="Y29" s="485">
        <f>Fuente!BB33</f>
        <v>0</v>
      </c>
      <c r="Z29" s="485">
        <f>Fuente!BC33</f>
        <v>0</v>
      </c>
      <c r="AA29" s="467">
        <f>Fuente!BD33</f>
        <v>0</v>
      </c>
      <c r="AB29" s="477" t="s">
        <v>49</v>
      </c>
      <c r="AC29" s="477"/>
      <c r="AD29" s="477" t="s">
        <v>115</v>
      </c>
      <c r="AE29" s="477">
        <v>22</v>
      </c>
      <c r="AF29" s="482"/>
      <c r="AG29" s="480" t="str">
        <f>Fuente!AB33</f>
        <v>SECRETARÍA DE EDUCACIÓN</v>
      </c>
      <c r="AH29" s="90"/>
      <c r="AI29" s="90"/>
      <c r="AJ29" s="91"/>
    </row>
    <row r="30" spans="1:36" ht="78.75" x14ac:dyDescent="0.2">
      <c r="A30" s="76">
        <v>1</v>
      </c>
      <c r="B30" s="350" t="s">
        <v>1746</v>
      </c>
      <c r="C30" s="351" t="s">
        <v>98</v>
      </c>
      <c r="D30" s="350" t="s">
        <v>99</v>
      </c>
      <c r="E30" s="351" t="s">
        <v>100</v>
      </c>
      <c r="F30" s="350" t="s">
        <v>101</v>
      </c>
      <c r="G30" s="351" t="s">
        <v>116</v>
      </c>
      <c r="H30" s="351" t="s">
        <v>135</v>
      </c>
      <c r="I30" s="350" t="s">
        <v>118</v>
      </c>
      <c r="J30" s="76">
        <v>4.74</v>
      </c>
      <c r="K30" s="76">
        <v>4.75</v>
      </c>
      <c r="L30" s="351" t="s">
        <v>136</v>
      </c>
      <c r="M30" s="350" t="s">
        <v>137</v>
      </c>
      <c r="N30" s="350" t="s">
        <v>138</v>
      </c>
      <c r="O30" s="76">
        <v>85</v>
      </c>
      <c r="P30" s="76">
        <v>167</v>
      </c>
      <c r="Q30" s="485">
        <f>Fuente!AT34</f>
        <v>167</v>
      </c>
      <c r="R30" s="485">
        <f>Fuente!AU34</f>
        <v>0</v>
      </c>
      <c r="S30" s="485">
        <f>Fuente!AV34</f>
        <v>0</v>
      </c>
      <c r="T30" s="485">
        <f>Fuente!AW34</f>
        <v>0</v>
      </c>
      <c r="U30" s="467">
        <f>Fuente!AM34</f>
        <v>1</v>
      </c>
      <c r="V30" s="485">
        <f>Fuente!AY34</f>
        <v>167</v>
      </c>
      <c r="W30" s="485">
        <f>Fuente!AZ34</f>
        <v>0</v>
      </c>
      <c r="X30" s="485">
        <f>Fuente!BA34</f>
        <v>0</v>
      </c>
      <c r="Y30" s="485">
        <f>Fuente!BB34</f>
        <v>0</v>
      </c>
      <c r="Z30" s="485">
        <f>Fuente!BC34</f>
        <v>0</v>
      </c>
      <c r="AA30" s="467">
        <f>Fuente!BD34</f>
        <v>0</v>
      </c>
      <c r="AB30" s="477" t="s">
        <v>49</v>
      </c>
      <c r="AC30" s="477"/>
      <c r="AD30" s="477" t="s">
        <v>115</v>
      </c>
      <c r="AE30" s="477">
        <v>22</v>
      </c>
      <c r="AF30" s="482"/>
      <c r="AG30" s="480" t="str">
        <f>Fuente!AB34</f>
        <v>SECRETARÍA DE EDUCACIÓN</v>
      </c>
      <c r="AH30" s="90"/>
      <c r="AI30" s="90"/>
      <c r="AJ30" s="91"/>
    </row>
    <row r="31" spans="1:36" ht="110.25" x14ac:dyDescent="0.2">
      <c r="A31" s="76">
        <v>1</v>
      </c>
      <c r="B31" s="350" t="s">
        <v>1746</v>
      </c>
      <c r="C31" s="351" t="s">
        <v>98</v>
      </c>
      <c r="D31" s="350" t="s">
        <v>99</v>
      </c>
      <c r="E31" s="351" t="s">
        <v>100</v>
      </c>
      <c r="F31" s="350" t="s">
        <v>101</v>
      </c>
      <c r="G31" s="351" t="s">
        <v>122</v>
      </c>
      <c r="H31" s="351" t="s">
        <v>139</v>
      </c>
      <c r="I31" s="350" t="s">
        <v>124</v>
      </c>
      <c r="J31" s="76">
        <v>4.5999999999999996</v>
      </c>
      <c r="K31" s="76">
        <v>5</v>
      </c>
      <c r="L31" s="351" t="s">
        <v>140</v>
      </c>
      <c r="M31" s="350" t="s">
        <v>141</v>
      </c>
      <c r="N31" s="350" t="s">
        <v>142</v>
      </c>
      <c r="O31" s="76">
        <v>40</v>
      </c>
      <c r="P31" s="76">
        <v>150</v>
      </c>
      <c r="Q31" s="485">
        <f>Fuente!AT35</f>
        <v>45</v>
      </c>
      <c r="R31" s="485">
        <f>Fuente!AU35</f>
        <v>0</v>
      </c>
      <c r="S31" s="485">
        <f>Fuente!AV35</f>
        <v>0</v>
      </c>
      <c r="T31" s="485">
        <f>Fuente!AW35</f>
        <v>0</v>
      </c>
      <c r="U31" s="467">
        <f>Fuente!AM35</f>
        <v>0</v>
      </c>
      <c r="V31" s="485">
        <f>Fuente!AY35</f>
        <v>50</v>
      </c>
      <c r="W31" s="485">
        <f>Fuente!AZ35</f>
        <v>45</v>
      </c>
      <c r="X31" s="485">
        <f>Fuente!BA35</f>
        <v>0</v>
      </c>
      <c r="Y31" s="485">
        <f>Fuente!BB35</f>
        <v>0</v>
      </c>
      <c r="Z31" s="485">
        <f>Fuente!BC35</f>
        <v>0</v>
      </c>
      <c r="AA31" s="467">
        <f>Fuente!BD35</f>
        <v>0.9</v>
      </c>
      <c r="AB31" s="477" t="s">
        <v>49</v>
      </c>
      <c r="AC31" s="477"/>
      <c r="AD31" s="477" t="s">
        <v>115</v>
      </c>
      <c r="AE31" s="477">
        <v>22</v>
      </c>
      <c r="AF31" s="482"/>
      <c r="AG31" s="480" t="str">
        <f>Fuente!AB35</f>
        <v>SECRETARÍA DE EDUCACIÓN</v>
      </c>
      <c r="AH31" s="90"/>
      <c r="AI31" s="90"/>
      <c r="AJ31" s="91"/>
    </row>
    <row r="32" spans="1:36" ht="94.5" x14ac:dyDescent="0.2">
      <c r="A32" s="76">
        <v>1</v>
      </c>
      <c r="B32" s="350" t="s">
        <v>1746</v>
      </c>
      <c r="C32" s="351" t="s">
        <v>98</v>
      </c>
      <c r="D32" s="350" t="s">
        <v>99</v>
      </c>
      <c r="E32" s="351" t="s">
        <v>100</v>
      </c>
      <c r="F32" s="350" t="s">
        <v>101</v>
      </c>
      <c r="G32" s="351" t="s">
        <v>116</v>
      </c>
      <c r="H32" s="351" t="s">
        <v>143</v>
      </c>
      <c r="I32" s="350" t="s">
        <v>118</v>
      </c>
      <c r="J32" s="76">
        <v>4.74</v>
      </c>
      <c r="K32" s="76">
        <v>4.75</v>
      </c>
      <c r="L32" s="351" t="s">
        <v>144</v>
      </c>
      <c r="M32" s="350" t="s">
        <v>145</v>
      </c>
      <c r="N32" s="350" t="s">
        <v>146</v>
      </c>
      <c r="O32" s="76">
        <v>60</v>
      </c>
      <c r="P32" s="76">
        <v>70</v>
      </c>
      <c r="Q32" s="485">
        <f>Fuente!AT36</f>
        <v>20</v>
      </c>
      <c r="R32" s="485">
        <f>Fuente!AU36</f>
        <v>0</v>
      </c>
      <c r="S32" s="485">
        <f>Fuente!AV36</f>
        <v>0</v>
      </c>
      <c r="T32" s="485">
        <f>Fuente!AW36</f>
        <v>0</v>
      </c>
      <c r="U32" s="467">
        <f>Fuente!AM36</f>
        <v>0</v>
      </c>
      <c r="V32" s="485">
        <f>Fuente!AY36</f>
        <v>30</v>
      </c>
      <c r="W32" s="485">
        <f>Fuente!AZ36</f>
        <v>20</v>
      </c>
      <c r="X32" s="485">
        <f>Fuente!BA36</f>
        <v>0</v>
      </c>
      <c r="Y32" s="485">
        <f>Fuente!BB36</f>
        <v>0</v>
      </c>
      <c r="Z32" s="485">
        <f>Fuente!BC36</f>
        <v>0</v>
      </c>
      <c r="AA32" s="467">
        <f>Fuente!BD36</f>
        <v>0.66666666666666663</v>
      </c>
      <c r="AB32" s="477" t="s">
        <v>49</v>
      </c>
      <c r="AC32" s="477"/>
      <c r="AD32" s="477" t="s">
        <v>115</v>
      </c>
      <c r="AE32" s="477">
        <v>22</v>
      </c>
      <c r="AF32" s="482"/>
      <c r="AG32" s="480" t="str">
        <f>Fuente!AB36</f>
        <v>SECRETARÍA DE EDUCACIÓN</v>
      </c>
      <c r="AH32" s="90"/>
      <c r="AI32" s="90"/>
      <c r="AJ32" s="91"/>
    </row>
    <row r="33" spans="1:36" ht="78.75" x14ac:dyDescent="0.2">
      <c r="A33" s="76">
        <v>1</v>
      </c>
      <c r="B33" s="350" t="s">
        <v>1746</v>
      </c>
      <c r="C33" s="351" t="s">
        <v>98</v>
      </c>
      <c r="D33" s="350" t="s">
        <v>99</v>
      </c>
      <c r="E33" s="351" t="s">
        <v>100</v>
      </c>
      <c r="F33" s="350" t="s">
        <v>101</v>
      </c>
      <c r="G33" s="351" t="s">
        <v>116</v>
      </c>
      <c r="H33" s="351" t="s">
        <v>147</v>
      </c>
      <c r="I33" s="350" t="s">
        <v>118</v>
      </c>
      <c r="J33" s="76">
        <v>4.74</v>
      </c>
      <c r="K33" s="76">
        <v>4.75</v>
      </c>
      <c r="L33" s="351" t="s">
        <v>148</v>
      </c>
      <c r="M33" s="350" t="s">
        <v>1992</v>
      </c>
      <c r="N33" s="350" t="s">
        <v>149</v>
      </c>
      <c r="O33" s="76">
        <v>24</v>
      </c>
      <c r="P33" s="76">
        <v>226</v>
      </c>
      <c r="Q33" s="485">
        <f>Fuente!AT37</f>
        <v>200</v>
      </c>
      <c r="R33" s="485">
        <f>Fuente!AU37</f>
        <v>0</v>
      </c>
      <c r="S33" s="485">
        <f>Fuente!AV37</f>
        <v>0</v>
      </c>
      <c r="T33" s="485">
        <f>Fuente!AW37</f>
        <v>0</v>
      </c>
      <c r="U33" s="467">
        <f>Fuente!AM37</f>
        <v>0.75221238938053092</v>
      </c>
      <c r="V33" s="485">
        <f>Fuente!AY37</f>
        <v>226</v>
      </c>
      <c r="W33" s="485">
        <f>Fuente!AZ37</f>
        <v>30</v>
      </c>
      <c r="X33" s="485">
        <f>Fuente!BA37</f>
        <v>0</v>
      </c>
      <c r="Y33" s="485">
        <f>Fuente!BB37</f>
        <v>0</v>
      </c>
      <c r="Z33" s="485">
        <f>Fuente!BC37</f>
        <v>0</v>
      </c>
      <c r="AA33" s="467">
        <f>Fuente!BD37</f>
        <v>0.13274336283185842</v>
      </c>
      <c r="AB33" s="477" t="s">
        <v>49</v>
      </c>
      <c r="AC33" s="477"/>
      <c r="AD33" s="477" t="s">
        <v>115</v>
      </c>
      <c r="AE33" s="477">
        <v>22</v>
      </c>
      <c r="AF33" s="482"/>
      <c r="AG33" s="480" t="str">
        <f>Fuente!AB37</f>
        <v>SECRETARÍA DE EDUCACIÓN</v>
      </c>
      <c r="AH33" s="90"/>
      <c r="AI33" s="90"/>
      <c r="AJ33" s="91"/>
    </row>
    <row r="34" spans="1:36" ht="94.5" x14ac:dyDescent="0.2">
      <c r="A34" s="76">
        <v>1</v>
      </c>
      <c r="B34" s="350" t="s">
        <v>1746</v>
      </c>
      <c r="C34" s="351" t="s">
        <v>98</v>
      </c>
      <c r="D34" s="350" t="s">
        <v>99</v>
      </c>
      <c r="E34" s="351" t="s">
        <v>100</v>
      </c>
      <c r="F34" s="350" t="s">
        <v>101</v>
      </c>
      <c r="G34" s="351" t="s">
        <v>116</v>
      </c>
      <c r="H34" s="351" t="s">
        <v>150</v>
      </c>
      <c r="I34" s="350" t="s">
        <v>118</v>
      </c>
      <c r="J34" s="76">
        <v>4.74</v>
      </c>
      <c r="K34" s="76">
        <v>4.75</v>
      </c>
      <c r="L34" s="351" t="s">
        <v>151</v>
      </c>
      <c r="M34" s="350" t="s">
        <v>152</v>
      </c>
      <c r="N34" s="350" t="s">
        <v>153</v>
      </c>
      <c r="O34" s="76">
        <v>0</v>
      </c>
      <c r="P34" s="76">
        <v>1</v>
      </c>
      <c r="Q34" s="485">
        <f>Fuente!AT38</f>
        <v>0</v>
      </c>
      <c r="R34" s="485">
        <f>Fuente!AU38</f>
        <v>0</v>
      </c>
      <c r="S34" s="485">
        <f>Fuente!AV38</f>
        <v>0</v>
      </c>
      <c r="T34" s="485">
        <f>Fuente!AW38</f>
        <v>0</v>
      </c>
      <c r="U34" s="467">
        <f>Fuente!AM38</f>
        <v>0</v>
      </c>
      <c r="V34" s="485" t="str">
        <f>Fuente!AY38</f>
        <v>NP</v>
      </c>
      <c r="W34" s="485">
        <f>Fuente!AZ38</f>
        <v>0</v>
      </c>
      <c r="X34" s="485">
        <f>Fuente!BA38</f>
        <v>0</v>
      </c>
      <c r="Y34" s="485">
        <f>Fuente!BB38</f>
        <v>0</v>
      </c>
      <c r="Z34" s="485">
        <f>Fuente!BC38</f>
        <v>0</v>
      </c>
      <c r="AA34" s="467" t="str">
        <f>Fuente!BD38</f>
        <v>NP</v>
      </c>
      <c r="AB34" s="477" t="s">
        <v>49</v>
      </c>
      <c r="AC34" s="477"/>
      <c r="AD34" s="477" t="s">
        <v>108</v>
      </c>
      <c r="AE34" s="477">
        <v>22</v>
      </c>
      <c r="AF34" s="482"/>
      <c r="AG34" s="480" t="str">
        <f>Fuente!AB38</f>
        <v>SECRETARÍA DE EDUCACIÓN</v>
      </c>
      <c r="AH34" s="90"/>
      <c r="AI34" s="90"/>
      <c r="AJ34" s="91"/>
    </row>
    <row r="35" spans="1:36" ht="94.5" x14ac:dyDescent="0.2">
      <c r="A35" s="76">
        <v>1</v>
      </c>
      <c r="B35" s="350" t="s">
        <v>1746</v>
      </c>
      <c r="C35" s="351" t="s">
        <v>98</v>
      </c>
      <c r="D35" s="350" t="s">
        <v>99</v>
      </c>
      <c r="E35" s="351" t="s">
        <v>100</v>
      </c>
      <c r="F35" s="350" t="s">
        <v>101</v>
      </c>
      <c r="G35" s="351" t="s">
        <v>122</v>
      </c>
      <c r="H35" s="351" t="s">
        <v>154</v>
      </c>
      <c r="I35" s="350" t="s">
        <v>124</v>
      </c>
      <c r="J35" s="351">
        <v>4.5999999999999996</v>
      </c>
      <c r="K35" s="351">
        <v>5</v>
      </c>
      <c r="L35" s="351" t="s">
        <v>155</v>
      </c>
      <c r="M35" s="350" t="s">
        <v>156</v>
      </c>
      <c r="N35" s="350" t="s">
        <v>157</v>
      </c>
      <c r="O35" s="76">
        <v>0</v>
      </c>
      <c r="P35" s="76">
        <v>13</v>
      </c>
      <c r="Q35" s="485">
        <f>Fuente!AT39</f>
        <v>0</v>
      </c>
      <c r="R35" s="485">
        <f>Fuente!AU39</f>
        <v>0</v>
      </c>
      <c r="S35" s="485">
        <f>Fuente!AV39</f>
        <v>0</v>
      </c>
      <c r="T35" s="485">
        <f>Fuente!AW39</f>
        <v>0</v>
      </c>
      <c r="U35" s="467">
        <f>Fuente!AM39</f>
        <v>0</v>
      </c>
      <c r="V35" s="485">
        <f>Fuente!AY39</f>
        <v>7</v>
      </c>
      <c r="W35" s="485">
        <f>Fuente!AZ39</f>
        <v>0</v>
      </c>
      <c r="X35" s="485">
        <f>Fuente!BA39</f>
        <v>0</v>
      </c>
      <c r="Y35" s="485">
        <f>Fuente!BB39</f>
        <v>0</v>
      </c>
      <c r="Z35" s="485">
        <f>Fuente!BC39</f>
        <v>0</v>
      </c>
      <c r="AA35" s="467">
        <f>Fuente!BD39</f>
        <v>0</v>
      </c>
      <c r="AB35" s="477" t="s">
        <v>49</v>
      </c>
      <c r="AC35" s="477"/>
      <c r="AD35" s="477" t="s">
        <v>115</v>
      </c>
      <c r="AE35" s="477">
        <v>22</v>
      </c>
      <c r="AF35" s="482"/>
      <c r="AG35" s="480" t="str">
        <f>Fuente!AB39</f>
        <v>SECRETARÍA DE EDUCACIÓN</v>
      </c>
      <c r="AH35" s="90"/>
      <c r="AI35" s="90"/>
      <c r="AJ35" s="91"/>
    </row>
    <row r="36" spans="1:36" ht="94.5" x14ac:dyDescent="0.2">
      <c r="A36" s="76">
        <v>1</v>
      </c>
      <c r="B36" s="350" t="s">
        <v>1746</v>
      </c>
      <c r="C36" s="351" t="s">
        <v>98</v>
      </c>
      <c r="D36" s="350" t="s">
        <v>99</v>
      </c>
      <c r="E36" s="351" t="s">
        <v>100</v>
      </c>
      <c r="F36" s="350" t="s">
        <v>101</v>
      </c>
      <c r="G36" s="351" t="s">
        <v>109</v>
      </c>
      <c r="H36" s="351" t="s">
        <v>158</v>
      </c>
      <c r="I36" s="350" t="s">
        <v>111</v>
      </c>
      <c r="J36" s="76">
        <v>4.83</v>
      </c>
      <c r="K36" s="76">
        <v>4.8499999999999996</v>
      </c>
      <c r="L36" s="351" t="s">
        <v>159</v>
      </c>
      <c r="M36" s="350" t="s">
        <v>160</v>
      </c>
      <c r="N36" s="350" t="s">
        <v>161</v>
      </c>
      <c r="O36" s="76">
        <v>89</v>
      </c>
      <c r="P36" s="76">
        <v>226</v>
      </c>
      <c r="Q36" s="485">
        <f>Fuente!AT40</f>
        <v>0</v>
      </c>
      <c r="R36" s="485">
        <f>Fuente!AU40</f>
        <v>0</v>
      </c>
      <c r="S36" s="485">
        <f>Fuente!AV40</f>
        <v>0</v>
      </c>
      <c r="T36" s="485">
        <f>Fuente!AW40</f>
        <v>0</v>
      </c>
      <c r="U36" s="467">
        <f>Fuente!AM40</f>
        <v>0</v>
      </c>
      <c r="V36" s="485">
        <f>Fuente!AY40</f>
        <v>226</v>
      </c>
      <c r="W36" s="485">
        <f>Fuente!AZ40</f>
        <v>0</v>
      </c>
      <c r="X36" s="485">
        <f>Fuente!BA40</f>
        <v>0</v>
      </c>
      <c r="Y36" s="485">
        <f>Fuente!BB40</f>
        <v>0</v>
      </c>
      <c r="Z36" s="485">
        <f>Fuente!BC40</f>
        <v>0</v>
      </c>
      <c r="AA36" s="467">
        <f>Fuente!BD40</f>
        <v>0</v>
      </c>
      <c r="AB36" s="477" t="s">
        <v>78</v>
      </c>
      <c r="AC36" s="477"/>
      <c r="AD36" s="477" t="s">
        <v>115</v>
      </c>
      <c r="AE36" s="477">
        <v>22</v>
      </c>
      <c r="AF36" s="482"/>
      <c r="AG36" s="480" t="str">
        <f>Fuente!AB40</f>
        <v>SECRETARÍA DE EDUCACIÓN</v>
      </c>
      <c r="AH36" s="90"/>
      <c r="AI36" s="90"/>
      <c r="AJ36" s="91"/>
    </row>
    <row r="37" spans="1:36" ht="94.5" x14ac:dyDescent="0.2">
      <c r="A37" s="76">
        <v>1</v>
      </c>
      <c r="B37" s="350" t="s">
        <v>1746</v>
      </c>
      <c r="C37" s="351" t="s">
        <v>98</v>
      </c>
      <c r="D37" s="350" t="s">
        <v>99</v>
      </c>
      <c r="E37" s="351" t="s">
        <v>100</v>
      </c>
      <c r="F37" s="350" t="s">
        <v>101</v>
      </c>
      <c r="G37" s="351" t="s">
        <v>116</v>
      </c>
      <c r="H37" s="351" t="s">
        <v>162</v>
      </c>
      <c r="I37" s="350" t="s">
        <v>118</v>
      </c>
      <c r="J37" s="76">
        <v>4.74</v>
      </c>
      <c r="K37" s="76">
        <v>4.75</v>
      </c>
      <c r="L37" s="351" t="s">
        <v>163</v>
      </c>
      <c r="M37" s="350" t="s">
        <v>164</v>
      </c>
      <c r="N37" s="350" t="s">
        <v>165</v>
      </c>
      <c r="O37" s="76">
        <v>225</v>
      </c>
      <c r="P37" s="76">
        <v>226</v>
      </c>
      <c r="Q37" s="485">
        <f>Fuente!AT41</f>
        <v>42.5</v>
      </c>
      <c r="R37" s="485">
        <f>Fuente!AU41</f>
        <v>0</v>
      </c>
      <c r="S37" s="485">
        <f>Fuente!AV41</f>
        <v>0</v>
      </c>
      <c r="T37" s="485">
        <f>Fuente!AW41</f>
        <v>0</v>
      </c>
      <c r="U37" s="467">
        <f>Fuente!AM41</f>
        <v>0.75221238938053092</v>
      </c>
      <c r="V37" s="485">
        <f>Fuente!AY41</f>
        <v>226</v>
      </c>
      <c r="W37" s="485">
        <f>Fuente!AZ41</f>
        <v>0</v>
      </c>
      <c r="X37" s="485">
        <f>Fuente!BA41</f>
        <v>0</v>
      </c>
      <c r="Y37" s="485">
        <f>Fuente!BB41</f>
        <v>0</v>
      </c>
      <c r="Z37" s="485">
        <f>Fuente!BC41</f>
        <v>0</v>
      </c>
      <c r="AA37" s="467">
        <f>Fuente!BD41</f>
        <v>0</v>
      </c>
      <c r="AB37" s="477" t="s">
        <v>78</v>
      </c>
      <c r="AC37" s="477"/>
      <c r="AD37" s="477" t="s">
        <v>115</v>
      </c>
      <c r="AE37" s="477">
        <v>22</v>
      </c>
      <c r="AF37" s="482"/>
      <c r="AG37" s="480" t="str">
        <f>Fuente!AB41</f>
        <v>SECRETARÍA DE EDUCACIÓN</v>
      </c>
      <c r="AH37" s="90"/>
      <c r="AI37" s="90"/>
      <c r="AJ37" s="91"/>
    </row>
    <row r="38" spans="1:36" ht="47.25" x14ac:dyDescent="0.2">
      <c r="A38" s="76">
        <v>1</v>
      </c>
      <c r="B38" s="350" t="s">
        <v>1746</v>
      </c>
      <c r="C38" s="351" t="s">
        <v>98</v>
      </c>
      <c r="D38" s="350" t="s">
        <v>99</v>
      </c>
      <c r="E38" s="351" t="s">
        <v>100</v>
      </c>
      <c r="F38" s="350" t="s">
        <v>101</v>
      </c>
      <c r="G38" s="351" t="s">
        <v>116</v>
      </c>
      <c r="H38" s="351" t="s">
        <v>166</v>
      </c>
      <c r="I38" s="350" t="s">
        <v>118</v>
      </c>
      <c r="J38" s="76">
        <v>4.74</v>
      </c>
      <c r="K38" s="76">
        <v>4.75</v>
      </c>
      <c r="L38" s="351" t="s">
        <v>167</v>
      </c>
      <c r="M38" s="350" t="s">
        <v>168</v>
      </c>
      <c r="N38" s="350" t="s">
        <v>169</v>
      </c>
      <c r="O38" s="76">
        <v>65</v>
      </c>
      <c r="P38" s="76">
        <v>96</v>
      </c>
      <c r="Q38" s="485">
        <f>Fuente!AT42</f>
        <v>0</v>
      </c>
      <c r="R38" s="485">
        <f>Fuente!AU42</f>
        <v>0</v>
      </c>
      <c r="S38" s="485">
        <f>Fuente!AV42</f>
        <v>0</v>
      </c>
      <c r="T38" s="485">
        <f>Fuente!AW42</f>
        <v>0</v>
      </c>
      <c r="U38" s="467">
        <f>Fuente!AM42</f>
        <v>0</v>
      </c>
      <c r="V38" s="485">
        <f>Fuente!AY42</f>
        <v>30</v>
      </c>
      <c r="W38" s="485">
        <f>Fuente!AZ42</f>
        <v>0</v>
      </c>
      <c r="X38" s="485">
        <f>Fuente!BA42</f>
        <v>0</v>
      </c>
      <c r="Y38" s="485">
        <f>Fuente!BB42</f>
        <v>0</v>
      </c>
      <c r="Z38" s="485">
        <f>Fuente!BC42</f>
        <v>0</v>
      </c>
      <c r="AA38" s="467">
        <f>Fuente!BD42</f>
        <v>0</v>
      </c>
      <c r="AB38" s="477" t="s">
        <v>49</v>
      </c>
      <c r="AC38" s="477"/>
      <c r="AD38" s="477" t="s">
        <v>115</v>
      </c>
      <c r="AE38" s="477">
        <v>22</v>
      </c>
      <c r="AF38" s="482"/>
      <c r="AG38" s="480" t="str">
        <f>Fuente!AB42</f>
        <v>SECRETARÍA DE EDUCACIÓN</v>
      </c>
      <c r="AH38" s="90"/>
      <c r="AI38" s="90"/>
      <c r="AJ38" s="91"/>
    </row>
    <row r="39" spans="1:36" ht="126" x14ac:dyDescent="0.2">
      <c r="A39" s="76">
        <v>1</v>
      </c>
      <c r="B39" s="350" t="s">
        <v>1746</v>
      </c>
      <c r="C39" s="351" t="s">
        <v>98</v>
      </c>
      <c r="D39" s="350" t="s">
        <v>99</v>
      </c>
      <c r="E39" s="351" t="s">
        <v>100</v>
      </c>
      <c r="F39" s="350" t="s">
        <v>101</v>
      </c>
      <c r="G39" s="351" t="s">
        <v>109</v>
      </c>
      <c r="H39" s="351" t="s">
        <v>170</v>
      </c>
      <c r="I39" s="350" t="s">
        <v>111</v>
      </c>
      <c r="J39" s="76">
        <v>4.83</v>
      </c>
      <c r="K39" s="76">
        <v>4.8499999999999996</v>
      </c>
      <c r="L39" s="351" t="s">
        <v>171</v>
      </c>
      <c r="M39" s="350" t="s">
        <v>172</v>
      </c>
      <c r="N39" s="350" t="s">
        <v>173</v>
      </c>
      <c r="O39" s="351">
        <v>3031</v>
      </c>
      <c r="P39" s="76">
        <v>3506</v>
      </c>
      <c r="Q39" s="485">
        <f>Fuente!AT43</f>
        <v>3254</v>
      </c>
      <c r="R39" s="485">
        <f>Fuente!AU43</f>
        <v>0</v>
      </c>
      <c r="S39" s="485">
        <f>Fuente!AV43</f>
        <v>0</v>
      </c>
      <c r="T39" s="485">
        <f>Fuente!AW43</f>
        <v>0</v>
      </c>
      <c r="U39" s="467">
        <f>Fuente!AM43</f>
        <v>0.92812321734169989</v>
      </c>
      <c r="V39" s="485">
        <f>Fuente!AY43</f>
        <v>3510</v>
      </c>
      <c r="W39" s="485">
        <f>Fuente!AZ43</f>
        <v>0</v>
      </c>
      <c r="X39" s="485">
        <f>Fuente!BA43</f>
        <v>0</v>
      </c>
      <c r="Y39" s="485">
        <f>Fuente!BB43</f>
        <v>0</v>
      </c>
      <c r="Z39" s="485">
        <f>Fuente!BC43</f>
        <v>0</v>
      </c>
      <c r="AA39" s="467">
        <f>Fuente!BD43</f>
        <v>0</v>
      </c>
      <c r="AB39" s="477" t="s">
        <v>49</v>
      </c>
      <c r="AC39" s="477"/>
      <c r="AD39" s="477" t="s">
        <v>115</v>
      </c>
      <c r="AE39" s="477">
        <v>22</v>
      </c>
      <c r="AF39" s="482"/>
      <c r="AG39" s="480" t="str">
        <f>Fuente!AB43</f>
        <v>SECRETARÍA DE EDUCACIÓN</v>
      </c>
      <c r="AH39" s="90"/>
      <c r="AI39" s="90"/>
      <c r="AJ39" s="91"/>
    </row>
    <row r="40" spans="1:36" ht="47.25" x14ac:dyDescent="0.2">
      <c r="A40" s="76">
        <v>1</v>
      </c>
      <c r="B40" s="350" t="s">
        <v>1746</v>
      </c>
      <c r="C40" s="351" t="s">
        <v>98</v>
      </c>
      <c r="D40" s="350" t="s">
        <v>99</v>
      </c>
      <c r="E40" s="351" t="s">
        <v>100</v>
      </c>
      <c r="F40" s="350" t="s">
        <v>101</v>
      </c>
      <c r="G40" s="351" t="s">
        <v>109</v>
      </c>
      <c r="H40" s="351" t="s">
        <v>174</v>
      </c>
      <c r="I40" s="350" t="s">
        <v>111</v>
      </c>
      <c r="J40" s="76">
        <v>4.83</v>
      </c>
      <c r="K40" s="76">
        <v>4.8499999999999996</v>
      </c>
      <c r="L40" s="351" t="s">
        <v>175</v>
      </c>
      <c r="M40" s="350" t="s">
        <v>176</v>
      </c>
      <c r="N40" s="350" t="s">
        <v>177</v>
      </c>
      <c r="O40" s="76">
        <v>252</v>
      </c>
      <c r="P40" s="76">
        <v>252</v>
      </c>
      <c r="Q40" s="485">
        <f>Fuente!AT44</f>
        <v>252</v>
      </c>
      <c r="R40" s="485">
        <f>Fuente!AU44</f>
        <v>0</v>
      </c>
      <c r="S40" s="485">
        <f>Fuente!AV44</f>
        <v>0</v>
      </c>
      <c r="T40" s="485">
        <f>Fuente!AW44</f>
        <v>0</v>
      </c>
      <c r="U40" s="467">
        <f>Fuente!AM44</f>
        <v>1</v>
      </c>
      <c r="V40" s="485">
        <f>Fuente!AY44</f>
        <v>252</v>
      </c>
      <c r="W40" s="485">
        <f>Fuente!AZ44</f>
        <v>0</v>
      </c>
      <c r="X40" s="485">
        <f>Fuente!BA44</f>
        <v>0</v>
      </c>
      <c r="Y40" s="485">
        <f>Fuente!BB44</f>
        <v>0</v>
      </c>
      <c r="Z40" s="485">
        <f>Fuente!BC44</f>
        <v>0</v>
      </c>
      <c r="AA40" s="467">
        <f>Fuente!BD44</f>
        <v>0</v>
      </c>
      <c r="AB40" s="477" t="s">
        <v>49</v>
      </c>
      <c r="AC40" s="477"/>
      <c r="AD40" s="477" t="s">
        <v>108</v>
      </c>
      <c r="AE40" s="477">
        <v>22</v>
      </c>
      <c r="AF40" s="482"/>
      <c r="AG40" s="480" t="str">
        <f>Fuente!AB44</f>
        <v>SECRETARÍA DE EDUCACIÓN</v>
      </c>
      <c r="AH40" s="90"/>
      <c r="AI40" s="90"/>
      <c r="AJ40" s="91"/>
    </row>
    <row r="41" spans="1:36" ht="110.25" x14ac:dyDescent="0.2">
      <c r="A41" s="76">
        <v>1</v>
      </c>
      <c r="B41" s="350" t="s">
        <v>1746</v>
      </c>
      <c r="C41" s="351" t="s">
        <v>98</v>
      </c>
      <c r="D41" s="350" t="s">
        <v>99</v>
      </c>
      <c r="E41" s="351" t="s">
        <v>100</v>
      </c>
      <c r="F41" s="350" t="s">
        <v>101</v>
      </c>
      <c r="G41" s="351" t="s">
        <v>122</v>
      </c>
      <c r="H41" s="351" t="s">
        <v>178</v>
      </c>
      <c r="I41" s="350" t="s">
        <v>124</v>
      </c>
      <c r="J41" s="351">
        <v>4.5999999999999996</v>
      </c>
      <c r="K41" s="351">
        <v>5</v>
      </c>
      <c r="L41" s="351" t="s">
        <v>179</v>
      </c>
      <c r="M41" s="350" t="s">
        <v>180</v>
      </c>
      <c r="N41" s="350" t="s">
        <v>181</v>
      </c>
      <c r="O41" s="76">
        <v>0</v>
      </c>
      <c r="P41" s="76">
        <v>11</v>
      </c>
      <c r="Q41" s="485">
        <f>Fuente!AT45</f>
        <v>0.75</v>
      </c>
      <c r="R41" s="485">
        <f>Fuente!AU45</f>
        <v>0</v>
      </c>
      <c r="S41" s="485">
        <f>Fuente!AV45</f>
        <v>0</v>
      </c>
      <c r="T41" s="485">
        <f>Fuente!AW45</f>
        <v>0</v>
      </c>
      <c r="U41" s="467">
        <f>Fuente!AM45</f>
        <v>0.27272727272727271</v>
      </c>
      <c r="V41" s="485">
        <f>Fuente!AY45</f>
        <v>11</v>
      </c>
      <c r="W41" s="485">
        <f>Fuente!AZ45</f>
        <v>0</v>
      </c>
      <c r="X41" s="485">
        <f>Fuente!BA45</f>
        <v>0</v>
      </c>
      <c r="Y41" s="485">
        <f>Fuente!BB45</f>
        <v>0</v>
      </c>
      <c r="Z41" s="485">
        <f>Fuente!BC45</f>
        <v>0</v>
      </c>
      <c r="AA41" s="467">
        <f>Fuente!BD45</f>
        <v>0</v>
      </c>
      <c r="AB41" s="477" t="s">
        <v>78</v>
      </c>
      <c r="AC41" s="477"/>
      <c r="AD41" s="477" t="s">
        <v>108</v>
      </c>
      <c r="AE41" s="477">
        <v>22</v>
      </c>
      <c r="AF41" s="482"/>
      <c r="AG41" s="480" t="str">
        <f>Fuente!AB45</f>
        <v>SECRETARÍA DE EDUCACIÓN</v>
      </c>
      <c r="AH41" s="90"/>
      <c r="AI41" s="90"/>
      <c r="AJ41" s="91"/>
    </row>
    <row r="42" spans="1:36" ht="94.5" x14ac:dyDescent="0.2">
      <c r="A42" s="76">
        <v>1</v>
      </c>
      <c r="B42" s="350" t="s">
        <v>1746</v>
      </c>
      <c r="C42" s="351" t="s">
        <v>98</v>
      </c>
      <c r="D42" s="350" t="s">
        <v>99</v>
      </c>
      <c r="E42" s="351" t="s">
        <v>100</v>
      </c>
      <c r="F42" s="350" t="s">
        <v>101</v>
      </c>
      <c r="G42" s="351" t="s">
        <v>109</v>
      </c>
      <c r="H42" s="351" t="s">
        <v>182</v>
      </c>
      <c r="I42" s="350" t="s">
        <v>111</v>
      </c>
      <c r="J42" s="76">
        <v>4.83</v>
      </c>
      <c r="K42" s="76">
        <v>4.8499999999999996</v>
      </c>
      <c r="L42" s="351" t="s">
        <v>183</v>
      </c>
      <c r="M42" s="350" t="s">
        <v>184</v>
      </c>
      <c r="N42" s="350" t="s">
        <v>185</v>
      </c>
      <c r="O42" s="76">
        <v>358</v>
      </c>
      <c r="P42" s="76">
        <v>500</v>
      </c>
      <c r="Q42" s="485">
        <f>Fuente!AT46</f>
        <v>0</v>
      </c>
      <c r="R42" s="485">
        <f>Fuente!AU46</f>
        <v>0</v>
      </c>
      <c r="S42" s="485">
        <f>Fuente!AV46</f>
        <v>0</v>
      </c>
      <c r="T42" s="485">
        <f>Fuente!AW46</f>
        <v>0</v>
      </c>
      <c r="U42" s="467">
        <f>Fuente!AM46</f>
        <v>0</v>
      </c>
      <c r="V42" s="485" t="str">
        <f>Fuente!AY46</f>
        <v>NP</v>
      </c>
      <c r="W42" s="485">
        <f>Fuente!AZ46</f>
        <v>0</v>
      </c>
      <c r="X42" s="485">
        <f>Fuente!BA46</f>
        <v>0</v>
      </c>
      <c r="Y42" s="485">
        <f>Fuente!BB46</f>
        <v>0</v>
      </c>
      <c r="Z42" s="485">
        <f>Fuente!BC46</f>
        <v>0</v>
      </c>
      <c r="AA42" s="467" t="str">
        <f>Fuente!BD46</f>
        <v>NP</v>
      </c>
      <c r="AB42" s="477" t="s">
        <v>49</v>
      </c>
      <c r="AC42" s="477"/>
      <c r="AD42" s="477" t="s">
        <v>108</v>
      </c>
      <c r="AE42" s="477">
        <v>22</v>
      </c>
      <c r="AF42" s="482"/>
      <c r="AG42" s="480" t="str">
        <f>Fuente!AB46</f>
        <v>SECRETARÍA DE EDUCACIÓN</v>
      </c>
      <c r="AH42" s="90"/>
      <c r="AI42" s="90"/>
      <c r="AJ42" s="91"/>
    </row>
    <row r="43" spans="1:36" ht="47.25" x14ac:dyDescent="0.2">
      <c r="A43" s="76">
        <v>1</v>
      </c>
      <c r="B43" s="350" t="s">
        <v>1746</v>
      </c>
      <c r="C43" s="351" t="s">
        <v>98</v>
      </c>
      <c r="D43" s="350" t="s">
        <v>99</v>
      </c>
      <c r="E43" s="351" t="s">
        <v>100</v>
      </c>
      <c r="F43" s="350" t="s">
        <v>101</v>
      </c>
      <c r="G43" s="351" t="s">
        <v>122</v>
      </c>
      <c r="H43" s="351" t="s">
        <v>186</v>
      </c>
      <c r="I43" s="350" t="s">
        <v>124</v>
      </c>
      <c r="J43" s="351">
        <v>4.5999999999999996</v>
      </c>
      <c r="K43" s="351">
        <v>5</v>
      </c>
      <c r="L43" s="351" t="s">
        <v>187</v>
      </c>
      <c r="M43" s="350" t="s">
        <v>188</v>
      </c>
      <c r="N43" s="350" t="s">
        <v>189</v>
      </c>
      <c r="O43" s="76">
        <v>2000</v>
      </c>
      <c r="P43" s="76">
        <v>2000</v>
      </c>
      <c r="Q43" s="485">
        <f>Fuente!AT47</f>
        <v>0</v>
      </c>
      <c r="R43" s="485">
        <f>Fuente!AU47</f>
        <v>0</v>
      </c>
      <c r="S43" s="485">
        <f>Fuente!AV47</f>
        <v>0</v>
      </c>
      <c r="T43" s="485">
        <f>Fuente!AW47</f>
        <v>0</v>
      </c>
      <c r="U43" s="467">
        <f>Fuente!AM47</f>
        <v>0</v>
      </c>
      <c r="V43" s="485">
        <f>Fuente!AY47</f>
        <v>2000</v>
      </c>
      <c r="W43" s="485">
        <f>Fuente!AZ47</f>
        <v>0</v>
      </c>
      <c r="X43" s="485">
        <f>Fuente!BA47</f>
        <v>0</v>
      </c>
      <c r="Y43" s="485">
        <f>Fuente!BB47</f>
        <v>0</v>
      </c>
      <c r="Z43" s="485">
        <f>Fuente!BC47</f>
        <v>0</v>
      </c>
      <c r="AA43" s="467">
        <f>Fuente!BD47</f>
        <v>0</v>
      </c>
      <c r="AB43" s="477" t="s">
        <v>78</v>
      </c>
      <c r="AC43" s="477"/>
      <c r="AD43" s="477" t="s">
        <v>108</v>
      </c>
      <c r="AE43" s="477">
        <v>22</v>
      </c>
      <c r="AF43" s="482"/>
      <c r="AG43" s="480" t="str">
        <f>Fuente!AB47</f>
        <v>SECRETARÍA DE EDUCACIÓN</v>
      </c>
      <c r="AH43" s="90"/>
      <c r="AI43" s="90"/>
      <c r="AJ43" s="91"/>
    </row>
    <row r="44" spans="1:36" ht="204.75" x14ac:dyDescent="0.2">
      <c r="A44" s="76">
        <v>1</v>
      </c>
      <c r="B44" s="350" t="s">
        <v>1746</v>
      </c>
      <c r="C44" s="351" t="s">
        <v>98</v>
      </c>
      <c r="D44" s="350" t="s">
        <v>99</v>
      </c>
      <c r="E44" s="351" t="s">
        <v>100</v>
      </c>
      <c r="F44" s="350" t="s">
        <v>101</v>
      </c>
      <c r="G44" s="351" t="s">
        <v>109</v>
      </c>
      <c r="H44" s="351" t="s">
        <v>190</v>
      </c>
      <c r="I44" s="350" t="s">
        <v>111</v>
      </c>
      <c r="J44" s="76">
        <v>4.83</v>
      </c>
      <c r="K44" s="76">
        <v>4.8499999999999996</v>
      </c>
      <c r="L44" s="351" t="s">
        <v>191</v>
      </c>
      <c r="M44" s="350" t="s">
        <v>192</v>
      </c>
      <c r="N44" s="350" t="s">
        <v>193</v>
      </c>
      <c r="O44" s="76">
        <v>10</v>
      </c>
      <c r="P44" s="76">
        <v>10</v>
      </c>
      <c r="Q44" s="485">
        <f>Fuente!AT48</f>
        <v>2</v>
      </c>
      <c r="R44" s="485">
        <f>Fuente!AU48</f>
        <v>0</v>
      </c>
      <c r="S44" s="485">
        <f>Fuente!AV48</f>
        <v>0</v>
      </c>
      <c r="T44" s="485">
        <f>Fuente!AW48</f>
        <v>0</v>
      </c>
      <c r="U44" s="467">
        <f>Fuente!AM48</f>
        <v>0</v>
      </c>
      <c r="V44" s="485">
        <f>Fuente!AY48</f>
        <v>4</v>
      </c>
      <c r="W44" s="485">
        <f>Fuente!AZ48</f>
        <v>2</v>
      </c>
      <c r="X44" s="485">
        <f>Fuente!BA48</f>
        <v>0</v>
      </c>
      <c r="Y44" s="485">
        <f>Fuente!BB48</f>
        <v>0</v>
      </c>
      <c r="Z44" s="485">
        <f>Fuente!BC48</f>
        <v>0</v>
      </c>
      <c r="AA44" s="467">
        <f>Fuente!BD48</f>
        <v>0.5</v>
      </c>
      <c r="AB44" s="477" t="s">
        <v>49</v>
      </c>
      <c r="AC44" s="477"/>
      <c r="AD44" s="477" t="s">
        <v>108</v>
      </c>
      <c r="AE44" s="477">
        <v>22</v>
      </c>
      <c r="AF44" s="482"/>
      <c r="AG44" s="480" t="str">
        <f>Fuente!AB48</f>
        <v>SECRETARÍA DE EDUCACIÓN</v>
      </c>
      <c r="AH44" s="90"/>
      <c r="AI44" s="90"/>
      <c r="AJ44" s="91"/>
    </row>
    <row r="45" spans="1:36" ht="94.5" x14ac:dyDescent="0.2">
      <c r="A45" s="76">
        <v>1</v>
      </c>
      <c r="B45" s="350" t="s">
        <v>1746</v>
      </c>
      <c r="C45" s="351" t="s">
        <v>98</v>
      </c>
      <c r="D45" s="350" t="s">
        <v>99</v>
      </c>
      <c r="E45" s="351" t="s">
        <v>194</v>
      </c>
      <c r="F45" s="350" t="s">
        <v>195</v>
      </c>
      <c r="G45" s="351" t="s">
        <v>196</v>
      </c>
      <c r="H45" s="351" t="s">
        <v>197</v>
      </c>
      <c r="I45" s="353" t="s">
        <v>198</v>
      </c>
      <c r="J45" s="76" t="s">
        <v>199</v>
      </c>
      <c r="K45" s="76">
        <v>90</v>
      </c>
      <c r="L45" s="351" t="s">
        <v>200</v>
      </c>
      <c r="M45" s="350" t="s">
        <v>201</v>
      </c>
      <c r="N45" s="350" t="s">
        <v>202</v>
      </c>
      <c r="O45" s="493">
        <v>211987</v>
      </c>
      <c r="P45" s="493">
        <v>219505</v>
      </c>
      <c r="Q45" s="485">
        <f>Fuente!AT49</f>
        <v>216762</v>
      </c>
      <c r="R45" s="485">
        <f>Fuente!AU49</f>
        <v>0</v>
      </c>
      <c r="S45" s="485">
        <f>Fuente!AV49</f>
        <v>0</v>
      </c>
      <c r="T45" s="485">
        <f>Fuente!AW49</f>
        <v>0</v>
      </c>
      <c r="U45" s="467">
        <f>Fuente!AM49</f>
        <v>0.97292544588961527</v>
      </c>
      <c r="V45" s="485">
        <f>Fuente!AY49</f>
        <v>1880</v>
      </c>
      <c r="W45" s="485">
        <f>Fuente!AZ49</f>
        <v>3200</v>
      </c>
      <c r="X45" s="485">
        <f>Fuente!BA49</f>
        <v>0</v>
      </c>
      <c r="Y45" s="485">
        <f>Fuente!BB49</f>
        <v>0</v>
      </c>
      <c r="Z45" s="485">
        <f>Fuente!BC49</f>
        <v>0</v>
      </c>
      <c r="AA45" s="467">
        <f>Fuente!BD49</f>
        <v>1</v>
      </c>
      <c r="AB45" s="477" t="s">
        <v>203</v>
      </c>
      <c r="AC45" s="477"/>
      <c r="AD45" s="477" t="s">
        <v>204</v>
      </c>
      <c r="AE45" s="477">
        <v>22</v>
      </c>
      <c r="AF45" s="489"/>
      <c r="AG45" s="480" t="str">
        <f>Fuente!AB49</f>
        <v>SECRETARÍA DE EDUCACIÓN</v>
      </c>
      <c r="AH45" s="90"/>
      <c r="AI45" s="90"/>
      <c r="AJ45" s="91"/>
    </row>
    <row r="46" spans="1:36" ht="94.5" x14ac:dyDescent="0.2">
      <c r="A46" s="76">
        <v>1</v>
      </c>
      <c r="B46" s="350" t="s">
        <v>1746</v>
      </c>
      <c r="C46" s="351" t="s">
        <v>98</v>
      </c>
      <c r="D46" s="350" t="s">
        <v>99</v>
      </c>
      <c r="E46" s="351" t="s">
        <v>194</v>
      </c>
      <c r="F46" s="350" t="s">
        <v>195</v>
      </c>
      <c r="G46" s="351" t="s">
        <v>196</v>
      </c>
      <c r="H46" s="351" t="s">
        <v>205</v>
      </c>
      <c r="I46" s="353" t="s">
        <v>198</v>
      </c>
      <c r="J46" s="76" t="s">
        <v>199</v>
      </c>
      <c r="K46" s="76">
        <v>90</v>
      </c>
      <c r="L46" s="351" t="s">
        <v>206</v>
      </c>
      <c r="M46" s="350" t="s">
        <v>207</v>
      </c>
      <c r="N46" s="350" t="s">
        <v>208</v>
      </c>
      <c r="O46" s="76">
        <v>9491</v>
      </c>
      <c r="P46" s="493">
        <v>2500</v>
      </c>
      <c r="Q46" s="485">
        <f>Fuente!AT50</f>
        <v>5208</v>
      </c>
      <c r="R46" s="485">
        <f>Fuente!AU50</f>
        <v>0</v>
      </c>
      <c r="S46" s="485">
        <f>Fuente!AV50</f>
        <v>0</v>
      </c>
      <c r="T46" s="485">
        <f>Fuente!AW50</f>
        <v>0</v>
      </c>
      <c r="U46" s="467">
        <f>Fuente!AM50</f>
        <v>0.34360000000000002</v>
      </c>
      <c r="V46" s="485">
        <f>Fuente!AY50</f>
        <v>625</v>
      </c>
      <c r="W46" s="485">
        <f>Fuente!AZ50</f>
        <v>4349</v>
      </c>
      <c r="X46" s="485">
        <f>Fuente!BA50</f>
        <v>0</v>
      </c>
      <c r="Y46" s="485">
        <f>Fuente!BB50</f>
        <v>0</v>
      </c>
      <c r="Z46" s="485">
        <f>Fuente!BC50</f>
        <v>0</v>
      </c>
      <c r="AA46" s="467">
        <f>Fuente!BD50</f>
        <v>1</v>
      </c>
      <c r="AB46" s="477" t="s">
        <v>203</v>
      </c>
      <c r="AC46" s="477"/>
      <c r="AD46" s="477" t="s">
        <v>204</v>
      </c>
      <c r="AE46" s="477">
        <v>22</v>
      </c>
      <c r="AF46" s="482"/>
      <c r="AG46" s="480" t="str">
        <f>Fuente!AB50</f>
        <v>SECRETARÍA DE EDUCACIÓN</v>
      </c>
      <c r="AH46" s="90"/>
      <c r="AI46" s="90"/>
      <c r="AJ46" s="91"/>
    </row>
    <row r="47" spans="1:36" ht="78.75" x14ac:dyDescent="0.2">
      <c r="A47" s="76">
        <v>1</v>
      </c>
      <c r="B47" s="350" t="s">
        <v>1746</v>
      </c>
      <c r="C47" s="351" t="s">
        <v>98</v>
      </c>
      <c r="D47" s="350" t="s">
        <v>99</v>
      </c>
      <c r="E47" s="351" t="s">
        <v>194</v>
      </c>
      <c r="F47" s="350" t="s">
        <v>195</v>
      </c>
      <c r="G47" s="351" t="s">
        <v>209</v>
      </c>
      <c r="H47" s="351" t="s">
        <v>210</v>
      </c>
      <c r="I47" s="353" t="s">
        <v>211</v>
      </c>
      <c r="J47" s="76" t="s">
        <v>212</v>
      </c>
      <c r="K47" s="76" t="s">
        <v>213</v>
      </c>
      <c r="L47" s="351" t="s">
        <v>214</v>
      </c>
      <c r="M47" s="350" t="s">
        <v>215</v>
      </c>
      <c r="N47" s="350" t="s">
        <v>216</v>
      </c>
      <c r="O47" s="493">
        <v>1000</v>
      </c>
      <c r="P47" s="76">
        <v>7000</v>
      </c>
      <c r="Q47" s="485">
        <f>Fuente!AT51</f>
        <v>166.25</v>
      </c>
      <c r="R47" s="485">
        <f>Fuente!AU51</f>
        <v>0</v>
      </c>
      <c r="S47" s="485">
        <f>Fuente!AV51</f>
        <v>0</v>
      </c>
      <c r="T47" s="485">
        <f>Fuente!AW51</f>
        <v>0</v>
      </c>
      <c r="U47" s="467">
        <f>Fuente!AM51</f>
        <v>0</v>
      </c>
      <c r="V47" s="485">
        <f>Fuente!AY51</f>
        <v>2000</v>
      </c>
      <c r="W47" s="485">
        <f>Fuente!AZ51</f>
        <v>665</v>
      </c>
      <c r="X47" s="485">
        <f>Fuente!BA51</f>
        <v>0</v>
      </c>
      <c r="Y47" s="485">
        <f>Fuente!BB51</f>
        <v>0</v>
      </c>
      <c r="Z47" s="485">
        <f>Fuente!BC51</f>
        <v>0</v>
      </c>
      <c r="AA47" s="467">
        <f>Fuente!BD51</f>
        <v>0.33250000000000002</v>
      </c>
      <c r="AB47" s="477" t="s">
        <v>78</v>
      </c>
      <c r="AC47" s="477"/>
      <c r="AD47" s="477" t="s">
        <v>204</v>
      </c>
      <c r="AE47" s="477">
        <v>22</v>
      </c>
      <c r="AF47" s="482"/>
      <c r="AG47" s="480" t="str">
        <f>Fuente!AB51</f>
        <v>SECRETARÍA DE EDUCACIÓN</v>
      </c>
      <c r="AH47" s="90"/>
      <c r="AI47" s="90"/>
      <c r="AJ47" s="91"/>
    </row>
    <row r="48" spans="1:36" ht="78.75" x14ac:dyDescent="0.2">
      <c r="A48" s="76">
        <v>1</v>
      </c>
      <c r="B48" s="350" t="s">
        <v>1746</v>
      </c>
      <c r="C48" s="351" t="s">
        <v>98</v>
      </c>
      <c r="D48" s="350" t="s">
        <v>99</v>
      </c>
      <c r="E48" s="351" t="s">
        <v>194</v>
      </c>
      <c r="F48" s="350" t="s">
        <v>195</v>
      </c>
      <c r="G48" s="351" t="s">
        <v>217</v>
      </c>
      <c r="H48" s="351" t="s">
        <v>218</v>
      </c>
      <c r="I48" s="353" t="s">
        <v>219</v>
      </c>
      <c r="J48" s="76" t="s">
        <v>220</v>
      </c>
      <c r="K48" s="76" t="s">
        <v>221</v>
      </c>
      <c r="L48" s="351" t="s">
        <v>222</v>
      </c>
      <c r="M48" s="350" t="s">
        <v>223</v>
      </c>
      <c r="N48" s="350" t="s">
        <v>224</v>
      </c>
      <c r="O48" s="493">
        <v>104885</v>
      </c>
      <c r="P48" s="493">
        <v>480000</v>
      </c>
      <c r="Q48" s="485">
        <f>Fuente!AT52</f>
        <v>56662</v>
      </c>
      <c r="R48" s="485">
        <f>Fuente!AU52</f>
        <v>0</v>
      </c>
      <c r="S48" s="485">
        <f>Fuente!AV52</f>
        <v>0</v>
      </c>
      <c r="T48" s="485">
        <f>Fuente!AW52</f>
        <v>0</v>
      </c>
      <c r="U48" s="467">
        <f>Fuente!AM52</f>
        <v>0.23609166666666667</v>
      </c>
      <c r="V48" s="485">
        <f>Fuente!AY52</f>
        <v>120000</v>
      </c>
      <c r="W48" s="485">
        <f>Fuente!AZ52</f>
        <v>113324</v>
      </c>
      <c r="X48" s="485">
        <f>Fuente!BA52</f>
        <v>0</v>
      </c>
      <c r="Y48" s="485">
        <f>Fuente!BB52</f>
        <v>0</v>
      </c>
      <c r="Z48" s="485">
        <f>Fuente!BC52</f>
        <v>0</v>
      </c>
      <c r="AA48" s="467">
        <f>Fuente!BD52</f>
        <v>0.94436666666666669</v>
      </c>
      <c r="AB48" s="477" t="s">
        <v>78</v>
      </c>
      <c r="AC48" s="477"/>
      <c r="AD48" s="477" t="s">
        <v>204</v>
      </c>
      <c r="AE48" s="477">
        <v>22</v>
      </c>
      <c r="AF48" s="482"/>
      <c r="AG48" s="480" t="str">
        <f>Fuente!AB52</f>
        <v>SECRETARÍA DE EDUCACIÓN</v>
      </c>
      <c r="AH48" s="90"/>
      <c r="AI48" s="90"/>
      <c r="AJ48" s="91"/>
    </row>
    <row r="49" spans="1:36" ht="78.75" x14ac:dyDescent="0.2">
      <c r="A49" s="76">
        <v>1</v>
      </c>
      <c r="B49" s="350" t="s">
        <v>1746</v>
      </c>
      <c r="C49" s="351" t="s">
        <v>98</v>
      </c>
      <c r="D49" s="350" t="s">
        <v>99</v>
      </c>
      <c r="E49" s="351" t="s">
        <v>194</v>
      </c>
      <c r="F49" s="350" t="s">
        <v>195</v>
      </c>
      <c r="G49" s="351" t="s">
        <v>217</v>
      </c>
      <c r="H49" s="351" t="s">
        <v>225</v>
      </c>
      <c r="I49" s="353" t="s">
        <v>219</v>
      </c>
      <c r="J49" s="76" t="s">
        <v>220</v>
      </c>
      <c r="K49" s="76" t="s">
        <v>221</v>
      </c>
      <c r="L49" s="351" t="s">
        <v>226</v>
      </c>
      <c r="M49" s="350" t="s">
        <v>227</v>
      </c>
      <c r="N49" s="350" t="s">
        <v>228</v>
      </c>
      <c r="O49" s="76">
        <v>0</v>
      </c>
      <c r="P49" s="76">
        <v>1</v>
      </c>
      <c r="Q49" s="485">
        <f>Fuente!AT53</f>
        <v>0</v>
      </c>
      <c r="R49" s="485">
        <f>Fuente!AU53</f>
        <v>0</v>
      </c>
      <c r="S49" s="485">
        <f>Fuente!AV53</f>
        <v>0</v>
      </c>
      <c r="T49" s="485">
        <f>Fuente!AW53</f>
        <v>0</v>
      </c>
      <c r="U49" s="467">
        <f>Fuente!AM53</f>
        <v>0</v>
      </c>
      <c r="V49" s="485">
        <f>Fuente!AY53</f>
        <v>1</v>
      </c>
      <c r="W49" s="485">
        <f>Fuente!AZ53</f>
        <v>0</v>
      </c>
      <c r="X49" s="485">
        <f>Fuente!BA53</f>
        <v>0</v>
      </c>
      <c r="Y49" s="485">
        <f>Fuente!BB53</f>
        <v>0</v>
      </c>
      <c r="Z49" s="485">
        <f>Fuente!BC53</f>
        <v>0</v>
      </c>
      <c r="AA49" s="467">
        <f>Fuente!BD53</f>
        <v>0</v>
      </c>
      <c r="AB49" s="477" t="s">
        <v>203</v>
      </c>
      <c r="AC49" s="477"/>
      <c r="AD49" s="477" t="s">
        <v>204</v>
      </c>
      <c r="AE49" s="477">
        <v>22</v>
      </c>
      <c r="AF49" s="482"/>
      <c r="AG49" s="480" t="str">
        <f>Fuente!AB53</f>
        <v>SECRETARÍA DE EDUCACIÓN</v>
      </c>
      <c r="AH49" s="90"/>
      <c r="AI49" s="90"/>
      <c r="AJ49" s="91"/>
    </row>
    <row r="50" spans="1:36" ht="78.75" x14ac:dyDescent="0.2">
      <c r="A50" s="76">
        <v>1</v>
      </c>
      <c r="B50" s="350" t="s">
        <v>1746</v>
      </c>
      <c r="C50" s="351" t="s">
        <v>98</v>
      </c>
      <c r="D50" s="350" t="s">
        <v>99</v>
      </c>
      <c r="E50" s="351" t="s">
        <v>194</v>
      </c>
      <c r="F50" s="350" t="s">
        <v>195</v>
      </c>
      <c r="G50" s="351" t="s">
        <v>217</v>
      </c>
      <c r="H50" s="351" t="s">
        <v>225</v>
      </c>
      <c r="I50" s="353" t="s">
        <v>219</v>
      </c>
      <c r="J50" s="76" t="s">
        <v>220</v>
      </c>
      <c r="K50" s="76" t="s">
        <v>221</v>
      </c>
      <c r="L50" s="351" t="s">
        <v>229</v>
      </c>
      <c r="M50" s="350" t="s">
        <v>230</v>
      </c>
      <c r="N50" s="350" t="s">
        <v>231</v>
      </c>
      <c r="O50" s="76">
        <v>1</v>
      </c>
      <c r="P50" s="76">
        <v>4</v>
      </c>
      <c r="Q50" s="485">
        <f>Fuente!AT54</f>
        <v>0</v>
      </c>
      <c r="R50" s="485">
        <f>Fuente!AU54</f>
        <v>0</v>
      </c>
      <c r="S50" s="485">
        <f>Fuente!AV54</f>
        <v>0</v>
      </c>
      <c r="T50" s="485">
        <f>Fuente!AW54</f>
        <v>0</v>
      </c>
      <c r="U50" s="467">
        <f>Fuente!AM54</f>
        <v>0</v>
      </c>
      <c r="V50" s="485">
        <f>Fuente!AY54</f>
        <v>1</v>
      </c>
      <c r="W50" s="485">
        <f>Fuente!AZ54</f>
        <v>0</v>
      </c>
      <c r="X50" s="485">
        <f>Fuente!BA54</f>
        <v>0</v>
      </c>
      <c r="Y50" s="485">
        <f>Fuente!BB54</f>
        <v>0</v>
      </c>
      <c r="Z50" s="485">
        <f>Fuente!BC54</f>
        <v>0</v>
      </c>
      <c r="AA50" s="467">
        <f>Fuente!BD54</f>
        <v>0</v>
      </c>
      <c r="AB50" s="477" t="s">
        <v>78</v>
      </c>
      <c r="AC50" s="477"/>
      <c r="AD50" s="477" t="s">
        <v>204</v>
      </c>
      <c r="AE50" s="477">
        <v>22</v>
      </c>
      <c r="AF50" s="482"/>
      <c r="AG50" s="480" t="str">
        <f>Fuente!AB54</f>
        <v>SECRETARÍA DE EDUCACIÓN</v>
      </c>
      <c r="AH50" s="90"/>
      <c r="AI50" s="90"/>
      <c r="AJ50" s="91"/>
    </row>
    <row r="51" spans="1:36" ht="78.75" x14ac:dyDescent="0.2">
      <c r="A51" s="76">
        <v>1</v>
      </c>
      <c r="B51" s="350" t="s">
        <v>1746</v>
      </c>
      <c r="C51" s="351" t="s">
        <v>98</v>
      </c>
      <c r="D51" s="350" t="s">
        <v>99</v>
      </c>
      <c r="E51" s="351" t="s">
        <v>194</v>
      </c>
      <c r="F51" s="350" t="s">
        <v>195</v>
      </c>
      <c r="G51" s="351" t="s">
        <v>217</v>
      </c>
      <c r="H51" s="351" t="s">
        <v>225</v>
      </c>
      <c r="I51" s="353" t="s">
        <v>219</v>
      </c>
      <c r="J51" s="76" t="s">
        <v>220</v>
      </c>
      <c r="K51" s="76" t="s">
        <v>221</v>
      </c>
      <c r="L51" s="351" t="s">
        <v>232</v>
      </c>
      <c r="M51" s="350" t="s">
        <v>233</v>
      </c>
      <c r="N51" s="350" t="s">
        <v>234</v>
      </c>
      <c r="O51" s="493">
        <v>211987</v>
      </c>
      <c r="P51" s="493">
        <v>219505</v>
      </c>
      <c r="Q51" s="485">
        <f>Fuente!AT55</f>
        <v>213562</v>
      </c>
      <c r="R51" s="485">
        <f>Fuente!AU55</f>
        <v>0</v>
      </c>
      <c r="S51" s="485">
        <f>Fuente!AV55</f>
        <v>0</v>
      </c>
      <c r="T51" s="485">
        <f>Fuente!AW55</f>
        <v>0</v>
      </c>
      <c r="U51" s="467">
        <f>Fuente!AM55</f>
        <v>0.97292544588961527</v>
      </c>
      <c r="V51" s="485">
        <f>Fuente!AY55</f>
        <v>219505</v>
      </c>
      <c r="W51" s="485">
        <f>Fuente!AZ55</f>
        <v>0</v>
      </c>
      <c r="X51" s="485">
        <f>Fuente!BA55</f>
        <v>0</v>
      </c>
      <c r="Y51" s="485">
        <f>Fuente!BB55</f>
        <v>0</v>
      </c>
      <c r="Z51" s="485">
        <f>Fuente!BC55</f>
        <v>0</v>
      </c>
      <c r="AA51" s="467">
        <f>Fuente!BD55</f>
        <v>0</v>
      </c>
      <c r="AB51" s="477" t="s">
        <v>203</v>
      </c>
      <c r="AC51" s="477"/>
      <c r="AD51" s="477" t="s">
        <v>204</v>
      </c>
      <c r="AE51" s="477">
        <v>22</v>
      </c>
      <c r="AF51" s="482"/>
      <c r="AG51" s="480" t="str">
        <f>Fuente!AB55</f>
        <v>SECRETARÍA DE EDUCACIÓN</v>
      </c>
      <c r="AH51" s="90"/>
      <c r="AI51" s="90"/>
      <c r="AJ51" s="91"/>
    </row>
    <row r="52" spans="1:36" ht="78.75" x14ac:dyDescent="0.2">
      <c r="A52" s="76">
        <v>1</v>
      </c>
      <c r="B52" s="350" t="s">
        <v>1746</v>
      </c>
      <c r="C52" s="351" t="s">
        <v>98</v>
      </c>
      <c r="D52" s="350" t="s">
        <v>99</v>
      </c>
      <c r="E52" s="351" t="s">
        <v>194</v>
      </c>
      <c r="F52" s="350" t="s">
        <v>195</v>
      </c>
      <c r="G52" s="351" t="s">
        <v>217</v>
      </c>
      <c r="H52" s="351" t="s">
        <v>225</v>
      </c>
      <c r="I52" s="353" t="s">
        <v>219</v>
      </c>
      <c r="J52" s="76" t="s">
        <v>220</v>
      </c>
      <c r="K52" s="76" t="s">
        <v>221</v>
      </c>
      <c r="L52" s="351" t="s">
        <v>235</v>
      </c>
      <c r="M52" s="350" t="s">
        <v>236</v>
      </c>
      <c r="N52" s="350" t="s">
        <v>237</v>
      </c>
      <c r="O52" s="493">
        <v>1880</v>
      </c>
      <c r="P52" s="493">
        <v>12120</v>
      </c>
      <c r="Q52" s="485">
        <f>Fuente!AT56</f>
        <v>0</v>
      </c>
      <c r="R52" s="485">
        <f>Fuente!AU56</f>
        <v>0</v>
      </c>
      <c r="S52" s="485">
        <f>Fuente!AV56</f>
        <v>0</v>
      </c>
      <c r="T52" s="485">
        <f>Fuente!AW56</f>
        <v>0</v>
      </c>
      <c r="U52" s="467">
        <f>Fuente!AM56</f>
        <v>0</v>
      </c>
      <c r="V52" s="485">
        <f>Fuente!AY56</f>
        <v>4040</v>
      </c>
      <c r="W52" s="485">
        <f>Fuente!AZ56</f>
        <v>0</v>
      </c>
      <c r="X52" s="485">
        <f>Fuente!BA56</f>
        <v>0</v>
      </c>
      <c r="Y52" s="485">
        <f>Fuente!BB56</f>
        <v>0</v>
      </c>
      <c r="Z52" s="485">
        <f>Fuente!BC56</f>
        <v>0</v>
      </c>
      <c r="AA52" s="467">
        <f>Fuente!BD56</f>
        <v>0</v>
      </c>
      <c r="AB52" s="477" t="s">
        <v>203</v>
      </c>
      <c r="AC52" s="477"/>
      <c r="AD52" s="477" t="s">
        <v>204</v>
      </c>
      <c r="AE52" s="477">
        <v>22</v>
      </c>
      <c r="AF52" s="482"/>
      <c r="AG52" s="480" t="str">
        <f>Fuente!AB56</f>
        <v>SECRETARÍA DE EDUCACIÓN</v>
      </c>
      <c r="AH52" s="90"/>
      <c r="AI52" s="90"/>
      <c r="AJ52" s="91"/>
    </row>
    <row r="53" spans="1:36" ht="189" x14ac:dyDescent="0.2">
      <c r="A53" s="76">
        <v>1</v>
      </c>
      <c r="B53" s="350" t="s">
        <v>1746</v>
      </c>
      <c r="C53" s="351" t="s">
        <v>98</v>
      </c>
      <c r="D53" s="350" t="s">
        <v>99</v>
      </c>
      <c r="E53" s="351" t="s">
        <v>238</v>
      </c>
      <c r="F53" s="350" t="s">
        <v>239</v>
      </c>
      <c r="G53" s="351" t="s">
        <v>240</v>
      </c>
      <c r="H53" s="352" t="s">
        <v>241</v>
      </c>
      <c r="I53" s="350" t="s">
        <v>242</v>
      </c>
      <c r="J53" s="76">
        <v>50</v>
      </c>
      <c r="K53" s="76">
        <v>100</v>
      </c>
      <c r="L53" s="351" t="s">
        <v>243</v>
      </c>
      <c r="M53" s="350" t="s">
        <v>244</v>
      </c>
      <c r="N53" s="350" t="s">
        <v>245</v>
      </c>
      <c r="O53" s="76">
        <v>226</v>
      </c>
      <c r="P53" s="76">
        <v>226</v>
      </c>
      <c r="Q53" s="485">
        <f>Fuente!AT57</f>
        <v>56.5</v>
      </c>
      <c r="R53" s="485">
        <f>Fuente!AU57</f>
        <v>0</v>
      </c>
      <c r="S53" s="485">
        <f>Fuente!AV57</f>
        <v>0</v>
      </c>
      <c r="T53" s="485">
        <f>Fuente!AW57</f>
        <v>0</v>
      </c>
      <c r="U53" s="467">
        <f>Fuente!AM57</f>
        <v>1</v>
      </c>
      <c r="V53" s="485">
        <f>Fuente!AY57</f>
        <v>226</v>
      </c>
      <c r="W53" s="485">
        <f>Fuente!AZ57</f>
        <v>0</v>
      </c>
      <c r="X53" s="485">
        <f>Fuente!BA57</f>
        <v>0</v>
      </c>
      <c r="Y53" s="485">
        <f>Fuente!BB57</f>
        <v>0</v>
      </c>
      <c r="Z53" s="485">
        <f>Fuente!BC57</f>
        <v>0</v>
      </c>
      <c r="AA53" s="467">
        <f>Fuente!BD57</f>
        <v>0</v>
      </c>
      <c r="AB53" s="477" t="s">
        <v>78</v>
      </c>
      <c r="AC53" s="477"/>
      <c r="AD53" s="477" t="s">
        <v>246</v>
      </c>
      <c r="AE53" s="477">
        <v>22</v>
      </c>
      <c r="AF53" s="482"/>
      <c r="AG53" s="480" t="str">
        <f>Fuente!AB57</f>
        <v>SECRETARÍA DE EDUCACIÓN</v>
      </c>
      <c r="AH53" s="90"/>
      <c r="AI53" s="90"/>
      <c r="AJ53" s="91"/>
    </row>
    <row r="54" spans="1:36" ht="189" x14ac:dyDescent="0.2">
      <c r="A54" s="76">
        <v>1</v>
      </c>
      <c r="B54" s="350" t="s">
        <v>1746</v>
      </c>
      <c r="C54" s="351" t="s">
        <v>98</v>
      </c>
      <c r="D54" s="350" t="s">
        <v>99</v>
      </c>
      <c r="E54" s="351" t="s">
        <v>238</v>
      </c>
      <c r="F54" s="350" t="s">
        <v>239</v>
      </c>
      <c r="G54" s="351" t="s">
        <v>240</v>
      </c>
      <c r="H54" s="352" t="s">
        <v>241</v>
      </c>
      <c r="I54" s="350" t="s">
        <v>242</v>
      </c>
      <c r="J54" s="351">
        <v>50</v>
      </c>
      <c r="K54" s="76">
        <v>100</v>
      </c>
      <c r="L54" s="351" t="s">
        <v>247</v>
      </c>
      <c r="M54" s="350" t="s">
        <v>248</v>
      </c>
      <c r="N54" s="350" t="s">
        <v>249</v>
      </c>
      <c r="O54" s="76">
        <v>1180</v>
      </c>
      <c r="P54" s="76">
        <v>1200</v>
      </c>
      <c r="Q54" s="485">
        <f>Fuente!AT58</f>
        <v>600</v>
      </c>
      <c r="R54" s="485">
        <f>Fuente!AU58</f>
        <v>0</v>
      </c>
      <c r="S54" s="485">
        <f>Fuente!AV58</f>
        <v>0</v>
      </c>
      <c r="T54" s="485">
        <f>Fuente!AW58</f>
        <v>0</v>
      </c>
      <c r="U54" s="467">
        <f>Fuente!AM58</f>
        <v>0.25</v>
      </c>
      <c r="V54" s="485">
        <f>Fuente!AY58</f>
        <v>300</v>
      </c>
      <c r="W54" s="485">
        <f>Fuente!AZ58</f>
        <v>300</v>
      </c>
      <c r="X54" s="485">
        <f>Fuente!BA58</f>
        <v>0</v>
      </c>
      <c r="Y54" s="485">
        <f>Fuente!BB58</f>
        <v>0</v>
      </c>
      <c r="Z54" s="485">
        <f>Fuente!BC58</f>
        <v>0</v>
      </c>
      <c r="AA54" s="467">
        <f>Fuente!BD58</f>
        <v>1</v>
      </c>
      <c r="AB54" s="477" t="s">
        <v>49</v>
      </c>
      <c r="AC54" s="477"/>
      <c r="AD54" s="477" t="s">
        <v>250</v>
      </c>
      <c r="AE54" s="477">
        <v>22</v>
      </c>
      <c r="AF54" s="482"/>
      <c r="AG54" s="480" t="str">
        <f>Fuente!AB58</f>
        <v>SECRETARÍA DE EDUCACIÓN</v>
      </c>
      <c r="AH54" s="90"/>
      <c r="AI54" s="90"/>
      <c r="AJ54" s="91"/>
    </row>
    <row r="55" spans="1:36" ht="189" x14ac:dyDescent="0.2">
      <c r="A55" s="76">
        <v>1</v>
      </c>
      <c r="B55" s="350" t="s">
        <v>1746</v>
      </c>
      <c r="C55" s="351" t="s">
        <v>98</v>
      </c>
      <c r="D55" s="350" t="s">
        <v>99</v>
      </c>
      <c r="E55" s="351" t="s">
        <v>238</v>
      </c>
      <c r="F55" s="350" t="s">
        <v>239</v>
      </c>
      <c r="G55" s="351" t="s">
        <v>240</v>
      </c>
      <c r="H55" s="352" t="s">
        <v>241</v>
      </c>
      <c r="I55" s="350" t="s">
        <v>242</v>
      </c>
      <c r="J55" s="351">
        <v>50</v>
      </c>
      <c r="K55" s="76">
        <v>100</v>
      </c>
      <c r="L55" s="351" t="s">
        <v>251</v>
      </c>
      <c r="M55" s="350" t="s">
        <v>252</v>
      </c>
      <c r="N55" s="350" t="s">
        <v>1915</v>
      </c>
      <c r="O55" s="76">
        <v>10</v>
      </c>
      <c r="P55" s="76">
        <v>15</v>
      </c>
      <c r="Q55" s="485">
        <f>Fuente!AT59</f>
        <v>15</v>
      </c>
      <c r="R55" s="485">
        <f>Fuente!AU59</f>
        <v>0</v>
      </c>
      <c r="S55" s="485">
        <f>Fuente!AV59</f>
        <v>0</v>
      </c>
      <c r="T55" s="485">
        <f>Fuente!AW59</f>
        <v>0</v>
      </c>
      <c r="U55" s="467">
        <f>Fuente!AM59</f>
        <v>0</v>
      </c>
      <c r="V55" s="485">
        <f>Fuente!AY59</f>
        <v>5</v>
      </c>
      <c r="W55" s="485">
        <f>Fuente!AZ59</f>
        <v>15</v>
      </c>
      <c r="X55" s="485">
        <f>Fuente!BA59</f>
        <v>0</v>
      </c>
      <c r="Y55" s="485">
        <f>Fuente!BB59</f>
        <v>0</v>
      </c>
      <c r="Z55" s="485">
        <f>Fuente!BC59</f>
        <v>0</v>
      </c>
      <c r="AA55" s="467">
        <f>Fuente!BD59</f>
        <v>1</v>
      </c>
      <c r="AB55" s="477" t="s">
        <v>49</v>
      </c>
      <c r="AC55" s="477"/>
      <c r="AD55" s="477" t="s">
        <v>246</v>
      </c>
      <c r="AE55" s="477">
        <v>22</v>
      </c>
      <c r="AF55" s="482"/>
      <c r="AG55" s="480" t="str">
        <f>Fuente!AB59</f>
        <v>SECRETARÍA DE EDUCACIÓN</v>
      </c>
      <c r="AH55" s="90"/>
      <c r="AI55" s="90"/>
      <c r="AJ55" s="91"/>
    </row>
    <row r="56" spans="1:36" ht="189" x14ac:dyDescent="0.2">
      <c r="A56" s="76">
        <v>1</v>
      </c>
      <c r="B56" s="350" t="s">
        <v>1746</v>
      </c>
      <c r="C56" s="351" t="s">
        <v>98</v>
      </c>
      <c r="D56" s="350" t="s">
        <v>99</v>
      </c>
      <c r="E56" s="351" t="s">
        <v>238</v>
      </c>
      <c r="F56" s="350" t="s">
        <v>239</v>
      </c>
      <c r="G56" s="351" t="s">
        <v>240</v>
      </c>
      <c r="H56" s="352" t="s">
        <v>241</v>
      </c>
      <c r="I56" s="350" t="s">
        <v>242</v>
      </c>
      <c r="J56" s="351">
        <v>50</v>
      </c>
      <c r="K56" s="76">
        <v>100</v>
      </c>
      <c r="L56" s="351" t="s">
        <v>253</v>
      </c>
      <c r="M56" s="350" t="s">
        <v>254</v>
      </c>
      <c r="N56" s="350" t="s">
        <v>255</v>
      </c>
      <c r="O56" s="76">
        <v>35</v>
      </c>
      <c r="P56" s="76">
        <v>100</v>
      </c>
      <c r="Q56" s="485">
        <f>Fuente!AT60</f>
        <v>22</v>
      </c>
      <c r="R56" s="485">
        <f>Fuente!AU60</f>
        <v>0</v>
      </c>
      <c r="S56" s="485">
        <f>Fuente!AV60</f>
        <v>0</v>
      </c>
      <c r="T56" s="485">
        <f>Fuente!AW60</f>
        <v>0</v>
      </c>
      <c r="U56" s="467">
        <f>Fuente!AM60</f>
        <v>0.11</v>
      </c>
      <c r="V56" s="485">
        <f>Fuente!AY60</f>
        <v>50</v>
      </c>
      <c r="W56" s="485">
        <f>Fuente!AZ60</f>
        <v>11</v>
      </c>
      <c r="X56" s="485">
        <f>Fuente!BA60</f>
        <v>0</v>
      </c>
      <c r="Y56" s="485">
        <f>Fuente!BB60</f>
        <v>0</v>
      </c>
      <c r="Z56" s="485">
        <f>Fuente!BC60</f>
        <v>0</v>
      </c>
      <c r="AA56" s="467">
        <f>Fuente!BD60</f>
        <v>0.22</v>
      </c>
      <c r="AB56" s="477" t="s">
        <v>49</v>
      </c>
      <c r="AC56" s="477"/>
      <c r="AD56" s="477" t="s">
        <v>246</v>
      </c>
      <c r="AE56" s="477">
        <v>22</v>
      </c>
      <c r="AF56" s="482"/>
      <c r="AG56" s="480" t="str">
        <f>Fuente!AB60</f>
        <v>SECRETARÍA DE EDUCACIÓN</v>
      </c>
      <c r="AH56" s="90"/>
      <c r="AI56" s="90"/>
      <c r="AJ56" s="91"/>
    </row>
    <row r="57" spans="1:36" ht="189" x14ac:dyDescent="0.2">
      <c r="A57" s="76">
        <v>1</v>
      </c>
      <c r="B57" s="350" t="s">
        <v>1746</v>
      </c>
      <c r="C57" s="351" t="s">
        <v>98</v>
      </c>
      <c r="D57" s="350" t="s">
        <v>99</v>
      </c>
      <c r="E57" s="351" t="s">
        <v>238</v>
      </c>
      <c r="F57" s="350" t="s">
        <v>239</v>
      </c>
      <c r="G57" s="351" t="s">
        <v>240</v>
      </c>
      <c r="H57" s="352" t="s">
        <v>241</v>
      </c>
      <c r="I57" s="350" t="s">
        <v>242</v>
      </c>
      <c r="J57" s="351">
        <v>50</v>
      </c>
      <c r="K57" s="76">
        <v>100</v>
      </c>
      <c r="L57" s="351" t="s">
        <v>256</v>
      </c>
      <c r="M57" s="350" t="s">
        <v>257</v>
      </c>
      <c r="N57" s="350" t="s">
        <v>258</v>
      </c>
      <c r="O57" s="76">
        <v>6</v>
      </c>
      <c r="P57" s="76">
        <v>4</v>
      </c>
      <c r="Q57" s="485">
        <f>Fuente!AT61</f>
        <v>11.4</v>
      </c>
      <c r="R57" s="485">
        <f>Fuente!AU61</f>
        <v>0</v>
      </c>
      <c r="S57" s="485">
        <f>Fuente!AV61</f>
        <v>0</v>
      </c>
      <c r="T57" s="485">
        <f>Fuente!AW61</f>
        <v>0</v>
      </c>
      <c r="U57" s="467">
        <f>Fuente!AM61</f>
        <v>1</v>
      </c>
      <c r="V57" s="485">
        <f>Fuente!AY61</f>
        <v>5</v>
      </c>
      <c r="W57" s="485">
        <f>Fuente!AZ61</f>
        <v>5.7</v>
      </c>
      <c r="X57" s="485">
        <f>Fuente!BA61</f>
        <v>0</v>
      </c>
      <c r="Y57" s="485">
        <f>Fuente!BB61</f>
        <v>0</v>
      </c>
      <c r="Z57" s="485">
        <f>Fuente!BC61</f>
        <v>0</v>
      </c>
      <c r="AA57" s="467">
        <f>Fuente!BD61</f>
        <v>1</v>
      </c>
      <c r="AB57" s="477" t="s">
        <v>49</v>
      </c>
      <c r="AC57" s="477"/>
      <c r="AD57" s="477" t="s">
        <v>246</v>
      </c>
      <c r="AE57" s="477">
        <v>22</v>
      </c>
      <c r="AF57" s="482"/>
      <c r="AG57" s="480" t="str">
        <f>Fuente!AB61</f>
        <v>SECRETARÍA DE EDUCACIÓN</v>
      </c>
      <c r="AH57" s="90"/>
      <c r="AI57" s="90"/>
      <c r="AJ57" s="91"/>
    </row>
    <row r="58" spans="1:36" ht="189" x14ac:dyDescent="0.2">
      <c r="A58" s="76">
        <v>1</v>
      </c>
      <c r="B58" s="350" t="s">
        <v>1746</v>
      </c>
      <c r="C58" s="351" t="s">
        <v>98</v>
      </c>
      <c r="D58" s="350" t="s">
        <v>99</v>
      </c>
      <c r="E58" s="351" t="s">
        <v>238</v>
      </c>
      <c r="F58" s="350" t="s">
        <v>239</v>
      </c>
      <c r="G58" s="351" t="s">
        <v>240</v>
      </c>
      <c r="H58" s="352" t="s">
        <v>241</v>
      </c>
      <c r="I58" s="350" t="s">
        <v>242</v>
      </c>
      <c r="J58" s="351">
        <v>50</v>
      </c>
      <c r="K58" s="76">
        <v>100</v>
      </c>
      <c r="L58" s="351" t="s">
        <v>259</v>
      </c>
      <c r="M58" s="350" t="s">
        <v>260</v>
      </c>
      <c r="N58" s="350" t="s">
        <v>261</v>
      </c>
      <c r="O58" s="76">
        <v>0</v>
      </c>
      <c r="P58" s="76">
        <v>1</v>
      </c>
      <c r="Q58" s="485">
        <f>Fuente!AT62</f>
        <v>0</v>
      </c>
      <c r="R58" s="485">
        <f>Fuente!AU62</f>
        <v>0</v>
      </c>
      <c r="S58" s="485">
        <f>Fuente!AV62</f>
        <v>0</v>
      </c>
      <c r="T58" s="485">
        <f>Fuente!AW62</f>
        <v>0</v>
      </c>
      <c r="U58" s="467">
        <f>Fuente!AM62</f>
        <v>0</v>
      </c>
      <c r="V58" s="485">
        <f>Fuente!AY62</f>
        <v>1</v>
      </c>
      <c r="W58" s="485">
        <f>Fuente!AZ62</f>
        <v>0</v>
      </c>
      <c r="X58" s="485">
        <f>Fuente!BA62</f>
        <v>0</v>
      </c>
      <c r="Y58" s="485">
        <f>Fuente!BB62</f>
        <v>0</v>
      </c>
      <c r="Z58" s="485">
        <f>Fuente!BC62</f>
        <v>0</v>
      </c>
      <c r="AA58" s="467">
        <f>Fuente!BD62</f>
        <v>0</v>
      </c>
      <c r="AB58" s="477" t="s">
        <v>49</v>
      </c>
      <c r="AC58" s="477"/>
      <c r="AD58" s="477" t="s">
        <v>246</v>
      </c>
      <c r="AE58" s="477">
        <v>22</v>
      </c>
      <c r="AF58" s="482"/>
      <c r="AG58" s="480" t="str">
        <f>Fuente!AB62</f>
        <v>SECRETARÍA DE EDUCACIÓN</v>
      </c>
      <c r="AH58" s="90"/>
      <c r="AI58" s="90"/>
      <c r="AJ58" s="91"/>
    </row>
    <row r="59" spans="1:36" ht="189" x14ac:dyDescent="0.2">
      <c r="A59" s="76">
        <v>1</v>
      </c>
      <c r="B59" s="350" t="s">
        <v>1746</v>
      </c>
      <c r="C59" s="351" t="s">
        <v>98</v>
      </c>
      <c r="D59" s="350" t="s">
        <v>99</v>
      </c>
      <c r="E59" s="351" t="s">
        <v>238</v>
      </c>
      <c r="F59" s="350" t="s">
        <v>239</v>
      </c>
      <c r="G59" s="351" t="s">
        <v>240</v>
      </c>
      <c r="H59" s="352" t="s">
        <v>241</v>
      </c>
      <c r="I59" s="350" t="s">
        <v>242</v>
      </c>
      <c r="J59" s="351">
        <v>50</v>
      </c>
      <c r="K59" s="76">
        <v>100</v>
      </c>
      <c r="L59" s="351" t="s">
        <v>262</v>
      </c>
      <c r="M59" s="350" t="s">
        <v>263</v>
      </c>
      <c r="N59" s="350" t="s">
        <v>264</v>
      </c>
      <c r="O59" s="76">
        <v>0</v>
      </c>
      <c r="P59" s="76">
        <v>100</v>
      </c>
      <c r="Q59" s="485">
        <f>Fuente!AT63</f>
        <v>20</v>
      </c>
      <c r="R59" s="485">
        <f>Fuente!AU63</f>
        <v>0</v>
      </c>
      <c r="S59" s="485">
        <f>Fuente!AV63</f>
        <v>0</v>
      </c>
      <c r="T59" s="485">
        <f>Fuente!AW63</f>
        <v>0</v>
      </c>
      <c r="U59" s="467">
        <f>Fuente!AM63</f>
        <v>0.2</v>
      </c>
      <c r="V59" s="485">
        <f>Fuente!AY63</f>
        <v>30</v>
      </c>
      <c r="W59" s="485">
        <f>Fuente!AZ63</f>
        <v>0</v>
      </c>
      <c r="X59" s="485">
        <f>Fuente!BA63</f>
        <v>0</v>
      </c>
      <c r="Y59" s="485">
        <f>Fuente!BB63</f>
        <v>0</v>
      </c>
      <c r="Z59" s="485">
        <f>Fuente!BC63</f>
        <v>0</v>
      </c>
      <c r="AA59" s="467">
        <f>Fuente!BD63</f>
        <v>0</v>
      </c>
      <c r="AB59" s="477" t="s">
        <v>49</v>
      </c>
      <c r="AC59" s="477"/>
      <c r="AD59" s="477" t="s">
        <v>246</v>
      </c>
      <c r="AE59" s="477">
        <v>22</v>
      </c>
      <c r="AF59" s="482"/>
      <c r="AG59" s="480" t="str">
        <f>Fuente!AB63</f>
        <v>SECRETARÍA DE EDUCACIÓN</v>
      </c>
      <c r="AH59" s="90"/>
      <c r="AI59" s="90"/>
      <c r="AJ59" s="91"/>
    </row>
    <row r="60" spans="1:36" ht="189" x14ac:dyDescent="0.2">
      <c r="A60" s="76">
        <v>1</v>
      </c>
      <c r="B60" s="350" t="s">
        <v>1746</v>
      </c>
      <c r="C60" s="351" t="s">
        <v>98</v>
      </c>
      <c r="D60" s="350" t="s">
        <v>99</v>
      </c>
      <c r="E60" s="351" t="s">
        <v>238</v>
      </c>
      <c r="F60" s="350" t="s">
        <v>239</v>
      </c>
      <c r="G60" s="351" t="s">
        <v>240</v>
      </c>
      <c r="H60" s="352" t="s">
        <v>241</v>
      </c>
      <c r="I60" s="350" t="s">
        <v>242</v>
      </c>
      <c r="J60" s="351">
        <v>50</v>
      </c>
      <c r="K60" s="76">
        <v>100</v>
      </c>
      <c r="L60" s="351" t="s">
        <v>265</v>
      </c>
      <c r="M60" s="350" t="s">
        <v>266</v>
      </c>
      <c r="N60" s="350" t="s">
        <v>267</v>
      </c>
      <c r="O60" s="310">
        <v>0</v>
      </c>
      <c r="P60" s="310">
        <v>4</v>
      </c>
      <c r="Q60" s="485">
        <f>Fuente!AT64</f>
        <v>0</v>
      </c>
      <c r="R60" s="485">
        <f>Fuente!AU64</f>
        <v>0</v>
      </c>
      <c r="S60" s="485">
        <f>Fuente!AV64</f>
        <v>0</v>
      </c>
      <c r="T60" s="485">
        <f>Fuente!AW64</f>
        <v>0</v>
      </c>
      <c r="U60" s="467">
        <f>Fuente!AM64</f>
        <v>0</v>
      </c>
      <c r="V60" s="485">
        <f>Fuente!AY64</f>
        <v>1</v>
      </c>
      <c r="W60" s="485">
        <f>Fuente!AZ64</f>
        <v>0</v>
      </c>
      <c r="X60" s="485">
        <f>Fuente!BA64</f>
        <v>0</v>
      </c>
      <c r="Y60" s="485">
        <f>Fuente!BB64</f>
        <v>0</v>
      </c>
      <c r="Z60" s="485">
        <f>Fuente!BC64</f>
        <v>0</v>
      </c>
      <c r="AA60" s="467">
        <f>Fuente!BD64</f>
        <v>0</v>
      </c>
      <c r="AB60" s="477" t="s">
        <v>49</v>
      </c>
      <c r="AC60" s="477"/>
      <c r="AD60" s="477" t="s">
        <v>246</v>
      </c>
      <c r="AE60" s="477">
        <v>22</v>
      </c>
      <c r="AF60" s="482"/>
      <c r="AG60" s="480" t="str">
        <f>Fuente!AB64</f>
        <v>SECRETARÍA DE EDUCACIÓN</v>
      </c>
      <c r="AH60" s="90"/>
      <c r="AI60" s="90"/>
      <c r="AJ60" s="91"/>
    </row>
    <row r="61" spans="1:36" ht="189" x14ac:dyDescent="0.2">
      <c r="A61" s="76">
        <v>1</v>
      </c>
      <c r="B61" s="350" t="s">
        <v>1746</v>
      </c>
      <c r="C61" s="351" t="s">
        <v>98</v>
      </c>
      <c r="D61" s="350" t="s">
        <v>99</v>
      </c>
      <c r="E61" s="351" t="s">
        <v>238</v>
      </c>
      <c r="F61" s="350" t="s">
        <v>239</v>
      </c>
      <c r="G61" s="351" t="s">
        <v>240</v>
      </c>
      <c r="H61" s="352" t="s">
        <v>241</v>
      </c>
      <c r="I61" s="350" t="s">
        <v>242</v>
      </c>
      <c r="J61" s="351">
        <v>50</v>
      </c>
      <c r="K61" s="76">
        <v>100</v>
      </c>
      <c r="L61" s="351" t="s">
        <v>268</v>
      </c>
      <c r="M61" s="350" t="s">
        <v>269</v>
      </c>
      <c r="N61" s="350" t="s">
        <v>270</v>
      </c>
      <c r="O61" s="310">
        <v>35</v>
      </c>
      <c r="P61" s="310">
        <v>35</v>
      </c>
      <c r="Q61" s="485">
        <f>Fuente!AT65</f>
        <v>20</v>
      </c>
      <c r="R61" s="485">
        <f>Fuente!AU65</f>
        <v>0</v>
      </c>
      <c r="S61" s="485">
        <f>Fuente!AV65</f>
        <v>0</v>
      </c>
      <c r="T61" s="485">
        <f>Fuente!AW65</f>
        <v>0</v>
      </c>
      <c r="U61" s="467">
        <f>Fuente!AM65</f>
        <v>0.2857142857142857</v>
      </c>
      <c r="V61" s="485">
        <f>Fuente!AY65</f>
        <v>15</v>
      </c>
      <c r="W61" s="485">
        <f>Fuente!AZ65</f>
        <v>10</v>
      </c>
      <c r="X61" s="485">
        <f>Fuente!BA65</f>
        <v>0</v>
      </c>
      <c r="Y61" s="485">
        <f>Fuente!BB65</f>
        <v>0</v>
      </c>
      <c r="Z61" s="485">
        <f>Fuente!BC65</f>
        <v>0</v>
      </c>
      <c r="AA61" s="467">
        <f>Fuente!BD65</f>
        <v>0.66666666666666663</v>
      </c>
      <c r="AB61" s="477" t="s">
        <v>49</v>
      </c>
      <c r="AC61" s="477"/>
      <c r="AD61" s="477" t="s">
        <v>246</v>
      </c>
      <c r="AE61" s="477">
        <v>22</v>
      </c>
      <c r="AF61" s="482"/>
      <c r="AG61" s="480" t="str">
        <f>Fuente!AB65</f>
        <v>SECRETARÍA DE EDUCACIÓN</v>
      </c>
      <c r="AH61" s="90"/>
      <c r="AI61" s="90"/>
      <c r="AJ61" s="91"/>
    </row>
    <row r="62" spans="1:36" ht="94.5" x14ac:dyDescent="0.2">
      <c r="A62" s="76">
        <v>1</v>
      </c>
      <c r="B62" s="350" t="s">
        <v>1746</v>
      </c>
      <c r="C62" s="351" t="s">
        <v>98</v>
      </c>
      <c r="D62" s="350" t="s">
        <v>99</v>
      </c>
      <c r="E62" s="351" t="s">
        <v>238</v>
      </c>
      <c r="F62" s="350" t="s">
        <v>239</v>
      </c>
      <c r="G62" s="351" t="s">
        <v>271</v>
      </c>
      <c r="H62" s="351" t="s">
        <v>272</v>
      </c>
      <c r="I62" s="350" t="s">
        <v>273</v>
      </c>
      <c r="J62" s="76">
        <v>0</v>
      </c>
      <c r="K62" s="76">
        <v>100</v>
      </c>
      <c r="L62" s="351" t="s">
        <v>274</v>
      </c>
      <c r="M62" s="350" t="s">
        <v>275</v>
      </c>
      <c r="N62" s="350" t="s">
        <v>276</v>
      </c>
      <c r="O62" s="76">
        <v>30</v>
      </c>
      <c r="P62" s="76">
        <v>100</v>
      </c>
      <c r="Q62" s="485">
        <f>Fuente!AT66</f>
        <v>20</v>
      </c>
      <c r="R62" s="485">
        <f>Fuente!AU66</f>
        <v>0</v>
      </c>
      <c r="S62" s="485">
        <f>Fuente!AV66</f>
        <v>0</v>
      </c>
      <c r="T62" s="485">
        <f>Fuente!AW66</f>
        <v>0</v>
      </c>
      <c r="U62" s="467">
        <f>Fuente!AM66</f>
        <v>0.2</v>
      </c>
      <c r="V62" s="485">
        <f>Fuente!AY66</f>
        <v>20</v>
      </c>
      <c r="W62" s="485">
        <f>Fuente!AZ66</f>
        <v>0</v>
      </c>
      <c r="X62" s="485">
        <f>Fuente!BA66</f>
        <v>0</v>
      </c>
      <c r="Y62" s="485">
        <f>Fuente!BB66</f>
        <v>0</v>
      </c>
      <c r="Z62" s="485">
        <f>Fuente!BC66</f>
        <v>0</v>
      </c>
      <c r="AA62" s="467">
        <f>Fuente!BD66</f>
        <v>0</v>
      </c>
      <c r="AB62" s="477" t="s">
        <v>49</v>
      </c>
      <c r="AC62" s="477"/>
      <c r="AD62" s="477" t="s">
        <v>246</v>
      </c>
      <c r="AE62" s="477">
        <v>22</v>
      </c>
      <c r="AF62" s="482"/>
      <c r="AG62" s="480" t="str">
        <f>Fuente!AB66</f>
        <v>SECRETARÍA DE EDUCACIÓN</v>
      </c>
      <c r="AH62" s="90"/>
      <c r="AI62" s="90"/>
      <c r="AJ62" s="91"/>
    </row>
    <row r="63" spans="1:36" ht="110.25" x14ac:dyDescent="0.2">
      <c r="A63" s="76">
        <v>1</v>
      </c>
      <c r="B63" s="350" t="s">
        <v>1746</v>
      </c>
      <c r="C63" s="351" t="s">
        <v>98</v>
      </c>
      <c r="D63" s="350" t="s">
        <v>99</v>
      </c>
      <c r="E63" s="351" t="s">
        <v>238</v>
      </c>
      <c r="F63" s="350" t="s">
        <v>239</v>
      </c>
      <c r="G63" s="351" t="s">
        <v>277</v>
      </c>
      <c r="H63" s="351" t="s">
        <v>278</v>
      </c>
      <c r="I63" s="350" t="s">
        <v>279</v>
      </c>
      <c r="J63" s="484">
        <v>1</v>
      </c>
      <c r="K63" s="484">
        <v>1</v>
      </c>
      <c r="L63" s="351" t="s">
        <v>280</v>
      </c>
      <c r="M63" s="350" t="s">
        <v>281</v>
      </c>
      <c r="N63" s="350" t="s">
        <v>282</v>
      </c>
      <c r="O63" s="76">
        <v>50</v>
      </c>
      <c r="P63" s="76">
        <v>180</v>
      </c>
      <c r="Q63" s="485">
        <f>Fuente!AT67</f>
        <v>36</v>
      </c>
      <c r="R63" s="485">
        <f>Fuente!AU67</f>
        <v>0</v>
      </c>
      <c r="S63" s="485">
        <f>Fuente!AV67</f>
        <v>0</v>
      </c>
      <c r="T63" s="485">
        <f>Fuente!AW67</f>
        <v>0</v>
      </c>
      <c r="U63" s="467">
        <f>Fuente!AM67</f>
        <v>0.1111111111111111</v>
      </c>
      <c r="V63" s="485">
        <f>Fuente!AY67</f>
        <v>50</v>
      </c>
      <c r="W63" s="485">
        <f>Fuente!AZ67</f>
        <v>16</v>
      </c>
      <c r="X63" s="485">
        <f>Fuente!BA67</f>
        <v>0</v>
      </c>
      <c r="Y63" s="485">
        <f>Fuente!BB67</f>
        <v>0</v>
      </c>
      <c r="Z63" s="485">
        <f>Fuente!BC67</f>
        <v>0</v>
      </c>
      <c r="AA63" s="467">
        <f>Fuente!BD67</f>
        <v>0.32</v>
      </c>
      <c r="AB63" s="477" t="s">
        <v>49</v>
      </c>
      <c r="AC63" s="477"/>
      <c r="AD63" s="477" t="s">
        <v>283</v>
      </c>
      <c r="AE63" s="477">
        <v>22</v>
      </c>
      <c r="AF63" s="482"/>
      <c r="AG63" s="480" t="str">
        <f>Fuente!AB67</f>
        <v>SECRETARÍA DE EDUCACIÓN</v>
      </c>
      <c r="AH63" s="90"/>
      <c r="AI63" s="90"/>
      <c r="AJ63" s="91"/>
    </row>
    <row r="64" spans="1:36" ht="126" x14ac:dyDescent="0.2">
      <c r="A64" s="76">
        <v>1</v>
      </c>
      <c r="B64" s="350" t="s">
        <v>1746</v>
      </c>
      <c r="C64" s="351" t="s">
        <v>98</v>
      </c>
      <c r="D64" s="350" t="s">
        <v>99</v>
      </c>
      <c r="E64" s="351" t="s">
        <v>238</v>
      </c>
      <c r="F64" s="350" t="s">
        <v>239</v>
      </c>
      <c r="G64" s="351" t="s">
        <v>277</v>
      </c>
      <c r="H64" s="351" t="s">
        <v>279</v>
      </c>
      <c r="I64" s="350" t="s">
        <v>279</v>
      </c>
      <c r="J64" s="484">
        <v>1</v>
      </c>
      <c r="K64" s="484">
        <v>1</v>
      </c>
      <c r="L64" s="351" t="s">
        <v>284</v>
      </c>
      <c r="M64" s="350" t="s">
        <v>285</v>
      </c>
      <c r="N64" s="350" t="s">
        <v>286</v>
      </c>
      <c r="O64" s="76">
        <v>224</v>
      </c>
      <c r="P64" s="76">
        <v>226</v>
      </c>
      <c r="Q64" s="485">
        <f>Fuente!AT68</f>
        <v>113</v>
      </c>
      <c r="R64" s="485">
        <f>Fuente!AU68</f>
        <v>0</v>
      </c>
      <c r="S64" s="485">
        <f>Fuente!AV68</f>
        <v>0</v>
      </c>
      <c r="T64" s="485">
        <f>Fuente!AW68</f>
        <v>0</v>
      </c>
      <c r="U64" s="467">
        <f>Fuente!AM68</f>
        <v>1</v>
      </c>
      <c r="V64" s="485">
        <f>Fuente!AY68</f>
        <v>226</v>
      </c>
      <c r="W64" s="485">
        <f>Fuente!AZ68</f>
        <v>226</v>
      </c>
      <c r="X64" s="485">
        <f>Fuente!BA68</f>
        <v>0</v>
      </c>
      <c r="Y64" s="485">
        <f>Fuente!BB68</f>
        <v>0</v>
      </c>
      <c r="Z64" s="485">
        <f>Fuente!BC68</f>
        <v>0</v>
      </c>
      <c r="AA64" s="467">
        <f>Fuente!BD68</f>
        <v>1</v>
      </c>
      <c r="AB64" s="477" t="s">
        <v>78</v>
      </c>
      <c r="AC64" s="477"/>
      <c r="AD64" s="477" t="s">
        <v>246</v>
      </c>
      <c r="AE64" s="477">
        <v>22</v>
      </c>
      <c r="AF64" s="482"/>
      <c r="AG64" s="480" t="str">
        <f>Fuente!AB68</f>
        <v>SECRETARÍA DE EDUCACIÓN</v>
      </c>
      <c r="AH64" s="90"/>
      <c r="AI64" s="90"/>
      <c r="AJ64" s="91"/>
    </row>
    <row r="65" spans="1:36" ht="110.25" x14ac:dyDescent="0.2">
      <c r="A65" s="76">
        <v>1</v>
      </c>
      <c r="B65" s="350" t="s">
        <v>1746</v>
      </c>
      <c r="C65" s="351" t="s">
        <v>98</v>
      </c>
      <c r="D65" s="350" t="s">
        <v>99</v>
      </c>
      <c r="E65" s="351" t="s">
        <v>238</v>
      </c>
      <c r="F65" s="350" t="s">
        <v>239</v>
      </c>
      <c r="G65" s="351" t="s">
        <v>277</v>
      </c>
      <c r="H65" s="351" t="s">
        <v>279</v>
      </c>
      <c r="I65" s="350" t="s">
        <v>279</v>
      </c>
      <c r="J65" s="484">
        <v>1</v>
      </c>
      <c r="K65" s="484">
        <v>1</v>
      </c>
      <c r="L65" s="351" t="s">
        <v>287</v>
      </c>
      <c r="M65" s="350" t="s">
        <v>288</v>
      </c>
      <c r="N65" s="350" t="s">
        <v>288</v>
      </c>
      <c r="O65" s="76">
        <v>0</v>
      </c>
      <c r="P65" s="484">
        <v>0.5</v>
      </c>
      <c r="Q65" s="485">
        <f>Fuente!AT69</f>
        <v>0.375</v>
      </c>
      <c r="R65" s="485">
        <f>Fuente!AU69</f>
        <v>0</v>
      </c>
      <c r="S65" s="485">
        <f>Fuente!AV69</f>
        <v>0</v>
      </c>
      <c r="T65" s="485">
        <f>Fuente!AW69</f>
        <v>0</v>
      </c>
      <c r="U65" s="467">
        <f>Fuente!AM69</f>
        <v>1</v>
      </c>
      <c r="V65" s="485">
        <f>Fuente!AY69</f>
        <v>0.5</v>
      </c>
      <c r="W65" s="485">
        <f>Fuente!AZ69</f>
        <v>0.5</v>
      </c>
      <c r="X65" s="485">
        <f>Fuente!BA69</f>
        <v>0</v>
      </c>
      <c r="Y65" s="485">
        <f>Fuente!BB69</f>
        <v>0</v>
      </c>
      <c r="Z65" s="485">
        <f>Fuente!BC69</f>
        <v>0</v>
      </c>
      <c r="AA65" s="467">
        <f>Fuente!BD69</f>
        <v>1</v>
      </c>
      <c r="AB65" s="477" t="s">
        <v>78</v>
      </c>
      <c r="AC65" s="477"/>
      <c r="AD65" s="477" t="s">
        <v>246</v>
      </c>
      <c r="AE65" s="477">
        <v>22</v>
      </c>
      <c r="AF65" s="482"/>
      <c r="AG65" s="480" t="str">
        <f>Fuente!AB69</f>
        <v>SECRETARÍA DE EDUCACIÓN</v>
      </c>
      <c r="AH65" s="90"/>
      <c r="AI65" s="90"/>
      <c r="AJ65" s="91"/>
    </row>
    <row r="66" spans="1:36" ht="126" x14ac:dyDescent="0.2">
      <c r="A66" s="76">
        <v>1</v>
      </c>
      <c r="B66" s="350" t="s">
        <v>1746</v>
      </c>
      <c r="C66" s="351" t="s">
        <v>98</v>
      </c>
      <c r="D66" s="350" t="s">
        <v>99</v>
      </c>
      <c r="E66" s="351" t="s">
        <v>238</v>
      </c>
      <c r="F66" s="350" t="s">
        <v>239</v>
      </c>
      <c r="G66" s="351" t="s">
        <v>277</v>
      </c>
      <c r="H66" s="351" t="s">
        <v>289</v>
      </c>
      <c r="I66" s="350" t="s">
        <v>279</v>
      </c>
      <c r="J66" s="484">
        <v>1</v>
      </c>
      <c r="K66" s="484">
        <v>1</v>
      </c>
      <c r="L66" s="351" t="s">
        <v>290</v>
      </c>
      <c r="M66" s="350" t="s">
        <v>291</v>
      </c>
      <c r="N66" s="350" t="s">
        <v>292</v>
      </c>
      <c r="O66" s="76">
        <v>4</v>
      </c>
      <c r="P66" s="76">
        <v>4</v>
      </c>
      <c r="Q66" s="485">
        <f>Fuente!AT70</f>
        <v>1.5</v>
      </c>
      <c r="R66" s="485">
        <f>Fuente!AU70</f>
        <v>0</v>
      </c>
      <c r="S66" s="485">
        <f>Fuente!AV70</f>
        <v>0</v>
      </c>
      <c r="T66" s="485">
        <f>Fuente!AW70</f>
        <v>0</v>
      </c>
      <c r="U66" s="467">
        <f>Fuente!AM70</f>
        <v>0.25</v>
      </c>
      <c r="V66" s="485">
        <f>Fuente!AY70</f>
        <v>1</v>
      </c>
      <c r="W66" s="485">
        <f>Fuente!AZ70</f>
        <v>5</v>
      </c>
      <c r="X66" s="485">
        <f>Fuente!BA70</f>
        <v>0</v>
      </c>
      <c r="Y66" s="485">
        <f>Fuente!BB70</f>
        <v>0</v>
      </c>
      <c r="Z66" s="485">
        <f>Fuente!BC70</f>
        <v>0</v>
      </c>
      <c r="AA66" s="467">
        <f>Fuente!BD70</f>
        <v>1</v>
      </c>
      <c r="AB66" s="477" t="s">
        <v>78</v>
      </c>
      <c r="AC66" s="477"/>
      <c r="AD66" s="477" t="s">
        <v>246</v>
      </c>
      <c r="AE66" s="477">
        <v>22</v>
      </c>
      <c r="AF66" s="482"/>
      <c r="AG66" s="480" t="str">
        <f>Fuente!AB70</f>
        <v>SECRETARÍA DE EDUCACIÓN</v>
      </c>
      <c r="AH66" s="90"/>
      <c r="AI66" s="90"/>
      <c r="AJ66" s="91"/>
    </row>
    <row r="67" spans="1:36" ht="78.75" x14ac:dyDescent="0.2">
      <c r="A67" s="76">
        <v>1</v>
      </c>
      <c r="B67" s="350" t="s">
        <v>1746</v>
      </c>
      <c r="C67" s="351" t="s">
        <v>293</v>
      </c>
      <c r="D67" s="350" t="s">
        <v>294</v>
      </c>
      <c r="E67" s="351" t="s">
        <v>295</v>
      </c>
      <c r="F67" s="350" t="s">
        <v>296</v>
      </c>
      <c r="G67" s="351" t="s">
        <v>297</v>
      </c>
      <c r="H67" s="352" t="s">
        <v>298</v>
      </c>
      <c r="I67" s="350" t="s">
        <v>298</v>
      </c>
      <c r="J67" s="351" t="s">
        <v>299</v>
      </c>
      <c r="K67" s="351" t="s">
        <v>299</v>
      </c>
      <c r="L67" s="351" t="s">
        <v>300</v>
      </c>
      <c r="M67" s="350" t="s">
        <v>301</v>
      </c>
      <c r="N67" s="350" t="s">
        <v>1930</v>
      </c>
      <c r="O67" s="76"/>
      <c r="P67" s="484">
        <v>1</v>
      </c>
      <c r="Q67" s="485">
        <f>Fuente!AT71</f>
        <v>0.1875</v>
      </c>
      <c r="R67" s="485">
        <f>Fuente!AU71</f>
        <v>0</v>
      </c>
      <c r="S67" s="485">
        <f>Fuente!AV71</f>
        <v>0</v>
      </c>
      <c r="T67" s="485">
        <f>Fuente!AW71</f>
        <v>0</v>
      </c>
      <c r="U67" s="467">
        <f>Fuente!AM71</f>
        <v>0.75</v>
      </c>
      <c r="V67" s="485">
        <f>Fuente!AY71</f>
        <v>1</v>
      </c>
      <c r="W67" s="485">
        <f>Fuente!AZ71</f>
        <v>0</v>
      </c>
      <c r="X67" s="485">
        <f>Fuente!BA71</f>
        <v>0</v>
      </c>
      <c r="Y67" s="485">
        <f>Fuente!BB71</f>
        <v>0</v>
      </c>
      <c r="Z67" s="485">
        <f>Fuente!BC71</f>
        <v>0</v>
      </c>
      <c r="AA67" s="467">
        <f>Fuente!BD71</f>
        <v>0</v>
      </c>
      <c r="AB67" s="477" t="s">
        <v>78</v>
      </c>
      <c r="AC67" s="477"/>
      <c r="AD67" s="477" t="s">
        <v>302</v>
      </c>
      <c r="AE67" s="477" t="s">
        <v>303</v>
      </c>
      <c r="AF67" s="482"/>
      <c r="AG67" s="480" t="str">
        <f>Fuente!AB71</f>
        <v>SECRETARÍA DE SALUD</v>
      </c>
      <c r="AH67" s="94"/>
      <c r="AI67" s="94"/>
      <c r="AJ67" s="81"/>
    </row>
    <row r="68" spans="1:36" ht="78.75" x14ac:dyDescent="0.2">
      <c r="A68" s="76">
        <v>1</v>
      </c>
      <c r="B68" s="350" t="s">
        <v>1746</v>
      </c>
      <c r="C68" s="351" t="s">
        <v>293</v>
      </c>
      <c r="D68" s="350" t="s">
        <v>294</v>
      </c>
      <c r="E68" s="351" t="s">
        <v>295</v>
      </c>
      <c r="F68" s="350" t="s">
        <v>296</v>
      </c>
      <c r="G68" s="351" t="s">
        <v>297</v>
      </c>
      <c r="H68" s="352" t="s">
        <v>298</v>
      </c>
      <c r="I68" s="350" t="s">
        <v>298</v>
      </c>
      <c r="J68" s="351" t="s">
        <v>304</v>
      </c>
      <c r="K68" s="351" t="s">
        <v>304</v>
      </c>
      <c r="L68" s="351" t="s">
        <v>305</v>
      </c>
      <c r="M68" s="350" t="s">
        <v>306</v>
      </c>
      <c r="N68" s="350" t="s">
        <v>306</v>
      </c>
      <c r="O68" s="76"/>
      <c r="P68" s="310">
        <v>45</v>
      </c>
      <c r="Q68" s="485">
        <f>Fuente!AT72</f>
        <v>0.61250000000000004</v>
      </c>
      <c r="R68" s="485">
        <f>Fuente!AU72</f>
        <v>0</v>
      </c>
      <c r="S68" s="485">
        <f>Fuente!AV72</f>
        <v>0</v>
      </c>
      <c r="T68" s="485">
        <f>Fuente!AW72</f>
        <v>0</v>
      </c>
      <c r="U68" s="467">
        <f>Fuente!AM72</f>
        <v>0.01</v>
      </c>
      <c r="V68" s="485">
        <f>Fuente!AY72</f>
        <v>45</v>
      </c>
      <c r="W68" s="485">
        <f>Fuente!AZ72</f>
        <v>2</v>
      </c>
      <c r="X68" s="485">
        <f>Fuente!BA72</f>
        <v>0</v>
      </c>
      <c r="Y68" s="485">
        <f>Fuente!BB72</f>
        <v>0</v>
      </c>
      <c r="Z68" s="485">
        <f>Fuente!BC72</f>
        <v>0</v>
      </c>
      <c r="AA68" s="467">
        <f>Fuente!BD72</f>
        <v>4.4444444444444446E-2</v>
      </c>
      <c r="AB68" s="477" t="s">
        <v>78</v>
      </c>
      <c r="AC68" s="477"/>
      <c r="AD68" s="477"/>
      <c r="AE68" s="477"/>
      <c r="AF68" s="482"/>
      <c r="AG68" s="480" t="str">
        <f>Fuente!AB72</f>
        <v>SECRETARÍA DE SALUD</v>
      </c>
      <c r="AH68" s="95"/>
      <c r="AI68" s="95"/>
      <c r="AJ68" s="81"/>
    </row>
    <row r="69" spans="1:36" ht="78.75" x14ac:dyDescent="0.2">
      <c r="A69" s="76">
        <v>1</v>
      </c>
      <c r="B69" s="350" t="s">
        <v>1746</v>
      </c>
      <c r="C69" s="351" t="s">
        <v>293</v>
      </c>
      <c r="D69" s="350" t="s">
        <v>294</v>
      </c>
      <c r="E69" s="351" t="s">
        <v>295</v>
      </c>
      <c r="F69" s="350" t="s">
        <v>296</v>
      </c>
      <c r="G69" s="351" t="s">
        <v>297</v>
      </c>
      <c r="H69" s="352" t="s">
        <v>298</v>
      </c>
      <c r="I69" s="350" t="s">
        <v>298</v>
      </c>
      <c r="J69" s="351" t="s">
        <v>307</v>
      </c>
      <c r="K69" s="351" t="s">
        <v>307</v>
      </c>
      <c r="L69" s="351" t="s">
        <v>308</v>
      </c>
      <c r="M69" s="350" t="s">
        <v>309</v>
      </c>
      <c r="N69" s="350" t="s">
        <v>309</v>
      </c>
      <c r="O69" s="76"/>
      <c r="P69" s="76">
        <v>1</v>
      </c>
      <c r="Q69" s="485">
        <f>Fuente!AT73</f>
        <v>1</v>
      </c>
      <c r="R69" s="485">
        <f>Fuente!AU73</f>
        <v>0</v>
      </c>
      <c r="S69" s="485">
        <f>Fuente!AV73</f>
        <v>0</v>
      </c>
      <c r="T69" s="485">
        <f>Fuente!AW73</f>
        <v>0</v>
      </c>
      <c r="U69" s="467">
        <f>Fuente!AM73</f>
        <v>1</v>
      </c>
      <c r="V69" s="485" t="str">
        <f>Fuente!AY73</f>
        <v>NP</v>
      </c>
      <c r="W69" s="485">
        <f>Fuente!AZ73</f>
        <v>0</v>
      </c>
      <c r="X69" s="485">
        <f>Fuente!BA73</f>
        <v>0</v>
      </c>
      <c r="Y69" s="485">
        <f>Fuente!BB73</f>
        <v>0</v>
      </c>
      <c r="Z69" s="485">
        <f>Fuente!BC73</f>
        <v>0</v>
      </c>
      <c r="AA69" s="467" t="str">
        <f>Fuente!BD73</f>
        <v>NP</v>
      </c>
      <c r="AB69" s="480" t="s">
        <v>49</v>
      </c>
      <c r="AC69" s="477"/>
      <c r="AD69" s="477"/>
      <c r="AE69" s="477"/>
      <c r="AF69" s="482"/>
      <c r="AG69" s="480" t="str">
        <f>Fuente!AB73</f>
        <v>SECRETARÍA DE SALUD</v>
      </c>
      <c r="AH69" s="81"/>
      <c r="AI69" s="81"/>
      <c r="AJ69" s="81"/>
    </row>
    <row r="70" spans="1:36" ht="94.5" x14ac:dyDescent="0.2">
      <c r="A70" s="76">
        <v>1</v>
      </c>
      <c r="B70" s="350" t="s">
        <v>1746</v>
      </c>
      <c r="C70" s="351" t="s">
        <v>293</v>
      </c>
      <c r="D70" s="350" t="s">
        <v>294</v>
      </c>
      <c r="E70" s="351" t="s">
        <v>295</v>
      </c>
      <c r="F70" s="350" t="s">
        <v>296</v>
      </c>
      <c r="G70" s="351" t="s">
        <v>311</v>
      </c>
      <c r="H70" s="352" t="s">
        <v>312</v>
      </c>
      <c r="I70" s="350" t="s">
        <v>312</v>
      </c>
      <c r="J70" s="351" t="s">
        <v>313</v>
      </c>
      <c r="K70" s="351" t="s">
        <v>313</v>
      </c>
      <c r="L70" s="351" t="s">
        <v>314</v>
      </c>
      <c r="M70" s="350" t="s">
        <v>315</v>
      </c>
      <c r="N70" s="350" t="s">
        <v>315</v>
      </c>
      <c r="O70" s="76"/>
      <c r="P70" s="76">
        <v>7</v>
      </c>
      <c r="Q70" s="485">
        <f>Fuente!AT74</f>
        <v>2</v>
      </c>
      <c r="R70" s="485">
        <f>Fuente!AU74</f>
        <v>0</v>
      </c>
      <c r="S70" s="485">
        <f>Fuente!AV74</f>
        <v>0</v>
      </c>
      <c r="T70" s="485">
        <f>Fuente!AW74</f>
        <v>0</v>
      </c>
      <c r="U70" s="467">
        <f>Fuente!AM74</f>
        <v>0.2857142857142857</v>
      </c>
      <c r="V70" s="485">
        <f>Fuente!AY74</f>
        <v>2</v>
      </c>
      <c r="W70" s="485">
        <f>Fuente!AZ74</f>
        <v>0</v>
      </c>
      <c r="X70" s="485">
        <f>Fuente!BA74</f>
        <v>0</v>
      </c>
      <c r="Y70" s="485">
        <f>Fuente!BB74</f>
        <v>0</v>
      </c>
      <c r="Z70" s="485">
        <f>Fuente!BC74</f>
        <v>0</v>
      </c>
      <c r="AA70" s="467">
        <f>Fuente!BD74</f>
        <v>0</v>
      </c>
      <c r="AB70" s="480" t="s">
        <v>49</v>
      </c>
      <c r="AC70" s="477"/>
      <c r="AD70" s="477" t="s">
        <v>302</v>
      </c>
      <c r="AE70" s="477" t="s">
        <v>303</v>
      </c>
      <c r="AF70" s="482"/>
      <c r="AG70" s="480" t="str">
        <f>Fuente!AB74</f>
        <v>SECRETARÍA DE SALUD</v>
      </c>
      <c r="AH70" s="81"/>
      <c r="AI70" s="81"/>
      <c r="AJ70" s="81"/>
    </row>
    <row r="71" spans="1:36" ht="94.5" x14ac:dyDescent="0.2">
      <c r="A71" s="76">
        <v>1</v>
      </c>
      <c r="B71" s="350" t="s">
        <v>1746</v>
      </c>
      <c r="C71" s="351" t="s">
        <v>293</v>
      </c>
      <c r="D71" s="350" t="s">
        <v>294</v>
      </c>
      <c r="E71" s="351" t="s">
        <v>295</v>
      </c>
      <c r="F71" s="350" t="s">
        <v>296</v>
      </c>
      <c r="G71" s="351" t="s">
        <v>316</v>
      </c>
      <c r="H71" s="351" t="s">
        <v>317</v>
      </c>
      <c r="I71" s="350" t="s">
        <v>317</v>
      </c>
      <c r="J71" s="351" t="s">
        <v>318</v>
      </c>
      <c r="K71" s="351" t="s">
        <v>318</v>
      </c>
      <c r="L71" s="351" t="s">
        <v>319</v>
      </c>
      <c r="M71" s="350" t="s">
        <v>320</v>
      </c>
      <c r="N71" s="350" t="s">
        <v>320</v>
      </c>
      <c r="O71" s="76"/>
      <c r="P71" s="76">
        <v>23</v>
      </c>
      <c r="Q71" s="485">
        <f>Fuente!AT75</f>
        <v>2</v>
      </c>
      <c r="R71" s="485">
        <f>Fuente!AU75</f>
        <v>0</v>
      </c>
      <c r="S71" s="485">
        <f>Fuente!AV75</f>
        <v>0</v>
      </c>
      <c r="T71" s="485">
        <f>Fuente!AW75</f>
        <v>0</v>
      </c>
      <c r="U71" s="467">
        <f>Fuente!AM75</f>
        <v>8.6956521739130432E-2</v>
      </c>
      <c r="V71" s="485">
        <f>Fuente!AY75</f>
        <v>6</v>
      </c>
      <c r="W71" s="485">
        <f>Fuente!AZ75</f>
        <v>0</v>
      </c>
      <c r="X71" s="485">
        <f>Fuente!BA75</f>
        <v>0</v>
      </c>
      <c r="Y71" s="485">
        <f>Fuente!BB75</f>
        <v>0</v>
      </c>
      <c r="Z71" s="485">
        <f>Fuente!BC75</f>
        <v>0</v>
      </c>
      <c r="AA71" s="467">
        <f>Fuente!BD75</f>
        <v>0</v>
      </c>
      <c r="AB71" s="480" t="s">
        <v>49</v>
      </c>
      <c r="AC71" s="477"/>
      <c r="AD71" s="477"/>
      <c r="AE71" s="477"/>
      <c r="AF71" s="482"/>
      <c r="AG71" s="480" t="str">
        <f>Fuente!AB75</f>
        <v>SECRETARÍA DE SALUD</v>
      </c>
      <c r="AH71" s="81"/>
      <c r="AI71" s="81"/>
      <c r="AJ71" s="81"/>
    </row>
    <row r="72" spans="1:36" ht="110.25" x14ac:dyDescent="0.2">
      <c r="A72" s="76">
        <v>1</v>
      </c>
      <c r="B72" s="350" t="s">
        <v>1746</v>
      </c>
      <c r="C72" s="351" t="s">
        <v>293</v>
      </c>
      <c r="D72" s="350" t="s">
        <v>294</v>
      </c>
      <c r="E72" s="351" t="s">
        <v>295</v>
      </c>
      <c r="F72" s="350" t="s">
        <v>296</v>
      </c>
      <c r="G72" s="351" t="s">
        <v>321</v>
      </c>
      <c r="H72" s="351" t="s">
        <v>322</v>
      </c>
      <c r="I72" s="350" t="s">
        <v>322</v>
      </c>
      <c r="J72" s="351" t="s">
        <v>323</v>
      </c>
      <c r="K72" s="351" t="s">
        <v>323</v>
      </c>
      <c r="L72" s="351" t="s">
        <v>324</v>
      </c>
      <c r="M72" s="350" t="s">
        <v>325</v>
      </c>
      <c r="N72" s="350" t="s">
        <v>325</v>
      </c>
      <c r="O72" s="76"/>
      <c r="P72" s="76">
        <v>12</v>
      </c>
      <c r="Q72" s="485">
        <f>Fuente!AT76</f>
        <v>3</v>
      </c>
      <c r="R72" s="485">
        <f>Fuente!AU76</f>
        <v>0</v>
      </c>
      <c r="S72" s="485">
        <f>Fuente!AV76</f>
        <v>0</v>
      </c>
      <c r="T72" s="485">
        <f>Fuente!AW76</f>
        <v>0</v>
      </c>
      <c r="U72" s="467">
        <f>Fuente!AM76</f>
        <v>0.25</v>
      </c>
      <c r="V72" s="485">
        <f>Fuente!AY76</f>
        <v>3</v>
      </c>
      <c r="W72" s="485">
        <f>Fuente!AZ76</f>
        <v>0</v>
      </c>
      <c r="X72" s="485">
        <f>Fuente!BA76</f>
        <v>0</v>
      </c>
      <c r="Y72" s="485">
        <f>Fuente!BB76</f>
        <v>0</v>
      </c>
      <c r="Z72" s="485">
        <f>Fuente!BC76</f>
        <v>0</v>
      </c>
      <c r="AA72" s="467">
        <f>Fuente!BD76</f>
        <v>0</v>
      </c>
      <c r="AB72" s="480" t="s">
        <v>49</v>
      </c>
      <c r="AC72" s="477"/>
      <c r="AD72" s="477" t="s">
        <v>302</v>
      </c>
      <c r="AE72" s="477" t="s">
        <v>303</v>
      </c>
      <c r="AF72" s="482"/>
      <c r="AG72" s="480" t="str">
        <f>Fuente!AB76</f>
        <v>SECRETARÍA DE SALUD</v>
      </c>
      <c r="AH72" s="81"/>
      <c r="AI72" s="81"/>
      <c r="AJ72" s="81"/>
    </row>
    <row r="73" spans="1:36" ht="94.5" x14ac:dyDescent="0.2">
      <c r="A73" s="76">
        <v>1</v>
      </c>
      <c r="B73" s="350" t="s">
        <v>1746</v>
      </c>
      <c r="C73" s="351" t="s">
        <v>293</v>
      </c>
      <c r="D73" s="350" t="s">
        <v>294</v>
      </c>
      <c r="E73" s="351" t="s">
        <v>326</v>
      </c>
      <c r="F73" s="350" t="s">
        <v>327</v>
      </c>
      <c r="G73" s="351" t="s">
        <v>328</v>
      </c>
      <c r="H73" s="351" t="s">
        <v>329</v>
      </c>
      <c r="I73" s="350" t="s">
        <v>329</v>
      </c>
      <c r="J73" s="351" t="s">
        <v>330</v>
      </c>
      <c r="K73" s="351" t="s">
        <v>331</v>
      </c>
      <c r="L73" s="351" t="s">
        <v>332</v>
      </c>
      <c r="M73" s="350" t="s">
        <v>333</v>
      </c>
      <c r="N73" s="350" t="s">
        <v>333</v>
      </c>
      <c r="O73" s="76"/>
      <c r="P73" s="76">
        <v>8</v>
      </c>
      <c r="Q73" s="485">
        <f>Fuente!AT77</f>
        <v>2</v>
      </c>
      <c r="R73" s="485">
        <f>Fuente!AU77</f>
        <v>0</v>
      </c>
      <c r="S73" s="485">
        <f>Fuente!AV77</f>
        <v>0</v>
      </c>
      <c r="T73" s="485">
        <f>Fuente!AW77</f>
        <v>0</v>
      </c>
      <c r="U73" s="467">
        <f>Fuente!AM77</f>
        <v>0.25</v>
      </c>
      <c r="V73" s="485">
        <f>Fuente!AY77</f>
        <v>2</v>
      </c>
      <c r="W73" s="485">
        <f>Fuente!AZ77</f>
        <v>0</v>
      </c>
      <c r="X73" s="485">
        <f>Fuente!BA77</f>
        <v>0</v>
      </c>
      <c r="Y73" s="485">
        <f>Fuente!BB77</f>
        <v>0</v>
      </c>
      <c r="Z73" s="485">
        <f>Fuente!BC77</f>
        <v>0</v>
      </c>
      <c r="AA73" s="467">
        <f>Fuente!BD77</f>
        <v>0</v>
      </c>
      <c r="AB73" s="480" t="s">
        <v>49</v>
      </c>
      <c r="AC73" s="477"/>
      <c r="AD73" s="477" t="s">
        <v>302</v>
      </c>
      <c r="AE73" s="477" t="s">
        <v>303</v>
      </c>
      <c r="AF73" s="482"/>
      <c r="AG73" s="480" t="str">
        <f>Fuente!AB77</f>
        <v>SECRETARÍA DE SALUD</v>
      </c>
      <c r="AH73" s="81"/>
      <c r="AI73" s="81"/>
      <c r="AJ73" s="81"/>
    </row>
    <row r="74" spans="1:36" ht="94.5" x14ac:dyDescent="0.2">
      <c r="A74" s="76">
        <v>1</v>
      </c>
      <c r="B74" s="350" t="s">
        <v>1746</v>
      </c>
      <c r="C74" s="351" t="s">
        <v>293</v>
      </c>
      <c r="D74" s="350" t="s">
        <v>294</v>
      </c>
      <c r="E74" s="351" t="s">
        <v>326</v>
      </c>
      <c r="F74" s="350" t="s">
        <v>327</v>
      </c>
      <c r="G74" s="351" t="s">
        <v>334</v>
      </c>
      <c r="H74" s="351" t="s">
        <v>335</v>
      </c>
      <c r="I74" s="350" t="s">
        <v>335</v>
      </c>
      <c r="J74" s="351" t="s">
        <v>336</v>
      </c>
      <c r="K74" s="351" t="s">
        <v>331</v>
      </c>
      <c r="L74" s="351" t="s">
        <v>337</v>
      </c>
      <c r="M74" s="350" t="s">
        <v>338</v>
      </c>
      <c r="N74" s="350" t="s">
        <v>338</v>
      </c>
      <c r="O74" s="76"/>
      <c r="P74" s="76">
        <v>8</v>
      </c>
      <c r="Q74" s="485">
        <f>Fuente!AT78</f>
        <v>1</v>
      </c>
      <c r="R74" s="485">
        <f>Fuente!AU78</f>
        <v>0</v>
      </c>
      <c r="S74" s="485">
        <f>Fuente!AV78</f>
        <v>0</v>
      </c>
      <c r="T74" s="485">
        <f>Fuente!AW78</f>
        <v>0</v>
      </c>
      <c r="U74" s="467">
        <f>Fuente!AM78</f>
        <v>0.125</v>
      </c>
      <c r="V74" s="485">
        <f>Fuente!AY78</f>
        <v>2</v>
      </c>
      <c r="W74" s="485">
        <f>Fuente!AZ78</f>
        <v>0</v>
      </c>
      <c r="X74" s="485">
        <f>Fuente!BA78</f>
        <v>0</v>
      </c>
      <c r="Y74" s="485">
        <f>Fuente!BB78</f>
        <v>0</v>
      </c>
      <c r="Z74" s="485">
        <f>Fuente!BC78</f>
        <v>0</v>
      </c>
      <c r="AA74" s="467">
        <f>Fuente!BD78</f>
        <v>0</v>
      </c>
      <c r="AB74" s="480" t="s">
        <v>49</v>
      </c>
      <c r="AC74" s="477"/>
      <c r="AD74" s="477" t="s">
        <v>302</v>
      </c>
      <c r="AE74" s="477" t="s">
        <v>303</v>
      </c>
      <c r="AF74" s="482"/>
      <c r="AG74" s="480" t="str">
        <f>Fuente!AB78</f>
        <v>SECRETARÍA DE SALUD</v>
      </c>
      <c r="AH74" s="81"/>
      <c r="AI74" s="81"/>
      <c r="AJ74" s="81"/>
    </row>
    <row r="75" spans="1:36" ht="47.25" x14ac:dyDescent="0.2">
      <c r="A75" s="76">
        <v>1</v>
      </c>
      <c r="B75" s="350" t="s">
        <v>1746</v>
      </c>
      <c r="C75" s="351" t="s">
        <v>293</v>
      </c>
      <c r="D75" s="350" t="s">
        <v>294</v>
      </c>
      <c r="E75" s="351" t="s">
        <v>326</v>
      </c>
      <c r="F75" s="350" t="s">
        <v>327</v>
      </c>
      <c r="G75" s="351" t="s">
        <v>339</v>
      </c>
      <c r="H75" s="352" t="s">
        <v>340</v>
      </c>
      <c r="I75" s="350" t="s">
        <v>340</v>
      </c>
      <c r="J75" s="351" t="s">
        <v>341</v>
      </c>
      <c r="K75" s="351" t="s">
        <v>342</v>
      </c>
      <c r="L75" s="351" t="s">
        <v>343</v>
      </c>
      <c r="M75" s="350" t="s">
        <v>344</v>
      </c>
      <c r="N75" s="350" t="s">
        <v>1914</v>
      </c>
      <c r="O75" s="76"/>
      <c r="P75" s="76">
        <v>45</v>
      </c>
      <c r="Q75" s="485">
        <f>Fuente!AT79</f>
        <v>10</v>
      </c>
      <c r="R75" s="485">
        <f>Fuente!AU79</f>
        <v>0</v>
      </c>
      <c r="S75" s="485">
        <f>Fuente!AV79</f>
        <v>0</v>
      </c>
      <c r="T75" s="485">
        <f>Fuente!AW79</f>
        <v>0</v>
      </c>
      <c r="U75" s="467">
        <f>Fuente!AM79</f>
        <v>0.22222222222222221</v>
      </c>
      <c r="V75" s="485">
        <f>Fuente!AY79</f>
        <v>10</v>
      </c>
      <c r="W75" s="485">
        <f>Fuente!AZ79</f>
        <v>0</v>
      </c>
      <c r="X75" s="485">
        <f>Fuente!BA79</f>
        <v>0</v>
      </c>
      <c r="Y75" s="485">
        <f>Fuente!BB79</f>
        <v>0</v>
      </c>
      <c r="Z75" s="485">
        <f>Fuente!BC79</f>
        <v>0</v>
      </c>
      <c r="AA75" s="467">
        <f>Fuente!BD79</f>
        <v>0</v>
      </c>
      <c r="AB75" s="480" t="s">
        <v>49</v>
      </c>
      <c r="AC75" s="477"/>
      <c r="AD75" s="477"/>
      <c r="AE75" s="477"/>
      <c r="AF75" s="482"/>
      <c r="AG75" s="480" t="str">
        <f>Fuente!AB79</f>
        <v>SECRETARÍA DE SALUD</v>
      </c>
      <c r="AH75" s="81"/>
      <c r="AI75" s="81"/>
      <c r="AJ75" s="81"/>
    </row>
    <row r="76" spans="1:36" ht="94.5" x14ac:dyDescent="0.2">
      <c r="A76" s="76">
        <v>1</v>
      </c>
      <c r="B76" s="350" t="s">
        <v>1746</v>
      </c>
      <c r="C76" s="351" t="s">
        <v>293</v>
      </c>
      <c r="D76" s="350" t="s">
        <v>294</v>
      </c>
      <c r="E76" s="351" t="s">
        <v>326</v>
      </c>
      <c r="F76" s="350" t="s">
        <v>327</v>
      </c>
      <c r="G76" s="351" t="s">
        <v>345</v>
      </c>
      <c r="H76" s="352" t="s">
        <v>340</v>
      </c>
      <c r="I76" s="350" t="s">
        <v>340</v>
      </c>
      <c r="J76" s="351" t="s">
        <v>346</v>
      </c>
      <c r="K76" s="351" t="s">
        <v>347</v>
      </c>
      <c r="L76" s="351" t="s">
        <v>348</v>
      </c>
      <c r="M76" s="350" t="s">
        <v>349</v>
      </c>
      <c r="N76" s="350" t="s">
        <v>349</v>
      </c>
      <c r="O76" s="76"/>
      <c r="P76" s="76">
        <v>80</v>
      </c>
      <c r="Q76" s="485">
        <f>Fuente!AT80</f>
        <v>16</v>
      </c>
      <c r="R76" s="485">
        <f>Fuente!AU80</f>
        <v>0</v>
      </c>
      <c r="S76" s="485">
        <f>Fuente!AV80</f>
        <v>0</v>
      </c>
      <c r="T76" s="485">
        <f>Fuente!AW80</f>
        <v>0</v>
      </c>
      <c r="U76" s="467">
        <f>Fuente!AM80</f>
        <v>0.2</v>
      </c>
      <c r="V76" s="485">
        <f>Fuente!AY80</f>
        <v>20</v>
      </c>
      <c r="W76" s="485">
        <f>Fuente!AZ80</f>
        <v>0</v>
      </c>
      <c r="X76" s="485">
        <f>Fuente!BA80</f>
        <v>0</v>
      </c>
      <c r="Y76" s="485">
        <f>Fuente!BB80</f>
        <v>0</v>
      </c>
      <c r="Z76" s="485">
        <f>Fuente!BC80</f>
        <v>0</v>
      </c>
      <c r="AA76" s="467">
        <f>Fuente!BD80</f>
        <v>0</v>
      </c>
      <c r="AB76" s="480" t="s">
        <v>49</v>
      </c>
      <c r="AC76" s="477"/>
      <c r="AD76" s="477"/>
      <c r="AE76" s="477"/>
      <c r="AF76" s="482"/>
      <c r="AG76" s="480" t="str">
        <f>Fuente!AB80</f>
        <v>SECRETARÍA DE SALUD</v>
      </c>
      <c r="AH76" s="81"/>
      <c r="AI76" s="81"/>
      <c r="AJ76" s="81"/>
    </row>
    <row r="77" spans="1:36" ht="126" x14ac:dyDescent="0.2">
      <c r="A77" s="76">
        <v>1</v>
      </c>
      <c r="B77" s="350" t="s">
        <v>1746</v>
      </c>
      <c r="C77" s="351" t="s">
        <v>293</v>
      </c>
      <c r="D77" s="350" t="s">
        <v>294</v>
      </c>
      <c r="E77" s="351" t="s">
        <v>326</v>
      </c>
      <c r="F77" s="350" t="s">
        <v>327</v>
      </c>
      <c r="G77" s="351" t="s">
        <v>350</v>
      </c>
      <c r="H77" s="351" t="s">
        <v>351</v>
      </c>
      <c r="I77" s="350" t="s">
        <v>351</v>
      </c>
      <c r="J77" s="351" t="s">
        <v>352</v>
      </c>
      <c r="K77" s="351" t="s">
        <v>331</v>
      </c>
      <c r="L77" s="351" t="s">
        <v>353</v>
      </c>
      <c r="M77" s="350" t="s">
        <v>354</v>
      </c>
      <c r="N77" s="350" t="s">
        <v>354</v>
      </c>
      <c r="O77" s="76"/>
      <c r="P77" s="76">
        <v>24</v>
      </c>
      <c r="Q77" s="485">
        <f>Fuente!AT81</f>
        <v>6</v>
      </c>
      <c r="R77" s="485">
        <f>Fuente!AU81</f>
        <v>0</v>
      </c>
      <c r="S77" s="485">
        <f>Fuente!AV81</f>
        <v>0</v>
      </c>
      <c r="T77" s="485">
        <f>Fuente!AW81</f>
        <v>0</v>
      </c>
      <c r="U77" s="467">
        <f>Fuente!AM81</f>
        <v>0.25</v>
      </c>
      <c r="V77" s="485">
        <f>Fuente!AY81</f>
        <v>6</v>
      </c>
      <c r="W77" s="485">
        <f>Fuente!AZ81</f>
        <v>0</v>
      </c>
      <c r="X77" s="485">
        <f>Fuente!BA81</f>
        <v>0</v>
      </c>
      <c r="Y77" s="485">
        <f>Fuente!BB81</f>
        <v>0</v>
      </c>
      <c r="Z77" s="485">
        <f>Fuente!BC81</f>
        <v>0</v>
      </c>
      <c r="AA77" s="467">
        <f>Fuente!BD81</f>
        <v>0</v>
      </c>
      <c r="AB77" s="480" t="s">
        <v>49</v>
      </c>
      <c r="AC77" s="477"/>
      <c r="AD77" s="477" t="s">
        <v>302</v>
      </c>
      <c r="AE77" s="477" t="s">
        <v>303</v>
      </c>
      <c r="AF77" s="482"/>
      <c r="AG77" s="480" t="str">
        <f>Fuente!AB81</f>
        <v>SECRETARÍA DE SALUD</v>
      </c>
      <c r="AH77" s="81"/>
      <c r="AI77" s="81"/>
      <c r="AJ77" s="81"/>
    </row>
    <row r="78" spans="1:36" ht="157.5" x14ac:dyDescent="0.2">
      <c r="A78" s="76">
        <v>1</v>
      </c>
      <c r="B78" s="350" t="s">
        <v>1746</v>
      </c>
      <c r="C78" s="351" t="s">
        <v>293</v>
      </c>
      <c r="D78" s="350" t="s">
        <v>294</v>
      </c>
      <c r="E78" s="351" t="s">
        <v>326</v>
      </c>
      <c r="F78" s="350" t="s">
        <v>327</v>
      </c>
      <c r="G78" s="351" t="s">
        <v>350</v>
      </c>
      <c r="H78" s="351" t="s">
        <v>355</v>
      </c>
      <c r="I78" s="350" t="s">
        <v>355</v>
      </c>
      <c r="J78" s="351" t="s">
        <v>356</v>
      </c>
      <c r="K78" s="351" t="s">
        <v>331</v>
      </c>
      <c r="L78" s="351" t="s">
        <v>357</v>
      </c>
      <c r="M78" s="350" t="s">
        <v>358</v>
      </c>
      <c r="N78" s="350" t="s">
        <v>358</v>
      </c>
      <c r="O78" s="76"/>
      <c r="P78" s="76">
        <v>8</v>
      </c>
      <c r="Q78" s="485">
        <f>Fuente!AT82</f>
        <v>0</v>
      </c>
      <c r="R78" s="485">
        <f>Fuente!AU82</f>
        <v>0</v>
      </c>
      <c r="S78" s="485">
        <f>Fuente!AV82</f>
        <v>0</v>
      </c>
      <c r="T78" s="485">
        <f>Fuente!AW82</f>
        <v>0</v>
      </c>
      <c r="U78" s="467">
        <f>Fuente!AM82</f>
        <v>0</v>
      </c>
      <c r="V78" s="485">
        <f>Fuente!AY82</f>
        <v>2</v>
      </c>
      <c r="W78" s="485">
        <f>Fuente!AZ82</f>
        <v>0</v>
      </c>
      <c r="X78" s="485">
        <f>Fuente!BA82</f>
        <v>0</v>
      </c>
      <c r="Y78" s="485">
        <f>Fuente!BB82</f>
        <v>0</v>
      </c>
      <c r="Z78" s="485">
        <f>Fuente!BC82</f>
        <v>0</v>
      </c>
      <c r="AA78" s="467">
        <f>Fuente!BD82</f>
        <v>0</v>
      </c>
      <c r="AB78" s="480" t="s">
        <v>49</v>
      </c>
      <c r="AC78" s="477"/>
      <c r="AD78" s="477"/>
      <c r="AE78" s="477"/>
      <c r="AF78" s="482"/>
      <c r="AG78" s="480" t="str">
        <f>Fuente!AB82</f>
        <v>SECRETARÍA DE SALUD</v>
      </c>
      <c r="AH78" s="81"/>
      <c r="AI78" s="81"/>
      <c r="AJ78" s="81"/>
    </row>
    <row r="79" spans="1:36" ht="126" x14ac:dyDescent="0.2">
      <c r="A79" s="76">
        <v>1</v>
      </c>
      <c r="B79" s="350" t="s">
        <v>1746</v>
      </c>
      <c r="C79" s="351" t="s">
        <v>293</v>
      </c>
      <c r="D79" s="350" t="s">
        <v>294</v>
      </c>
      <c r="E79" s="351" t="s">
        <v>359</v>
      </c>
      <c r="F79" s="350" t="s">
        <v>360</v>
      </c>
      <c r="G79" s="351" t="s">
        <v>361</v>
      </c>
      <c r="H79" s="351" t="s">
        <v>362</v>
      </c>
      <c r="I79" s="350" t="s">
        <v>362</v>
      </c>
      <c r="J79" s="351" t="s">
        <v>363</v>
      </c>
      <c r="K79" s="351" t="s">
        <v>331</v>
      </c>
      <c r="L79" s="351" t="s">
        <v>364</v>
      </c>
      <c r="M79" s="350" t="s">
        <v>1993</v>
      </c>
      <c r="N79" s="350" t="s">
        <v>365</v>
      </c>
      <c r="O79" s="76"/>
      <c r="P79" s="76">
        <v>45</v>
      </c>
      <c r="Q79" s="485">
        <f>Fuente!AT83</f>
        <v>0</v>
      </c>
      <c r="R79" s="485">
        <f>Fuente!AU83</f>
        <v>0</v>
      </c>
      <c r="S79" s="485">
        <f>Fuente!AV83</f>
        <v>0</v>
      </c>
      <c r="T79" s="485">
        <f>Fuente!AW83</f>
        <v>0</v>
      </c>
      <c r="U79" s="467">
        <f>Fuente!AM83</f>
        <v>0</v>
      </c>
      <c r="V79" s="485">
        <f>Fuente!AY83</f>
        <v>15</v>
      </c>
      <c r="W79" s="485">
        <f>Fuente!AZ83</f>
        <v>0</v>
      </c>
      <c r="X79" s="485">
        <f>Fuente!BA83</f>
        <v>0</v>
      </c>
      <c r="Y79" s="485">
        <f>Fuente!BB83</f>
        <v>0</v>
      </c>
      <c r="Z79" s="485">
        <f>Fuente!BC83</f>
        <v>0</v>
      </c>
      <c r="AA79" s="467">
        <f>Fuente!BD83</f>
        <v>0</v>
      </c>
      <c r="AB79" s="480" t="s">
        <v>49</v>
      </c>
      <c r="AC79" s="477"/>
      <c r="AD79" s="477" t="s">
        <v>302</v>
      </c>
      <c r="AE79" s="477" t="s">
        <v>303</v>
      </c>
      <c r="AF79" s="482"/>
      <c r="AG79" s="480" t="str">
        <f>Fuente!AB83</f>
        <v>SECRETARÍA DE SALUD</v>
      </c>
      <c r="AH79" s="81"/>
      <c r="AI79" s="81"/>
      <c r="AJ79" s="81"/>
    </row>
    <row r="80" spans="1:36" ht="94.5" x14ac:dyDescent="0.2">
      <c r="A80" s="76">
        <v>1</v>
      </c>
      <c r="B80" s="350" t="s">
        <v>1746</v>
      </c>
      <c r="C80" s="351" t="s">
        <v>293</v>
      </c>
      <c r="D80" s="350" t="s">
        <v>294</v>
      </c>
      <c r="E80" s="351" t="s">
        <v>359</v>
      </c>
      <c r="F80" s="350" t="s">
        <v>360</v>
      </c>
      <c r="G80" s="351" t="s">
        <v>366</v>
      </c>
      <c r="H80" s="351" t="s">
        <v>367</v>
      </c>
      <c r="I80" s="350" t="s">
        <v>367</v>
      </c>
      <c r="J80" s="351" t="s">
        <v>368</v>
      </c>
      <c r="K80" s="351" t="s">
        <v>331</v>
      </c>
      <c r="L80" s="351" t="s">
        <v>369</v>
      </c>
      <c r="M80" s="350" t="s">
        <v>370</v>
      </c>
      <c r="N80" s="350" t="s">
        <v>370</v>
      </c>
      <c r="O80" s="76"/>
      <c r="P80" s="76">
        <v>45</v>
      </c>
      <c r="Q80" s="485">
        <f>Fuente!AT84</f>
        <v>15</v>
      </c>
      <c r="R80" s="485">
        <f>Fuente!AU84</f>
        <v>0</v>
      </c>
      <c r="S80" s="485">
        <f>Fuente!AV84</f>
        <v>0</v>
      </c>
      <c r="T80" s="485">
        <f>Fuente!AW84</f>
        <v>0</v>
      </c>
      <c r="U80" s="467">
        <f>Fuente!AM84</f>
        <v>0.33333333333333331</v>
      </c>
      <c r="V80" s="485">
        <f>Fuente!AY84</f>
        <v>15</v>
      </c>
      <c r="W80" s="485">
        <f>Fuente!AZ84</f>
        <v>0</v>
      </c>
      <c r="X80" s="485">
        <f>Fuente!BA84</f>
        <v>0</v>
      </c>
      <c r="Y80" s="485">
        <f>Fuente!BB84</f>
        <v>0</v>
      </c>
      <c r="Z80" s="485">
        <f>Fuente!BC84</f>
        <v>0</v>
      </c>
      <c r="AA80" s="467">
        <f>Fuente!BD84</f>
        <v>0</v>
      </c>
      <c r="AB80" s="480" t="s">
        <v>49</v>
      </c>
      <c r="AC80" s="477"/>
      <c r="AD80" s="477" t="s">
        <v>302</v>
      </c>
      <c r="AE80" s="477" t="s">
        <v>303</v>
      </c>
      <c r="AF80" s="482"/>
      <c r="AG80" s="480" t="str">
        <f>Fuente!AB84</f>
        <v>SECRETARÍA DE SALUD</v>
      </c>
      <c r="AH80" s="81"/>
      <c r="AI80" s="81"/>
      <c r="AJ80" s="81"/>
    </row>
    <row r="81" spans="1:36" ht="94.5" x14ac:dyDescent="0.2">
      <c r="A81" s="76">
        <v>1</v>
      </c>
      <c r="B81" s="350" t="s">
        <v>1746</v>
      </c>
      <c r="C81" s="351" t="s">
        <v>293</v>
      </c>
      <c r="D81" s="350" t="s">
        <v>294</v>
      </c>
      <c r="E81" s="351" t="s">
        <v>359</v>
      </c>
      <c r="F81" s="350" t="s">
        <v>360</v>
      </c>
      <c r="G81" s="351" t="s">
        <v>371</v>
      </c>
      <c r="H81" s="352" t="s">
        <v>372</v>
      </c>
      <c r="I81" s="350" t="s">
        <v>372</v>
      </c>
      <c r="J81" s="351" t="s">
        <v>373</v>
      </c>
      <c r="K81" s="351" t="s">
        <v>331</v>
      </c>
      <c r="L81" s="351" t="s">
        <v>374</v>
      </c>
      <c r="M81" s="350" t="s">
        <v>375</v>
      </c>
      <c r="N81" s="350" t="s">
        <v>375</v>
      </c>
      <c r="O81" s="76"/>
      <c r="P81" s="76">
        <v>12</v>
      </c>
      <c r="Q81" s="485">
        <f>Fuente!AT85</f>
        <v>3</v>
      </c>
      <c r="R81" s="485">
        <f>Fuente!AU85</f>
        <v>0</v>
      </c>
      <c r="S81" s="485">
        <f>Fuente!AV85</f>
        <v>0</v>
      </c>
      <c r="T81" s="485">
        <f>Fuente!AW85</f>
        <v>0</v>
      </c>
      <c r="U81" s="467">
        <f>Fuente!AM85</f>
        <v>0.25</v>
      </c>
      <c r="V81" s="485">
        <f>Fuente!AY85</f>
        <v>4</v>
      </c>
      <c r="W81" s="485">
        <f>Fuente!AZ85</f>
        <v>0</v>
      </c>
      <c r="X81" s="485">
        <f>Fuente!BA85</f>
        <v>0</v>
      </c>
      <c r="Y81" s="485">
        <f>Fuente!BB85</f>
        <v>0</v>
      </c>
      <c r="Z81" s="485">
        <f>Fuente!BC85</f>
        <v>0</v>
      </c>
      <c r="AA81" s="467">
        <f>Fuente!BD85</f>
        <v>0</v>
      </c>
      <c r="AB81" s="480" t="s">
        <v>49</v>
      </c>
      <c r="AC81" s="477"/>
      <c r="AD81" s="477" t="s">
        <v>302</v>
      </c>
      <c r="AE81" s="477" t="s">
        <v>303</v>
      </c>
      <c r="AF81" s="482"/>
      <c r="AG81" s="480" t="str">
        <f>Fuente!AB85</f>
        <v>SECRETARÍA DE SALUD</v>
      </c>
      <c r="AH81" s="81"/>
      <c r="AI81" s="81"/>
      <c r="AJ81" s="81"/>
    </row>
    <row r="82" spans="1:36" ht="110.25" x14ac:dyDescent="0.2">
      <c r="A82" s="76">
        <v>1</v>
      </c>
      <c r="B82" s="350" t="s">
        <v>1746</v>
      </c>
      <c r="C82" s="351" t="s">
        <v>293</v>
      </c>
      <c r="D82" s="350" t="s">
        <v>294</v>
      </c>
      <c r="E82" s="351" t="s">
        <v>359</v>
      </c>
      <c r="F82" s="350" t="s">
        <v>360</v>
      </c>
      <c r="G82" s="351" t="s">
        <v>371</v>
      </c>
      <c r="H82" s="352" t="s">
        <v>372</v>
      </c>
      <c r="I82" s="350" t="s">
        <v>372</v>
      </c>
      <c r="J82" s="351" t="s">
        <v>376</v>
      </c>
      <c r="K82" s="351" t="s">
        <v>331</v>
      </c>
      <c r="L82" s="351" t="s">
        <v>377</v>
      </c>
      <c r="M82" s="350" t="s">
        <v>378</v>
      </c>
      <c r="N82" s="350" t="s">
        <v>378</v>
      </c>
      <c r="O82" s="76"/>
      <c r="P82" s="76">
        <v>45</v>
      </c>
      <c r="Q82" s="485">
        <f>Fuente!AT86</f>
        <v>14</v>
      </c>
      <c r="R82" s="485">
        <f>Fuente!AU86</f>
        <v>0</v>
      </c>
      <c r="S82" s="485">
        <f>Fuente!AV86</f>
        <v>0</v>
      </c>
      <c r="T82" s="485">
        <f>Fuente!AW86</f>
        <v>0</v>
      </c>
      <c r="U82" s="467">
        <f>Fuente!AM86</f>
        <v>1</v>
      </c>
      <c r="V82" s="485">
        <f>Fuente!AY86</f>
        <v>45</v>
      </c>
      <c r="W82" s="485">
        <f>Fuente!AZ86</f>
        <v>11</v>
      </c>
      <c r="X82" s="485">
        <f>Fuente!BA86</f>
        <v>0</v>
      </c>
      <c r="Y82" s="485">
        <f>Fuente!BB86</f>
        <v>0</v>
      </c>
      <c r="Z82" s="485">
        <f>Fuente!BC86</f>
        <v>0</v>
      </c>
      <c r="AA82" s="467">
        <f>Fuente!BD86</f>
        <v>0.24444444444444444</v>
      </c>
      <c r="AB82" s="480" t="s">
        <v>78</v>
      </c>
      <c r="AC82" s="477"/>
      <c r="AD82" s="477" t="s">
        <v>302</v>
      </c>
      <c r="AE82" s="477" t="s">
        <v>303</v>
      </c>
      <c r="AF82" s="482"/>
      <c r="AG82" s="480" t="str">
        <f>Fuente!AB86</f>
        <v>SECRETARÍA DE SALUD</v>
      </c>
      <c r="AH82" s="81"/>
      <c r="AI82" s="81"/>
      <c r="AJ82" s="81"/>
    </row>
    <row r="83" spans="1:36" ht="78.75" x14ac:dyDescent="0.2">
      <c r="A83" s="76">
        <v>1</v>
      </c>
      <c r="B83" s="350" t="s">
        <v>1746</v>
      </c>
      <c r="C83" s="351" t="s">
        <v>293</v>
      </c>
      <c r="D83" s="350" t="s">
        <v>294</v>
      </c>
      <c r="E83" s="351" t="s">
        <v>379</v>
      </c>
      <c r="F83" s="350" t="s">
        <v>380</v>
      </c>
      <c r="G83" s="351" t="s">
        <v>381</v>
      </c>
      <c r="H83" s="351" t="s">
        <v>382</v>
      </c>
      <c r="I83" s="350" t="s">
        <v>382</v>
      </c>
      <c r="J83" s="351" t="s">
        <v>383</v>
      </c>
      <c r="K83" s="351" t="s">
        <v>384</v>
      </c>
      <c r="L83" s="351" t="s">
        <v>385</v>
      </c>
      <c r="M83" s="350" t="s">
        <v>386</v>
      </c>
      <c r="N83" s="350" t="s">
        <v>1932</v>
      </c>
      <c r="O83" s="76"/>
      <c r="P83" s="76">
        <v>5</v>
      </c>
      <c r="Q83" s="485">
        <f>Fuente!AT87</f>
        <v>0</v>
      </c>
      <c r="R83" s="485">
        <f>Fuente!AU87</f>
        <v>0</v>
      </c>
      <c r="S83" s="485">
        <f>Fuente!AV87</f>
        <v>0</v>
      </c>
      <c r="T83" s="485">
        <f>Fuente!AW87</f>
        <v>0</v>
      </c>
      <c r="U83" s="467">
        <f>Fuente!AM87</f>
        <v>0</v>
      </c>
      <c r="V83" s="485">
        <f>Fuente!AY87</f>
        <v>2</v>
      </c>
      <c r="W83" s="485">
        <f>Fuente!AZ87</f>
        <v>0</v>
      </c>
      <c r="X83" s="485">
        <f>Fuente!BA87</f>
        <v>0</v>
      </c>
      <c r="Y83" s="485">
        <f>Fuente!BB87</f>
        <v>0</v>
      </c>
      <c r="Z83" s="485">
        <f>Fuente!BC87</f>
        <v>0</v>
      </c>
      <c r="AA83" s="467">
        <f>Fuente!BD87</f>
        <v>0</v>
      </c>
      <c r="AB83" s="480" t="s">
        <v>49</v>
      </c>
      <c r="AC83" s="477"/>
      <c r="AD83" s="477" t="s">
        <v>302</v>
      </c>
      <c r="AE83" s="477" t="s">
        <v>303</v>
      </c>
      <c r="AF83" s="482"/>
      <c r="AG83" s="480" t="str">
        <f>Fuente!AB87</f>
        <v>SECRETARÍA DE SALUD</v>
      </c>
      <c r="AH83" s="81"/>
      <c r="AI83" s="81"/>
      <c r="AJ83" s="81"/>
    </row>
    <row r="84" spans="1:36" ht="110.25" x14ac:dyDescent="0.2">
      <c r="A84" s="76">
        <v>1</v>
      </c>
      <c r="B84" s="350" t="s">
        <v>1746</v>
      </c>
      <c r="C84" s="351" t="s">
        <v>293</v>
      </c>
      <c r="D84" s="350" t="s">
        <v>294</v>
      </c>
      <c r="E84" s="351" t="s">
        <v>379</v>
      </c>
      <c r="F84" s="350" t="s">
        <v>380</v>
      </c>
      <c r="G84" s="351" t="s">
        <v>387</v>
      </c>
      <c r="H84" s="352" t="s">
        <v>388</v>
      </c>
      <c r="I84" s="350" t="s">
        <v>388</v>
      </c>
      <c r="J84" s="351" t="s">
        <v>389</v>
      </c>
      <c r="K84" s="351" t="s">
        <v>390</v>
      </c>
      <c r="L84" s="351" t="s">
        <v>391</v>
      </c>
      <c r="M84" s="350" t="s">
        <v>392</v>
      </c>
      <c r="N84" s="350" t="s">
        <v>1933</v>
      </c>
      <c r="O84" s="76"/>
      <c r="P84" s="76">
        <v>30</v>
      </c>
      <c r="Q84" s="485">
        <f>Fuente!AT88</f>
        <v>6</v>
      </c>
      <c r="R84" s="485">
        <f>Fuente!AU88</f>
        <v>0</v>
      </c>
      <c r="S84" s="485">
        <f>Fuente!AV88</f>
        <v>0</v>
      </c>
      <c r="T84" s="485">
        <f>Fuente!AW88</f>
        <v>0</v>
      </c>
      <c r="U84" s="467">
        <f>Fuente!AM88</f>
        <v>0.2</v>
      </c>
      <c r="V84" s="485">
        <f>Fuente!AY88</f>
        <v>8</v>
      </c>
      <c r="W84" s="485">
        <f>Fuente!AZ88</f>
        <v>0</v>
      </c>
      <c r="X84" s="485">
        <f>Fuente!BA88</f>
        <v>0</v>
      </c>
      <c r="Y84" s="485">
        <f>Fuente!BB88</f>
        <v>0</v>
      </c>
      <c r="Z84" s="485">
        <f>Fuente!BC88</f>
        <v>0</v>
      </c>
      <c r="AA84" s="467">
        <f>Fuente!BD88</f>
        <v>0</v>
      </c>
      <c r="AB84" s="480" t="s">
        <v>49</v>
      </c>
      <c r="AC84" s="477"/>
      <c r="AD84" s="477"/>
      <c r="AE84" s="477"/>
      <c r="AF84" s="482"/>
      <c r="AG84" s="480" t="str">
        <f>Fuente!AB88</f>
        <v>SECRETARÍA DE SALUD</v>
      </c>
      <c r="AH84" s="81"/>
      <c r="AI84" s="81"/>
      <c r="AJ84" s="81"/>
    </row>
    <row r="85" spans="1:36" ht="78.75" x14ac:dyDescent="0.2">
      <c r="A85" s="76">
        <v>1</v>
      </c>
      <c r="B85" s="350" t="s">
        <v>1746</v>
      </c>
      <c r="C85" s="351" t="s">
        <v>293</v>
      </c>
      <c r="D85" s="350" t="s">
        <v>294</v>
      </c>
      <c r="E85" s="351" t="s">
        <v>379</v>
      </c>
      <c r="F85" s="350" t="s">
        <v>380</v>
      </c>
      <c r="G85" s="351" t="s">
        <v>387</v>
      </c>
      <c r="H85" s="352" t="s">
        <v>388</v>
      </c>
      <c r="I85" s="350" t="s">
        <v>388</v>
      </c>
      <c r="J85" s="351" t="s">
        <v>389</v>
      </c>
      <c r="K85" s="351" t="s">
        <v>390</v>
      </c>
      <c r="L85" s="351" t="s">
        <v>393</v>
      </c>
      <c r="M85" s="350" t="s">
        <v>394</v>
      </c>
      <c r="N85" s="350" t="s">
        <v>394</v>
      </c>
      <c r="O85" s="76"/>
      <c r="P85" s="76">
        <v>45</v>
      </c>
      <c r="Q85" s="485">
        <f>Fuente!AT89</f>
        <v>11.25</v>
      </c>
      <c r="R85" s="485">
        <f>Fuente!AU89</f>
        <v>0</v>
      </c>
      <c r="S85" s="485">
        <f>Fuente!AV89</f>
        <v>0</v>
      </c>
      <c r="T85" s="485">
        <f>Fuente!AW89</f>
        <v>0</v>
      </c>
      <c r="U85" s="467">
        <f>Fuente!AM89</f>
        <v>1</v>
      </c>
      <c r="V85" s="485">
        <f>Fuente!AY89</f>
        <v>45</v>
      </c>
      <c r="W85" s="485">
        <f>Fuente!AZ89</f>
        <v>0</v>
      </c>
      <c r="X85" s="485">
        <f>Fuente!BA89</f>
        <v>0</v>
      </c>
      <c r="Y85" s="485">
        <f>Fuente!BB89</f>
        <v>0</v>
      </c>
      <c r="Z85" s="485">
        <f>Fuente!BC89</f>
        <v>0</v>
      </c>
      <c r="AA85" s="467">
        <f>Fuente!BD89</f>
        <v>0</v>
      </c>
      <c r="AB85" s="480" t="s">
        <v>78</v>
      </c>
      <c r="AC85" s="477"/>
      <c r="AD85" s="477"/>
      <c r="AE85" s="477"/>
      <c r="AF85" s="482"/>
      <c r="AG85" s="480" t="str">
        <f>Fuente!AB89</f>
        <v>SECRETARÍA DE SALUD</v>
      </c>
      <c r="AH85" s="81"/>
      <c r="AI85" s="81"/>
      <c r="AJ85" s="81"/>
    </row>
    <row r="86" spans="1:36" ht="173.25" x14ac:dyDescent="0.2">
      <c r="A86" s="76">
        <v>1</v>
      </c>
      <c r="B86" s="350" t="s">
        <v>1746</v>
      </c>
      <c r="C86" s="351" t="s">
        <v>293</v>
      </c>
      <c r="D86" s="350" t="s">
        <v>294</v>
      </c>
      <c r="E86" s="351" t="s">
        <v>379</v>
      </c>
      <c r="F86" s="350" t="s">
        <v>380</v>
      </c>
      <c r="G86" s="351" t="s">
        <v>387</v>
      </c>
      <c r="H86" s="352" t="s">
        <v>388</v>
      </c>
      <c r="I86" s="350" t="s">
        <v>388</v>
      </c>
      <c r="J86" s="351" t="s">
        <v>389</v>
      </c>
      <c r="K86" s="351" t="s">
        <v>390</v>
      </c>
      <c r="L86" s="351" t="s">
        <v>395</v>
      </c>
      <c r="M86" s="350" t="s">
        <v>396</v>
      </c>
      <c r="N86" s="350" t="s">
        <v>396</v>
      </c>
      <c r="O86" s="76"/>
      <c r="P86" s="76">
        <v>100</v>
      </c>
      <c r="Q86" s="485">
        <f>Fuente!AT90</f>
        <v>25</v>
      </c>
      <c r="R86" s="485">
        <f>Fuente!AU90</f>
        <v>0</v>
      </c>
      <c r="S86" s="485">
        <f>Fuente!AV90</f>
        <v>0</v>
      </c>
      <c r="T86" s="485">
        <f>Fuente!AW90</f>
        <v>0</v>
      </c>
      <c r="U86" s="467">
        <f>Fuente!AM90</f>
        <v>1</v>
      </c>
      <c r="V86" s="485">
        <f>Fuente!AY90</f>
        <v>100</v>
      </c>
      <c r="W86" s="485">
        <f>Fuente!AZ90</f>
        <v>0</v>
      </c>
      <c r="X86" s="485">
        <f>Fuente!BA90</f>
        <v>0</v>
      </c>
      <c r="Y86" s="485">
        <f>Fuente!BB90</f>
        <v>0</v>
      </c>
      <c r="Z86" s="485">
        <f>Fuente!BC90</f>
        <v>0</v>
      </c>
      <c r="AA86" s="467">
        <f>Fuente!BD90</f>
        <v>0</v>
      </c>
      <c r="AB86" s="480" t="s">
        <v>78</v>
      </c>
      <c r="AC86" s="477"/>
      <c r="AD86" s="477"/>
      <c r="AE86" s="477"/>
      <c r="AF86" s="482"/>
      <c r="AG86" s="480" t="str">
        <f>Fuente!AB90</f>
        <v>SECRETARÍA DE SALUD</v>
      </c>
      <c r="AH86" s="81"/>
      <c r="AI86" s="81"/>
      <c r="AJ86" s="81"/>
    </row>
    <row r="87" spans="1:36" ht="78.75" x14ac:dyDescent="0.2">
      <c r="A87" s="76">
        <v>1</v>
      </c>
      <c r="B87" s="350" t="s">
        <v>1746</v>
      </c>
      <c r="C87" s="351" t="s">
        <v>293</v>
      </c>
      <c r="D87" s="350" t="s">
        <v>294</v>
      </c>
      <c r="E87" s="351" t="s">
        <v>379</v>
      </c>
      <c r="F87" s="350" t="s">
        <v>380</v>
      </c>
      <c r="G87" s="351" t="s">
        <v>397</v>
      </c>
      <c r="H87" s="352" t="s">
        <v>398</v>
      </c>
      <c r="I87" s="350" t="s">
        <v>398</v>
      </c>
      <c r="J87" s="351" t="s">
        <v>399</v>
      </c>
      <c r="K87" s="351" t="s">
        <v>399</v>
      </c>
      <c r="L87" s="351" t="s">
        <v>400</v>
      </c>
      <c r="M87" s="350" t="s">
        <v>401</v>
      </c>
      <c r="N87" s="350" t="s">
        <v>401</v>
      </c>
      <c r="O87" s="76"/>
      <c r="P87" s="76">
        <v>25</v>
      </c>
      <c r="Q87" s="485">
        <f>Fuente!AT91</f>
        <v>0</v>
      </c>
      <c r="R87" s="485">
        <f>Fuente!AU91</f>
        <v>0</v>
      </c>
      <c r="S87" s="485">
        <f>Fuente!AV91</f>
        <v>0</v>
      </c>
      <c r="T87" s="485">
        <f>Fuente!AW91</f>
        <v>0</v>
      </c>
      <c r="U87" s="467">
        <f>Fuente!AM91</f>
        <v>0</v>
      </c>
      <c r="V87" s="485">
        <f>Fuente!AY91</f>
        <v>7</v>
      </c>
      <c r="W87" s="485">
        <f>Fuente!AZ91</f>
        <v>0</v>
      </c>
      <c r="X87" s="485">
        <f>Fuente!BA91</f>
        <v>0</v>
      </c>
      <c r="Y87" s="485">
        <f>Fuente!BB91</f>
        <v>0</v>
      </c>
      <c r="Z87" s="485">
        <f>Fuente!BC91</f>
        <v>0</v>
      </c>
      <c r="AA87" s="467">
        <f>Fuente!BD91</f>
        <v>0</v>
      </c>
      <c r="AB87" s="480" t="s">
        <v>49</v>
      </c>
      <c r="AC87" s="477"/>
      <c r="AD87" s="477" t="s">
        <v>302</v>
      </c>
      <c r="AE87" s="477" t="s">
        <v>303</v>
      </c>
      <c r="AF87" s="482"/>
      <c r="AG87" s="480" t="str">
        <f>Fuente!AB91</f>
        <v>SECRETARÍA DE SALUD</v>
      </c>
      <c r="AH87" s="81"/>
      <c r="AI87" s="81"/>
      <c r="AJ87" s="81"/>
    </row>
    <row r="88" spans="1:36" ht="78.75" x14ac:dyDescent="0.2">
      <c r="A88" s="76">
        <v>1</v>
      </c>
      <c r="B88" s="350" t="s">
        <v>1746</v>
      </c>
      <c r="C88" s="351" t="s">
        <v>293</v>
      </c>
      <c r="D88" s="350" t="s">
        <v>294</v>
      </c>
      <c r="E88" s="351" t="s">
        <v>379</v>
      </c>
      <c r="F88" s="350" t="s">
        <v>380</v>
      </c>
      <c r="G88" s="351" t="s">
        <v>397</v>
      </c>
      <c r="H88" s="352" t="s">
        <v>398</v>
      </c>
      <c r="I88" s="350" t="s">
        <v>398</v>
      </c>
      <c r="J88" s="351" t="s">
        <v>399</v>
      </c>
      <c r="K88" s="351" t="s">
        <v>399</v>
      </c>
      <c r="L88" s="351" t="s">
        <v>402</v>
      </c>
      <c r="M88" s="350" t="s">
        <v>403</v>
      </c>
      <c r="N88" s="350" t="s">
        <v>1931</v>
      </c>
      <c r="O88" s="76"/>
      <c r="P88" s="76">
        <v>12</v>
      </c>
      <c r="Q88" s="485">
        <f>Fuente!AT92</f>
        <v>0</v>
      </c>
      <c r="R88" s="485">
        <f>Fuente!AU92</f>
        <v>0</v>
      </c>
      <c r="S88" s="485">
        <f>Fuente!AV92</f>
        <v>0</v>
      </c>
      <c r="T88" s="485">
        <f>Fuente!AW92</f>
        <v>0</v>
      </c>
      <c r="U88" s="467">
        <f>Fuente!AM92</f>
        <v>0</v>
      </c>
      <c r="V88" s="485">
        <f>Fuente!AY92</f>
        <v>12</v>
      </c>
      <c r="W88" s="485">
        <f>Fuente!AZ92</f>
        <v>0</v>
      </c>
      <c r="X88" s="485">
        <f>Fuente!BA92</f>
        <v>0</v>
      </c>
      <c r="Y88" s="485">
        <f>Fuente!BB92</f>
        <v>0</v>
      </c>
      <c r="Z88" s="485">
        <f>Fuente!BC92</f>
        <v>0</v>
      </c>
      <c r="AA88" s="467">
        <f>Fuente!BD92</f>
        <v>0</v>
      </c>
      <c r="AB88" s="480" t="s">
        <v>49</v>
      </c>
      <c r="AC88" s="477"/>
      <c r="AD88" s="477" t="s">
        <v>302</v>
      </c>
      <c r="AE88" s="477" t="s">
        <v>303</v>
      </c>
      <c r="AF88" s="482"/>
      <c r="AG88" s="480" t="str">
        <f>Fuente!AB92</f>
        <v>SECRETARÍA DE SALUD</v>
      </c>
      <c r="AH88" s="81"/>
      <c r="AI88" s="81"/>
      <c r="AJ88" s="81"/>
    </row>
    <row r="89" spans="1:36" ht="189" x14ac:dyDescent="0.2">
      <c r="A89" s="76">
        <v>1</v>
      </c>
      <c r="B89" s="350" t="s">
        <v>1746</v>
      </c>
      <c r="C89" s="351" t="s">
        <v>293</v>
      </c>
      <c r="D89" s="350" t="s">
        <v>294</v>
      </c>
      <c r="E89" s="351" t="s">
        <v>379</v>
      </c>
      <c r="F89" s="350" t="s">
        <v>380</v>
      </c>
      <c r="G89" s="351" t="s">
        <v>404</v>
      </c>
      <c r="H89" s="352" t="s">
        <v>405</v>
      </c>
      <c r="I89" s="350" t="s">
        <v>405</v>
      </c>
      <c r="J89" s="351">
        <v>15.5</v>
      </c>
      <c r="K89" s="351">
        <v>10</v>
      </c>
      <c r="L89" s="351" t="s">
        <v>406</v>
      </c>
      <c r="M89" s="350" t="s">
        <v>407</v>
      </c>
      <c r="N89" s="350" t="s">
        <v>1934</v>
      </c>
      <c r="O89" s="76"/>
      <c r="P89" s="76">
        <v>45</v>
      </c>
      <c r="Q89" s="485">
        <f>Fuente!AT93</f>
        <v>6.75</v>
      </c>
      <c r="R89" s="485">
        <f>Fuente!AU93</f>
        <v>0</v>
      </c>
      <c r="S89" s="485">
        <f>Fuente!AV93</f>
        <v>0</v>
      </c>
      <c r="T89" s="485">
        <f>Fuente!AW93</f>
        <v>0</v>
      </c>
      <c r="U89" s="467">
        <f>Fuente!AM93</f>
        <v>0.6</v>
      </c>
      <c r="V89" s="485">
        <f>Fuente!AY93</f>
        <v>45</v>
      </c>
      <c r="W89" s="485">
        <f>Fuente!AZ93</f>
        <v>0</v>
      </c>
      <c r="X89" s="485">
        <f>Fuente!BA93</f>
        <v>0</v>
      </c>
      <c r="Y89" s="485">
        <f>Fuente!BB93</f>
        <v>0</v>
      </c>
      <c r="Z89" s="485">
        <f>Fuente!BC93</f>
        <v>0</v>
      </c>
      <c r="AA89" s="467">
        <f>Fuente!BD93</f>
        <v>0</v>
      </c>
      <c r="AB89" s="480" t="s">
        <v>78</v>
      </c>
      <c r="AC89" s="477"/>
      <c r="AD89" s="477" t="s">
        <v>302</v>
      </c>
      <c r="AE89" s="477" t="s">
        <v>303</v>
      </c>
      <c r="AF89" s="482"/>
      <c r="AG89" s="480" t="str">
        <f>Fuente!AB93</f>
        <v>SECRETARÍA DE SALUD</v>
      </c>
      <c r="AH89" s="81"/>
      <c r="AI89" s="81"/>
      <c r="AJ89" s="81"/>
    </row>
    <row r="90" spans="1:36" ht="189" x14ac:dyDescent="0.2">
      <c r="A90" s="76">
        <v>1</v>
      </c>
      <c r="B90" s="350" t="s">
        <v>1746</v>
      </c>
      <c r="C90" s="351" t="s">
        <v>293</v>
      </c>
      <c r="D90" s="350" t="s">
        <v>294</v>
      </c>
      <c r="E90" s="351" t="s">
        <v>379</v>
      </c>
      <c r="F90" s="350" t="s">
        <v>380</v>
      </c>
      <c r="G90" s="351" t="s">
        <v>404</v>
      </c>
      <c r="H90" s="352" t="s">
        <v>405</v>
      </c>
      <c r="I90" s="350" t="s">
        <v>405</v>
      </c>
      <c r="J90" s="351">
        <v>15.5</v>
      </c>
      <c r="K90" s="351">
        <v>10</v>
      </c>
      <c r="L90" s="351" t="s">
        <v>408</v>
      </c>
      <c r="M90" s="350" t="s">
        <v>409</v>
      </c>
      <c r="N90" s="350" t="s">
        <v>1935</v>
      </c>
      <c r="O90" s="76"/>
      <c r="P90" s="76">
        <v>24</v>
      </c>
      <c r="Q90" s="485">
        <f>Fuente!AT94</f>
        <v>2.75</v>
      </c>
      <c r="R90" s="485">
        <f>Fuente!AU94</f>
        <v>0</v>
      </c>
      <c r="S90" s="485">
        <f>Fuente!AV94</f>
        <v>0</v>
      </c>
      <c r="T90" s="485">
        <f>Fuente!AW94</f>
        <v>0</v>
      </c>
      <c r="U90" s="467">
        <f>Fuente!AM94</f>
        <v>0.125</v>
      </c>
      <c r="V90" s="485">
        <f>Fuente!AY94</f>
        <v>12</v>
      </c>
      <c r="W90" s="485">
        <f>Fuente!AZ94</f>
        <v>8</v>
      </c>
      <c r="X90" s="485">
        <f>Fuente!BA94</f>
        <v>0</v>
      </c>
      <c r="Y90" s="485">
        <f>Fuente!BB94</f>
        <v>0</v>
      </c>
      <c r="Z90" s="485">
        <f>Fuente!BC94</f>
        <v>0</v>
      </c>
      <c r="AA90" s="467">
        <f>Fuente!BD94</f>
        <v>0.66666666666666663</v>
      </c>
      <c r="AB90" s="480" t="s">
        <v>78</v>
      </c>
      <c r="AC90" s="477"/>
      <c r="AD90" s="477" t="s">
        <v>302</v>
      </c>
      <c r="AE90" s="477" t="s">
        <v>303</v>
      </c>
      <c r="AF90" s="482"/>
      <c r="AG90" s="480" t="str">
        <f>Fuente!AB94</f>
        <v>SECRETARÍA DE SALUD</v>
      </c>
      <c r="AH90" s="81"/>
      <c r="AI90" s="81"/>
      <c r="AJ90" s="81"/>
    </row>
    <row r="91" spans="1:36" ht="189" x14ac:dyDescent="0.2">
      <c r="A91" s="76">
        <v>1</v>
      </c>
      <c r="B91" s="350" t="s">
        <v>1746</v>
      </c>
      <c r="C91" s="351" t="s">
        <v>293</v>
      </c>
      <c r="D91" s="350" t="s">
        <v>294</v>
      </c>
      <c r="E91" s="351" t="s">
        <v>379</v>
      </c>
      <c r="F91" s="350" t="s">
        <v>380</v>
      </c>
      <c r="G91" s="351" t="s">
        <v>404</v>
      </c>
      <c r="H91" s="352" t="s">
        <v>405</v>
      </c>
      <c r="I91" s="350" t="s">
        <v>405</v>
      </c>
      <c r="J91" s="351">
        <v>15.5</v>
      </c>
      <c r="K91" s="351">
        <v>10</v>
      </c>
      <c r="L91" s="351" t="s">
        <v>410</v>
      </c>
      <c r="M91" s="350" t="s">
        <v>411</v>
      </c>
      <c r="N91" s="350" t="s">
        <v>1936</v>
      </c>
      <c r="O91" s="76"/>
      <c r="P91" s="76">
        <v>45</v>
      </c>
      <c r="Q91" s="485">
        <f>Fuente!AT95</f>
        <v>23</v>
      </c>
      <c r="R91" s="485">
        <f>Fuente!AU95</f>
        <v>0</v>
      </c>
      <c r="S91" s="485">
        <f>Fuente!AV95</f>
        <v>0</v>
      </c>
      <c r="T91" s="485">
        <f>Fuente!AW95</f>
        <v>0</v>
      </c>
      <c r="U91" s="467">
        <f>Fuente!AM95</f>
        <v>0.51111111111111107</v>
      </c>
      <c r="V91" s="485">
        <f>Fuente!AY95</f>
        <v>45</v>
      </c>
      <c r="W91" s="485">
        <f>Fuente!AZ95</f>
        <v>0</v>
      </c>
      <c r="X91" s="485">
        <f>Fuente!BA95</f>
        <v>0</v>
      </c>
      <c r="Y91" s="485">
        <f>Fuente!BB95</f>
        <v>0</v>
      </c>
      <c r="Z91" s="485">
        <f>Fuente!BC95</f>
        <v>0</v>
      </c>
      <c r="AA91" s="467">
        <f>Fuente!BD95</f>
        <v>0</v>
      </c>
      <c r="AB91" s="480" t="s">
        <v>412</v>
      </c>
      <c r="AC91" s="477"/>
      <c r="AD91" s="477" t="s">
        <v>302</v>
      </c>
      <c r="AE91" s="477" t="s">
        <v>303</v>
      </c>
      <c r="AF91" s="482"/>
      <c r="AG91" s="480" t="str">
        <f>Fuente!AB95</f>
        <v>SECRETARÍA DE SALUD</v>
      </c>
      <c r="AH91" s="81"/>
      <c r="AI91" s="81"/>
      <c r="AJ91" s="81"/>
    </row>
    <row r="92" spans="1:36" ht="110.25" x14ac:dyDescent="0.2">
      <c r="A92" s="76">
        <v>1</v>
      </c>
      <c r="B92" s="350" t="s">
        <v>1746</v>
      </c>
      <c r="C92" s="351" t="s">
        <v>293</v>
      </c>
      <c r="D92" s="350" t="s">
        <v>294</v>
      </c>
      <c r="E92" s="351" t="s">
        <v>413</v>
      </c>
      <c r="F92" s="350" t="s">
        <v>414</v>
      </c>
      <c r="G92" s="351" t="s">
        <v>415</v>
      </c>
      <c r="H92" s="351" t="s">
        <v>416</v>
      </c>
      <c r="I92" s="350" t="s">
        <v>416</v>
      </c>
      <c r="J92" s="351" t="s">
        <v>417</v>
      </c>
      <c r="K92" s="351" t="s">
        <v>417</v>
      </c>
      <c r="L92" s="351" t="s">
        <v>418</v>
      </c>
      <c r="M92" s="350" t="s">
        <v>419</v>
      </c>
      <c r="N92" s="350" t="s">
        <v>1937</v>
      </c>
      <c r="O92" s="76"/>
      <c r="P92" s="76">
        <v>80</v>
      </c>
      <c r="Q92" s="485">
        <f>Fuente!AT96</f>
        <v>73</v>
      </c>
      <c r="R92" s="485">
        <f>Fuente!AU96</f>
        <v>0</v>
      </c>
      <c r="S92" s="485">
        <f>Fuente!AV96</f>
        <v>0</v>
      </c>
      <c r="T92" s="485">
        <f>Fuente!AW96</f>
        <v>0</v>
      </c>
      <c r="U92" s="467">
        <f>Fuente!AM96</f>
        <v>0.9</v>
      </c>
      <c r="V92" s="485">
        <f>Fuente!AY96</f>
        <v>36</v>
      </c>
      <c r="W92" s="485">
        <f>Fuente!AZ96</f>
        <v>1</v>
      </c>
      <c r="X92" s="485">
        <f>Fuente!BA96</f>
        <v>0</v>
      </c>
      <c r="Y92" s="485">
        <f>Fuente!BB96</f>
        <v>0</v>
      </c>
      <c r="Z92" s="485">
        <f>Fuente!BC96</f>
        <v>0</v>
      </c>
      <c r="AA92" s="467">
        <f>Fuente!BD96</f>
        <v>2.7777777777777776E-2</v>
      </c>
      <c r="AB92" s="480" t="s">
        <v>412</v>
      </c>
      <c r="AC92" s="477"/>
      <c r="AD92" s="477" t="s">
        <v>302</v>
      </c>
      <c r="AE92" s="477" t="s">
        <v>303</v>
      </c>
      <c r="AF92" s="482"/>
      <c r="AG92" s="480" t="str">
        <f>Fuente!AB96</f>
        <v>SECRETARÍA DE SALUD</v>
      </c>
      <c r="AH92" s="94"/>
      <c r="AI92" s="94"/>
      <c r="AJ92" s="81"/>
    </row>
    <row r="93" spans="1:36" ht="110.25" x14ac:dyDescent="0.2">
      <c r="A93" s="76">
        <v>1</v>
      </c>
      <c r="B93" s="350" t="s">
        <v>1746</v>
      </c>
      <c r="C93" s="351" t="s">
        <v>293</v>
      </c>
      <c r="D93" s="350" t="s">
        <v>294</v>
      </c>
      <c r="E93" s="351" t="s">
        <v>413</v>
      </c>
      <c r="F93" s="350" t="s">
        <v>414</v>
      </c>
      <c r="G93" s="351" t="s">
        <v>421</v>
      </c>
      <c r="H93" s="351" t="s">
        <v>422</v>
      </c>
      <c r="I93" s="350" t="s">
        <v>422</v>
      </c>
      <c r="J93" s="351" t="s">
        <v>423</v>
      </c>
      <c r="K93" s="351" t="s">
        <v>423</v>
      </c>
      <c r="L93" s="351" t="s">
        <v>424</v>
      </c>
      <c r="M93" s="350" t="s">
        <v>425</v>
      </c>
      <c r="N93" s="350" t="s">
        <v>425</v>
      </c>
      <c r="O93" s="76"/>
      <c r="P93" s="76">
        <v>40</v>
      </c>
      <c r="Q93" s="485">
        <f>Fuente!AT97</f>
        <v>8</v>
      </c>
      <c r="R93" s="485">
        <f>Fuente!AU97</f>
        <v>0</v>
      </c>
      <c r="S93" s="485">
        <f>Fuente!AV97</f>
        <v>0</v>
      </c>
      <c r="T93" s="485">
        <f>Fuente!AW97</f>
        <v>0</v>
      </c>
      <c r="U93" s="467">
        <f>Fuente!AM97</f>
        <v>0.125</v>
      </c>
      <c r="V93" s="485">
        <f>Fuente!AY97</f>
        <v>10</v>
      </c>
      <c r="W93" s="485">
        <f>Fuente!AZ97</f>
        <v>3</v>
      </c>
      <c r="X93" s="485">
        <f>Fuente!BA97</f>
        <v>0</v>
      </c>
      <c r="Y93" s="485">
        <f>Fuente!BB97</f>
        <v>0</v>
      </c>
      <c r="Z93" s="485">
        <f>Fuente!BC97</f>
        <v>0</v>
      </c>
      <c r="AA93" s="467">
        <f>Fuente!BD97</f>
        <v>0.3</v>
      </c>
      <c r="AB93" s="480" t="s">
        <v>420</v>
      </c>
      <c r="AC93" s="477"/>
      <c r="AD93" s="477" t="s">
        <v>302</v>
      </c>
      <c r="AE93" s="477" t="s">
        <v>303</v>
      </c>
      <c r="AF93" s="482"/>
      <c r="AG93" s="480" t="e">
        <f>Fuente!#REF!</f>
        <v>#REF!</v>
      </c>
      <c r="AH93" s="94"/>
      <c r="AI93" s="94"/>
      <c r="AJ93" s="81"/>
    </row>
    <row r="94" spans="1:36" ht="78.75" x14ac:dyDescent="0.2">
      <c r="A94" s="76">
        <v>1</v>
      </c>
      <c r="B94" s="350" t="s">
        <v>1746</v>
      </c>
      <c r="C94" s="351" t="s">
        <v>293</v>
      </c>
      <c r="D94" s="350" t="s">
        <v>294</v>
      </c>
      <c r="E94" s="351" t="s">
        <v>413</v>
      </c>
      <c r="F94" s="350" t="s">
        <v>414</v>
      </c>
      <c r="G94" s="351" t="s">
        <v>426</v>
      </c>
      <c r="H94" s="351" t="s">
        <v>427</v>
      </c>
      <c r="I94" s="350" t="s">
        <v>427</v>
      </c>
      <c r="J94" s="351">
        <v>3.87</v>
      </c>
      <c r="K94" s="351" t="s">
        <v>428</v>
      </c>
      <c r="L94" s="351" t="s">
        <v>429</v>
      </c>
      <c r="M94" s="350" t="s">
        <v>430</v>
      </c>
      <c r="N94" s="350" t="s">
        <v>430</v>
      </c>
      <c r="O94" s="76"/>
      <c r="P94" s="76">
        <v>32</v>
      </c>
      <c r="Q94" s="485">
        <f>Fuente!AT98</f>
        <v>10</v>
      </c>
      <c r="R94" s="485">
        <f>Fuente!AU98</f>
        <v>0</v>
      </c>
      <c r="S94" s="485">
        <f>Fuente!AV98</f>
        <v>0</v>
      </c>
      <c r="T94" s="485">
        <f>Fuente!AW98</f>
        <v>0</v>
      </c>
      <c r="U94" s="467">
        <f>Fuente!AM98</f>
        <v>0.25</v>
      </c>
      <c r="V94" s="485">
        <f>Fuente!AY98</f>
        <v>8</v>
      </c>
      <c r="W94" s="485">
        <f>Fuente!AZ98</f>
        <v>2</v>
      </c>
      <c r="X94" s="485">
        <f>Fuente!BA98</f>
        <v>0</v>
      </c>
      <c r="Y94" s="485">
        <f>Fuente!BB98</f>
        <v>0</v>
      </c>
      <c r="Z94" s="485">
        <f>Fuente!BC98</f>
        <v>0</v>
      </c>
      <c r="AA94" s="467">
        <f>Fuente!BD98</f>
        <v>0.25</v>
      </c>
      <c r="AB94" s="480" t="s">
        <v>412</v>
      </c>
      <c r="AC94" s="477"/>
      <c r="AD94" s="477" t="s">
        <v>302</v>
      </c>
      <c r="AE94" s="477" t="s">
        <v>303</v>
      </c>
      <c r="AF94" s="482"/>
      <c r="AG94" s="480" t="str">
        <f>Fuente!AB97</f>
        <v>SECRETARÍA DE SALUD</v>
      </c>
      <c r="AH94" s="81"/>
      <c r="AI94" s="81"/>
      <c r="AJ94" s="81"/>
    </row>
    <row r="95" spans="1:36" ht="94.5" x14ac:dyDescent="0.2">
      <c r="A95" s="76">
        <v>1</v>
      </c>
      <c r="B95" s="350" t="s">
        <v>1746</v>
      </c>
      <c r="C95" s="351" t="s">
        <v>293</v>
      </c>
      <c r="D95" s="350" t="s">
        <v>294</v>
      </c>
      <c r="E95" s="351" t="s">
        <v>413</v>
      </c>
      <c r="F95" s="350" t="s">
        <v>414</v>
      </c>
      <c r="G95" s="351" t="s">
        <v>431</v>
      </c>
      <c r="H95" s="351" t="s">
        <v>432</v>
      </c>
      <c r="I95" s="350" t="s">
        <v>432</v>
      </c>
      <c r="J95" s="351">
        <v>14.45</v>
      </c>
      <c r="K95" s="351"/>
      <c r="L95" s="351" t="s">
        <v>433</v>
      </c>
      <c r="M95" s="350" t="s">
        <v>434</v>
      </c>
      <c r="N95" s="350" t="s">
        <v>434</v>
      </c>
      <c r="O95" s="76"/>
      <c r="P95" s="76">
        <v>45</v>
      </c>
      <c r="Q95" s="485">
        <f>Fuente!AT99</f>
        <v>11.75</v>
      </c>
      <c r="R95" s="485">
        <f>Fuente!AU99</f>
        <v>0</v>
      </c>
      <c r="S95" s="485">
        <f>Fuente!AV99</f>
        <v>0</v>
      </c>
      <c r="T95" s="485">
        <f>Fuente!AW99</f>
        <v>0</v>
      </c>
      <c r="U95" s="467">
        <f>Fuente!AM99</f>
        <v>1</v>
      </c>
      <c r="V95" s="485">
        <f>Fuente!AY99</f>
        <v>45</v>
      </c>
      <c r="W95" s="485">
        <f>Fuente!AZ99</f>
        <v>2</v>
      </c>
      <c r="X95" s="485">
        <f>Fuente!BA99</f>
        <v>0</v>
      </c>
      <c r="Y95" s="485">
        <f>Fuente!BB99</f>
        <v>0</v>
      </c>
      <c r="Z95" s="485">
        <f>Fuente!BC99</f>
        <v>0</v>
      </c>
      <c r="AA95" s="467">
        <f>Fuente!BD99</f>
        <v>4.4444444444444446E-2</v>
      </c>
      <c r="AB95" s="480" t="s">
        <v>412</v>
      </c>
      <c r="AC95" s="477"/>
      <c r="AD95" s="477" t="s">
        <v>302</v>
      </c>
      <c r="AE95" s="477" t="s">
        <v>303</v>
      </c>
      <c r="AF95" s="482"/>
      <c r="AG95" s="480" t="str">
        <f>Fuente!AB98</f>
        <v>SECRETARÍA DE SALUD</v>
      </c>
      <c r="AH95" s="81"/>
      <c r="AI95" s="81"/>
      <c r="AJ95" s="81"/>
    </row>
    <row r="96" spans="1:36" ht="110.25" x14ac:dyDescent="0.2">
      <c r="A96" s="76">
        <v>1</v>
      </c>
      <c r="B96" s="350" t="s">
        <v>1746</v>
      </c>
      <c r="C96" s="351" t="s">
        <v>293</v>
      </c>
      <c r="D96" s="350" t="s">
        <v>294</v>
      </c>
      <c r="E96" s="351" t="s">
        <v>413</v>
      </c>
      <c r="F96" s="350" t="s">
        <v>414</v>
      </c>
      <c r="G96" s="351" t="s">
        <v>435</v>
      </c>
      <c r="H96" s="351" t="s">
        <v>436</v>
      </c>
      <c r="I96" s="350" t="s">
        <v>436</v>
      </c>
      <c r="J96" s="351">
        <v>0</v>
      </c>
      <c r="K96" s="351"/>
      <c r="L96" s="351" t="s">
        <v>437</v>
      </c>
      <c r="M96" s="350" t="s">
        <v>438</v>
      </c>
      <c r="N96" s="350" t="s">
        <v>438</v>
      </c>
      <c r="O96" s="76"/>
      <c r="P96" s="76">
        <v>45</v>
      </c>
      <c r="Q96" s="485">
        <f>Fuente!AT100</f>
        <v>47</v>
      </c>
      <c r="R96" s="485">
        <f>Fuente!AU100</f>
        <v>0</v>
      </c>
      <c r="S96" s="485">
        <f>Fuente!AV100</f>
        <v>0</v>
      </c>
      <c r="T96" s="485">
        <f>Fuente!AW100</f>
        <v>0</v>
      </c>
      <c r="U96" s="467">
        <f>Fuente!AM100</f>
        <v>1</v>
      </c>
      <c r="V96" s="485">
        <f>Fuente!AY100</f>
        <v>45</v>
      </c>
      <c r="W96" s="485">
        <f>Fuente!AZ100</f>
        <v>2</v>
      </c>
      <c r="X96" s="485">
        <f>Fuente!BA100</f>
        <v>0</v>
      </c>
      <c r="Y96" s="485">
        <f>Fuente!BB100</f>
        <v>0</v>
      </c>
      <c r="Z96" s="485">
        <f>Fuente!BC100</f>
        <v>0</v>
      </c>
      <c r="AA96" s="467">
        <f>Fuente!BD100</f>
        <v>4.4444444444444446E-2</v>
      </c>
      <c r="AB96" s="480" t="s">
        <v>420</v>
      </c>
      <c r="AC96" s="477"/>
      <c r="AD96" s="477" t="s">
        <v>302</v>
      </c>
      <c r="AE96" s="477" t="s">
        <v>303</v>
      </c>
      <c r="AF96" s="482"/>
      <c r="AG96" s="480" t="str">
        <f>Fuente!AB99</f>
        <v>SECRETARÍA DE SALUD</v>
      </c>
      <c r="AH96" s="81"/>
      <c r="AI96" s="81"/>
      <c r="AJ96" s="81"/>
    </row>
    <row r="97" spans="1:36" ht="94.5" x14ac:dyDescent="0.2">
      <c r="A97" s="76">
        <v>1</v>
      </c>
      <c r="B97" s="350" t="s">
        <v>1746</v>
      </c>
      <c r="C97" s="351" t="s">
        <v>293</v>
      </c>
      <c r="D97" s="350" t="s">
        <v>294</v>
      </c>
      <c r="E97" s="351" t="s">
        <v>413</v>
      </c>
      <c r="F97" s="350" t="s">
        <v>414</v>
      </c>
      <c r="G97" s="351" t="s">
        <v>439</v>
      </c>
      <c r="H97" s="351" t="s">
        <v>440</v>
      </c>
      <c r="I97" s="350" t="s">
        <v>440</v>
      </c>
      <c r="J97" s="351">
        <v>1.96</v>
      </c>
      <c r="K97" s="351">
        <v>50</v>
      </c>
      <c r="L97" s="351" t="s">
        <v>441</v>
      </c>
      <c r="M97" s="350" t="s">
        <v>442</v>
      </c>
      <c r="N97" s="350" t="s">
        <v>442</v>
      </c>
      <c r="O97" s="76"/>
      <c r="P97" s="76">
        <v>45</v>
      </c>
      <c r="Q97" s="485">
        <f>Fuente!AT101</f>
        <v>47</v>
      </c>
      <c r="R97" s="485">
        <f>Fuente!AU101</f>
        <v>0</v>
      </c>
      <c r="S97" s="485">
        <f>Fuente!AV101</f>
        <v>0</v>
      </c>
      <c r="T97" s="485">
        <f>Fuente!AW101</f>
        <v>0</v>
      </c>
      <c r="U97" s="467">
        <f>Fuente!AM101</f>
        <v>1</v>
      </c>
      <c r="V97" s="485">
        <f>Fuente!AY101</f>
        <v>45</v>
      </c>
      <c r="W97" s="485">
        <f>Fuente!AZ101</f>
        <v>2</v>
      </c>
      <c r="X97" s="485">
        <f>Fuente!BA101</f>
        <v>0</v>
      </c>
      <c r="Y97" s="485">
        <f>Fuente!BB101</f>
        <v>0</v>
      </c>
      <c r="Z97" s="485">
        <f>Fuente!BC101</f>
        <v>0</v>
      </c>
      <c r="AA97" s="467">
        <f>Fuente!BD101</f>
        <v>4.4444444444444446E-2</v>
      </c>
      <c r="AB97" s="480" t="s">
        <v>412</v>
      </c>
      <c r="AC97" s="477"/>
      <c r="AD97" s="477" t="s">
        <v>302</v>
      </c>
      <c r="AE97" s="477" t="s">
        <v>303</v>
      </c>
      <c r="AF97" s="482"/>
      <c r="AG97" s="480" t="str">
        <f>Fuente!AB100</f>
        <v>SECRETARÍA DE SALUD</v>
      </c>
      <c r="AH97" s="81"/>
      <c r="AI97" s="81"/>
      <c r="AJ97" s="81"/>
    </row>
    <row r="98" spans="1:36" ht="78.75" x14ac:dyDescent="0.2">
      <c r="A98" s="76">
        <v>1</v>
      </c>
      <c r="B98" s="350" t="s">
        <v>1746</v>
      </c>
      <c r="C98" s="351" t="s">
        <v>293</v>
      </c>
      <c r="D98" s="350" t="s">
        <v>294</v>
      </c>
      <c r="E98" s="351" t="s">
        <v>443</v>
      </c>
      <c r="F98" s="350" t="s">
        <v>1996</v>
      </c>
      <c r="G98" s="351" t="s">
        <v>445</v>
      </c>
      <c r="H98" s="351" t="s">
        <v>446</v>
      </c>
      <c r="I98" s="350" t="s">
        <v>446</v>
      </c>
      <c r="J98" s="351" t="s">
        <v>447</v>
      </c>
      <c r="K98" s="351">
        <v>1.32</v>
      </c>
      <c r="L98" s="351" t="s">
        <v>448</v>
      </c>
      <c r="M98" s="350" t="s">
        <v>449</v>
      </c>
      <c r="N98" s="350" t="s">
        <v>1938</v>
      </c>
      <c r="O98" s="76"/>
      <c r="P98" s="76">
        <v>45</v>
      </c>
      <c r="Q98" s="485">
        <f>Fuente!AT102</f>
        <v>11.25</v>
      </c>
      <c r="R98" s="485">
        <f>Fuente!AU102</f>
        <v>0</v>
      </c>
      <c r="S98" s="485">
        <f>Fuente!AV102</f>
        <v>0</v>
      </c>
      <c r="T98" s="485">
        <f>Fuente!AW102</f>
        <v>0</v>
      </c>
      <c r="U98" s="467">
        <f>Fuente!AM102</f>
        <v>1</v>
      </c>
      <c r="V98" s="485">
        <f>Fuente!AY102</f>
        <v>45</v>
      </c>
      <c r="W98" s="485">
        <f>Fuente!AZ102</f>
        <v>0</v>
      </c>
      <c r="X98" s="485">
        <f>Fuente!BA102</f>
        <v>0</v>
      </c>
      <c r="Y98" s="485">
        <f>Fuente!BB102</f>
        <v>0</v>
      </c>
      <c r="Z98" s="485">
        <f>Fuente!BC102</f>
        <v>0</v>
      </c>
      <c r="AA98" s="467">
        <f>Fuente!BD102</f>
        <v>0</v>
      </c>
      <c r="AB98" s="480" t="s">
        <v>412</v>
      </c>
      <c r="AC98" s="477"/>
      <c r="AD98" s="477" t="s">
        <v>302</v>
      </c>
      <c r="AE98" s="477" t="s">
        <v>303</v>
      </c>
      <c r="AF98" s="482"/>
      <c r="AG98" s="480" t="str">
        <f>Fuente!AB101</f>
        <v>SECRETARÍA DE SALUD</v>
      </c>
      <c r="AH98" s="81"/>
      <c r="AI98" s="81"/>
      <c r="AJ98" s="81"/>
    </row>
    <row r="99" spans="1:36" ht="94.5" x14ac:dyDescent="0.2">
      <c r="A99" s="76">
        <v>1</v>
      </c>
      <c r="B99" s="350" t="s">
        <v>1746</v>
      </c>
      <c r="C99" s="351" t="s">
        <v>293</v>
      </c>
      <c r="D99" s="350" t="s">
        <v>294</v>
      </c>
      <c r="E99" s="351" t="s">
        <v>443</v>
      </c>
      <c r="F99" s="350" t="s">
        <v>1996</v>
      </c>
      <c r="G99" s="351" t="s">
        <v>450</v>
      </c>
      <c r="H99" s="351" t="s">
        <v>451</v>
      </c>
      <c r="I99" s="350" t="s">
        <v>451</v>
      </c>
      <c r="J99" s="351" t="s">
        <v>452</v>
      </c>
      <c r="K99" s="351">
        <v>1.1000000000000001</v>
      </c>
      <c r="L99" s="351" t="s">
        <v>453</v>
      </c>
      <c r="M99" s="350" t="s">
        <v>454</v>
      </c>
      <c r="N99" s="350" t="s">
        <v>454</v>
      </c>
      <c r="O99" s="76"/>
      <c r="P99" s="76">
        <v>45</v>
      </c>
      <c r="Q99" s="485">
        <f>Fuente!AT103</f>
        <v>11.25</v>
      </c>
      <c r="R99" s="485">
        <f>Fuente!AU103</f>
        <v>0</v>
      </c>
      <c r="S99" s="485">
        <f>Fuente!AV103</f>
        <v>0</v>
      </c>
      <c r="T99" s="485">
        <f>Fuente!AW103</f>
        <v>0</v>
      </c>
      <c r="U99" s="467">
        <f>Fuente!AM103</f>
        <v>1</v>
      </c>
      <c r="V99" s="485">
        <f>Fuente!AY103</f>
        <v>45</v>
      </c>
      <c r="W99" s="485">
        <f>Fuente!AZ103</f>
        <v>0</v>
      </c>
      <c r="X99" s="485">
        <f>Fuente!BA103</f>
        <v>0</v>
      </c>
      <c r="Y99" s="485">
        <f>Fuente!BB103</f>
        <v>0</v>
      </c>
      <c r="Z99" s="485">
        <f>Fuente!BC103</f>
        <v>0</v>
      </c>
      <c r="AA99" s="467">
        <f>Fuente!BD103</f>
        <v>0</v>
      </c>
      <c r="AB99" s="480" t="s">
        <v>420</v>
      </c>
      <c r="AC99" s="477"/>
      <c r="AD99" s="477" t="s">
        <v>302</v>
      </c>
      <c r="AE99" s="477" t="s">
        <v>303</v>
      </c>
      <c r="AF99" s="482"/>
      <c r="AG99" s="480" t="str">
        <f>Fuente!AB102</f>
        <v>SECRETARÍA DE SALUD</v>
      </c>
      <c r="AH99" s="81"/>
      <c r="AI99" s="81"/>
      <c r="AJ99" s="81"/>
    </row>
    <row r="100" spans="1:36" ht="94.5" x14ac:dyDescent="0.2">
      <c r="A100" s="76">
        <v>1</v>
      </c>
      <c r="B100" s="350" t="s">
        <v>1746</v>
      </c>
      <c r="C100" s="351" t="s">
        <v>293</v>
      </c>
      <c r="D100" s="350" t="s">
        <v>294</v>
      </c>
      <c r="E100" s="351" t="s">
        <v>443</v>
      </c>
      <c r="F100" s="350" t="s">
        <v>1996</v>
      </c>
      <c r="G100" s="351" t="s">
        <v>455</v>
      </c>
      <c r="H100" s="352" t="s">
        <v>456</v>
      </c>
      <c r="I100" s="350" t="s">
        <v>456</v>
      </c>
      <c r="J100" s="351">
        <v>85.2</v>
      </c>
      <c r="K100" s="351">
        <v>95</v>
      </c>
      <c r="L100" s="351" t="s">
        <v>457</v>
      </c>
      <c r="M100" s="350" t="s">
        <v>458</v>
      </c>
      <c r="N100" s="350" t="s">
        <v>458</v>
      </c>
      <c r="O100" s="76"/>
      <c r="P100" s="76">
        <v>45</v>
      </c>
      <c r="Q100" s="485">
        <f>Fuente!AT104</f>
        <v>22.5</v>
      </c>
      <c r="R100" s="485">
        <f>Fuente!AU104</f>
        <v>0</v>
      </c>
      <c r="S100" s="485">
        <f>Fuente!AV104</f>
        <v>0</v>
      </c>
      <c r="T100" s="485">
        <f>Fuente!AW104</f>
        <v>0</v>
      </c>
      <c r="U100" s="467">
        <f>Fuente!AM104</f>
        <v>1</v>
      </c>
      <c r="V100" s="485">
        <f>Fuente!AY104</f>
        <v>45</v>
      </c>
      <c r="W100" s="485">
        <f>Fuente!AZ104</f>
        <v>45</v>
      </c>
      <c r="X100" s="485">
        <f>Fuente!BA104</f>
        <v>0</v>
      </c>
      <c r="Y100" s="485">
        <f>Fuente!BB104</f>
        <v>0</v>
      </c>
      <c r="Z100" s="485">
        <f>Fuente!BC104</f>
        <v>0</v>
      </c>
      <c r="AA100" s="467">
        <f>Fuente!BD104</f>
        <v>1</v>
      </c>
      <c r="AB100" s="480" t="s">
        <v>420</v>
      </c>
      <c r="AC100" s="477"/>
      <c r="AD100" s="477" t="s">
        <v>302</v>
      </c>
      <c r="AE100" s="477" t="s">
        <v>303</v>
      </c>
      <c r="AF100" s="482"/>
      <c r="AG100" s="480" t="str">
        <f>Fuente!AB103</f>
        <v>SECRETARÍA DE SALUD</v>
      </c>
      <c r="AH100" s="81"/>
      <c r="AI100" s="81"/>
      <c r="AJ100" s="81"/>
    </row>
    <row r="101" spans="1:36" ht="94.5" x14ac:dyDescent="0.2">
      <c r="A101" s="76">
        <v>1</v>
      </c>
      <c r="B101" s="350" t="s">
        <v>1746</v>
      </c>
      <c r="C101" s="351" t="s">
        <v>293</v>
      </c>
      <c r="D101" s="350" t="s">
        <v>294</v>
      </c>
      <c r="E101" s="351" t="s">
        <v>443</v>
      </c>
      <c r="F101" s="350" t="s">
        <v>1996</v>
      </c>
      <c r="G101" s="351" t="s">
        <v>455</v>
      </c>
      <c r="H101" s="352" t="s">
        <v>456</v>
      </c>
      <c r="I101" s="350" t="s">
        <v>456</v>
      </c>
      <c r="J101" s="351">
        <v>85.2</v>
      </c>
      <c r="K101" s="351">
        <v>95</v>
      </c>
      <c r="L101" s="351" t="s">
        <v>459</v>
      </c>
      <c r="M101" s="350" t="s">
        <v>460</v>
      </c>
      <c r="N101" s="350" t="s">
        <v>460</v>
      </c>
      <c r="O101" s="76"/>
      <c r="P101" s="76">
        <v>10</v>
      </c>
      <c r="Q101" s="485">
        <f>Fuente!AT105</f>
        <v>20</v>
      </c>
      <c r="R101" s="485">
        <f>Fuente!AU105</f>
        <v>0</v>
      </c>
      <c r="S101" s="485">
        <f>Fuente!AV105</f>
        <v>0</v>
      </c>
      <c r="T101" s="485">
        <f>Fuente!AW105</f>
        <v>0</v>
      </c>
      <c r="U101" s="467">
        <f>Fuente!AM105</f>
        <v>1</v>
      </c>
      <c r="V101" s="485">
        <f>Fuente!AY105</f>
        <v>10</v>
      </c>
      <c r="W101" s="485">
        <f>Fuente!AZ105</f>
        <v>10</v>
      </c>
      <c r="X101" s="485">
        <f>Fuente!BA105</f>
        <v>0</v>
      </c>
      <c r="Y101" s="485">
        <f>Fuente!BB105</f>
        <v>0</v>
      </c>
      <c r="Z101" s="485">
        <f>Fuente!BC105</f>
        <v>0</v>
      </c>
      <c r="AA101" s="467">
        <f>Fuente!BD105</f>
        <v>1</v>
      </c>
      <c r="AB101" s="480" t="s">
        <v>78</v>
      </c>
      <c r="AC101" s="477"/>
      <c r="AD101" s="477" t="s">
        <v>302</v>
      </c>
      <c r="AE101" s="477" t="s">
        <v>303</v>
      </c>
      <c r="AF101" s="482"/>
      <c r="AG101" s="480" t="str">
        <f>Fuente!AB104</f>
        <v>SECRETARÍA DE SALUD</v>
      </c>
      <c r="AH101" s="81"/>
      <c r="AI101" s="81"/>
      <c r="AJ101" s="81"/>
    </row>
    <row r="102" spans="1:36" ht="110.25" x14ac:dyDescent="0.2">
      <c r="A102" s="76">
        <v>1</v>
      </c>
      <c r="B102" s="350" t="s">
        <v>1746</v>
      </c>
      <c r="C102" s="351" t="s">
        <v>293</v>
      </c>
      <c r="D102" s="350" t="s">
        <v>294</v>
      </c>
      <c r="E102" s="351" t="s">
        <v>443</v>
      </c>
      <c r="F102" s="350" t="s">
        <v>1996</v>
      </c>
      <c r="G102" s="351" t="s">
        <v>455</v>
      </c>
      <c r="H102" s="352" t="s">
        <v>456</v>
      </c>
      <c r="I102" s="350" t="s">
        <v>456</v>
      </c>
      <c r="J102" s="351">
        <v>85.2</v>
      </c>
      <c r="K102" s="351">
        <v>95</v>
      </c>
      <c r="L102" s="351" t="s">
        <v>461</v>
      </c>
      <c r="M102" s="350" t="s">
        <v>462</v>
      </c>
      <c r="N102" s="350" t="s">
        <v>462</v>
      </c>
      <c r="O102" s="76"/>
      <c r="P102" s="76">
        <v>45</v>
      </c>
      <c r="Q102" s="485">
        <f>Fuente!AT106</f>
        <v>15</v>
      </c>
      <c r="R102" s="485">
        <f>Fuente!AU106</f>
        <v>0</v>
      </c>
      <c r="S102" s="485">
        <f>Fuente!AV106</f>
        <v>0</v>
      </c>
      <c r="T102" s="485">
        <f>Fuente!AW106</f>
        <v>0</v>
      </c>
      <c r="U102" s="467">
        <f>Fuente!AM106</f>
        <v>1</v>
      </c>
      <c r="V102" s="485">
        <f>Fuente!AY106</f>
        <v>45</v>
      </c>
      <c r="W102" s="485">
        <f>Fuente!AZ106</f>
        <v>15</v>
      </c>
      <c r="X102" s="485">
        <f>Fuente!BA106</f>
        <v>0</v>
      </c>
      <c r="Y102" s="485">
        <f>Fuente!BB106</f>
        <v>0</v>
      </c>
      <c r="Z102" s="485">
        <f>Fuente!BC106</f>
        <v>0</v>
      </c>
      <c r="AA102" s="467">
        <f>Fuente!BD106</f>
        <v>0.33333333333333331</v>
      </c>
      <c r="AB102" s="480" t="s">
        <v>412</v>
      </c>
      <c r="AC102" s="477"/>
      <c r="AD102" s="477" t="s">
        <v>302</v>
      </c>
      <c r="AE102" s="477" t="s">
        <v>303</v>
      </c>
      <c r="AF102" s="482"/>
      <c r="AG102" s="480" t="str">
        <f>Fuente!AB105</f>
        <v>SECRETARÍA DE SALUD</v>
      </c>
      <c r="AH102" s="81"/>
      <c r="AI102" s="81"/>
      <c r="AJ102" s="81"/>
    </row>
    <row r="103" spans="1:36" ht="63" x14ac:dyDescent="0.2">
      <c r="A103" s="76">
        <v>1</v>
      </c>
      <c r="B103" s="350" t="s">
        <v>1746</v>
      </c>
      <c r="C103" s="351" t="s">
        <v>293</v>
      </c>
      <c r="D103" s="350" t="s">
        <v>294</v>
      </c>
      <c r="E103" s="351" t="s">
        <v>443</v>
      </c>
      <c r="F103" s="350" t="s">
        <v>1996</v>
      </c>
      <c r="G103" s="351" t="s">
        <v>455</v>
      </c>
      <c r="H103" s="352" t="s">
        <v>456</v>
      </c>
      <c r="I103" s="350" t="s">
        <v>456</v>
      </c>
      <c r="J103" s="351">
        <v>85.2</v>
      </c>
      <c r="K103" s="351">
        <v>85.2</v>
      </c>
      <c r="L103" s="351" t="s">
        <v>463</v>
      </c>
      <c r="M103" s="350" t="s">
        <v>464</v>
      </c>
      <c r="N103" s="350" t="s">
        <v>464</v>
      </c>
      <c r="O103" s="76"/>
      <c r="P103" s="76">
        <v>1</v>
      </c>
      <c r="Q103" s="485">
        <f>Fuente!AT107</f>
        <v>0.5</v>
      </c>
      <c r="R103" s="485">
        <f>Fuente!AU107</f>
        <v>0</v>
      </c>
      <c r="S103" s="485">
        <f>Fuente!AV107</f>
        <v>0</v>
      </c>
      <c r="T103" s="485">
        <f>Fuente!AW107</f>
        <v>0</v>
      </c>
      <c r="U103" s="467">
        <f>Fuente!AM107</f>
        <v>1</v>
      </c>
      <c r="V103" s="485">
        <f>Fuente!AY107</f>
        <v>1</v>
      </c>
      <c r="W103" s="485">
        <f>Fuente!AZ107</f>
        <v>1</v>
      </c>
      <c r="X103" s="485">
        <f>Fuente!BA107</f>
        <v>0</v>
      </c>
      <c r="Y103" s="485">
        <f>Fuente!BB107</f>
        <v>0</v>
      </c>
      <c r="Z103" s="485">
        <f>Fuente!BC107</f>
        <v>0</v>
      </c>
      <c r="AA103" s="467">
        <f>Fuente!BD107</f>
        <v>1</v>
      </c>
      <c r="AB103" s="480" t="s">
        <v>420</v>
      </c>
      <c r="AC103" s="477"/>
      <c r="AD103" s="477"/>
      <c r="AE103" s="477"/>
      <c r="AF103" s="482"/>
      <c r="AG103" s="480" t="str">
        <f>Fuente!AB106</f>
        <v>SECRETARÍA DE SALUD</v>
      </c>
      <c r="AH103" s="81"/>
      <c r="AI103" s="81"/>
      <c r="AJ103" s="81"/>
    </row>
    <row r="104" spans="1:36" ht="78.75" x14ac:dyDescent="0.2">
      <c r="A104" s="76">
        <v>1</v>
      </c>
      <c r="B104" s="350" t="s">
        <v>1746</v>
      </c>
      <c r="C104" s="351" t="s">
        <v>293</v>
      </c>
      <c r="D104" s="350" t="s">
        <v>294</v>
      </c>
      <c r="E104" s="351" t="s">
        <v>443</v>
      </c>
      <c r="F104" s="350" t="s">
        <v>1996</v>
      </c>
      <c r="G104" s="351" t="s">
        <v>465</v>
      </c>
      <c r="H104" s="351" t="s">
        <v>466</v>
      </c>
      <c r="I104" s="350" t="s">
        <v>466</v>
      </c>
      <c r="J104" s="351" t="s">
        <v>467</v>
      </c>
      <c r="K104" s="351">
        <v>2</v>
      </c>
      <c r="L104" s="351" t="s">
        <v>468</v>
      </c>
      <c r="M104" s="350" t="s">
        <v>1994</v>
      </c>
      <c r="N104" s="350" t="s">
        <v>469</v>
      </c>
      <c r="O104" s="76"/>
      <c r="P104" s="310">
        <v>46</v>
      </c>
      <c r="Q104" s="485">
        <f>Fuente!AT108</f>
        <v>11.5</v>
      </c>
      <c r="R104" s="485">
        <f>Fuente!AU108</f>
        <v>0</v>
      </c>
      <c r="S104" s="485">
        <f>Fuente!AV108</f>
        <v>0</v>
      </c>
      <c r="T104" s="485">
        <f>Fuente!AW108</f>
        <v>0</v>
      </c>
      <c r="U104" s="467">
        <f>Fuente!AM108</f>
        <v>1</v>
      </c>
      <c r="V104" s="485">
        <f>Fuente!AY108</f>
        <v>46</v>
      </c>
      <c r="W104" s="485">
        <f>Fuente!AZ108</f>
        <v>0</v>
      </c>
      <c r="X104" s="485">
        <f>Fuente!BA108</f>
        <v>0</v>
      </c>
      <c r="Y104" s="485">
        <f>Fuente!BB108</f>
        <v>0</v>
      </c>
      <c r="Z104" s="485">
        <f>Fuente!BC108</f>
        <v>0</v>
      </c>
      <c r="AA104" s="467">
        <f>Fuente!BD108</f>
        <v>0</v>
      </c>
      <c r="AB104" s="480" t="s">
        <v>420</v>
      </c>
      <c r="AC104" s="477"/>
      <c r="AD104" s="477" t="s">
        <v>302</v>
      </c>
      <c r="AE104" s="477" t="s">
        <v>303</v>
      </c>
      <c r="AF104" s="482"/>
      <c r="AG104" s="480" t="str">
        <f>Fuente!AB107</f>
        <v>SECRETARÍA DE SALUD</v>
      </c>
      <c r="AH104" s="81"/>
      <c r="AI104" s="81"/>
      <c r="AJ104" s="81"/>
    </row>
    <row r="105" spans="1:36" ht="94.5" x14ac:dyDescent="0.2">
      <c r="A105" s="76">
        <v>1</v>
      </c>
      <c r="B105" s="350" t="s">
        <v>1746</v>
      </c>
      <c r="C105" s="351" t="s">
        <v>293</v>
      </c>
      <c r="D105" s="350" t="s">
        <v>294</v>
      </c>
      <c r="E105" s="351" t="s">
        <v>443</v>
      </c>
      <c r="F105" s="350" t="s">
        <v>1996</v>
      </c>
      <c r="G105" s="351" t="s">
        <v>470</v>
      </c>
      <c r="H105" s="351" t="s">
        <v>471</v>
      </c>
      <c r="I105" s="350" t="s">
        <v>471</v>
      </c>
      <c r="J105" s="351" t="s">
        <v>472</v>
      </c>
      <c r="K105" s="351">
        <v>13.4</v>
      </c>
      <c r="L105" s="351" t="s">
        <v>473</v>
      </c>
      <c r="M105" s="350" t="s">
        <v>2004</v>
      </c>
      <c r="N105" s="350" t="s">
        <v>474</v>
      </c>
      <c r="O105" s="76"/>
      <c r="P105" s="76">
        <v>45</v>
      </c>
      <c r="Q105" s="485">
        <f>Fuente!AT109</f>
        <v>11.75</v>
      </c>
      <c r="R105" s="485">
        <f>Fuente!AU109</f>
        <v>0</v>
      </c>
      <c r="S105" s="485">
        <f>Fuente!AV109</f>
        <v>0</v>
      </c>
      <c r="T105" s="485">
        <f>Fuente!AW109</f>
        <v>0</v>
      </c>
      <c r="U105" s="467">
        <f>Fuente!AM109</f>
        <v>1</v>
      </c>
      <c r="V105" s="485">
        <f>Fuente!AY109</f>
        <v>8</v>
      </c>
      <c r="W105" s="485">
        <f>Fuente!AZ109</f>
        <v>2</v>
      </c>
      <c r="X105" s="485">
        <f>Fuente!BA109</f>
        <v>0</v>
      </c>
      <c r="Y105" s="485">
        <f>Fuente!BB109</f>
        <v>0</v>
      </c>
      <c r="Z105" s="485">
        <f>Fuente!BC109</f>
        <v>0</v>
      </c>
      <c r="AA105" s="467">
        <f>Fuente!BD109</f>
        <v>0.25</v>
      </c>
      <c r="AB105" s="480" t="s">
        <v>420</v>
      </c>
      <c r="AC105" s="477"/>
      <c r="AD105" s="477" t="s">
        <v>302</v>
      </c>
      <c r="AE105" s="477" t="s">
        <v>303</v>
      </c>
      <c r="AF105" s="482"/>
      <c r="AG105" s="480" t="str">
        <f>Fuente!AB108</f>
        <v>SECRETARÍA DE SALUD</v>
      </c>
      <c r="AH105" s="95"/>
      <c r="AI105" s="95"/>
      <c r="AJ105" s="81"/>
    </row>
    <row r="106" spans="1:36" ht="110.25" x14ac:dyDescent="0.2">
      <c r="A106" s="76">
        <v>1</v>
      </c>
      <c r="B106" s="350" t="s">
        <v>1746</v>
      </c>
      <c r="C106" s="351" t="s">
        <v>293</v>
      </c>
      <c r="D106" s="350" t="s">
        <v>294</v>
      </c>
      <c r="E106" s="351" t="s">
        <v>443</v>
      </c>
      <c r="F106" s="350" t="s">
        <v>1996</v>
      </c>
      <c r="G106" s="351" t="s">
        <v>475</v>
      </c>
      <c r="H106" s="352" t="s">
        <v>476</v>
      </c>
      <c r="I106" s="350" t="s">
        <v>476</v>
      </c>
      <c r="J106" s="351">
        <v>0</v>
      </c>
      <c r="K106" s="351">
        <v>0</v>
      </c>
      <c r="L106" s="351" t="s">
        <v>477</v>
      </c>
      <c r="M106" s="350" t="s">
        <v>1995</v>
      </c>
      <c r="N106" s="350" t="s">
        <v>478</v>
      </c>
      <c r="O106" s="76"/>
      <c r="P106" s="76">
        <v>45</v>
      </c>
      <c r="Q106" s="485">
        <f>Fuente!AT110</f>
        <v>11.25</v>
      </c>
      <c r="R106" s="485">
        <f>Fuente!AU110</f>
        <v>0</v>
      </c>
      <c r="S106" s="485">
        <f>Fuente!AV110</f>
        <v>0</v>
      </c>
      <c r="T106" s="485">
        <f>Fuente!AW110</f>
        <v>0</v>
      </c>
      <c r="U106" s="467">
        <f>Fuente!AM110</f>
        <v>1</v>
      </c>
      <c r="V106" s="485">
        <f>Fuente!AY110</f>
        <v>45</v>
      </c>
      <c r="W106" s="485">
        <f>Fuente!AZ110</f>
        <v>0</v>
      </c>
      <c r="X106" s="485">
        <f>Fuente!BA110</f>
        <v>0</v>
      </c>
      <c r="Y106" s="485">
        <f>Fuente!BB110</f>
        <v>0</v>
      </c>
      <c r="Z106" s="485">
        <f>Fuente!BC110</f>
        <v>0</v>
      </c>
      <c r="AA106" s="467">
        <f>Fuente!BD110</f>
        <v>0</v>
      </c>
      <c r="AB106" s="480" t="s">
        <v>420</v>
      </c>
      <c r="AC106" s="477"/>
      <c r="AD106" s="477" t="s">
        <v>302</v>
      </c>
      <c r="AE106" s="477" t="s">
        <v>303</v>
      </c>
      <c r="AF106" s="482"/>
      <c r="AG106" s="480" t="str">
        <f>Fuente!AB109</f>
        <v>SECRETARÍA DE SALUD</v>
      </c>
      <c r="AH106" s="81"/>
      <c r="AI106" s="81"/>
      <c r="AJ106" s="81"/>
    </row>
    <row r="107" spans="1:36" ht="141.75" x14ac:dyDescent="0.2">
      <c r="A107" s="76">
        <v>1</v>
      </c>
      <c r="B107" s="350" t="s">
        <v>1746</v>
      </c>
      <c r="C107" s="351" t="s">
        <v>293</v>
      </c>
      <c r="D107" s="350" t="s">
        <v>294</v>
      </c>
      <c r="E107" s="351" t="s">
        <v>443</v>
      </c>
      <c r="F107" s="350" t="s">
        <v>1996</v>
      </c>
      <c r="G107" s="351" t="s">
        <v>479</v>
      </c>
      <c r="H107" s="352" t="s">
        <v>480</v>
      </c>
      <c r="I107" s="350" t="s">
        <v>480</v>
      </c>
      <c r="J107" s="351">
        <v>0</v>
      </c>
      <c r="K107" s="351">
        <v>0</v>
      </c>
      <c r="L107" s="351" t="s">
        <v>481</v>
      </c>
      <c r="M107" s="350" t="s">
        <v>482</v>
      </c>
      <c r="N107" s="350" t="s">
        <v>482</v>
      </c>
      <c r="O107" s="76"/>
      <c r="P107" s="76">
        <v>1</v>
      </c>
      <c r="Q107" s="485">
        <f>Fuente!AT111</f>
        <v>0.25</v>
      </c>
      <c r="R107" s="485">
        <f>Fuente!AU111</f>
        <v>0</v>
      </c>
      <c r="S107" s="485">
        <f>Fuente!AV111</f>
        <v>0</v>
      </c>
      <c r="T107" s="485">
        <f>Fuente!AW111</f>
        <v>0</v>
      </c>
      <c r="U107" s="467">
        <f>Fuente!AM111</f>
        <v>1</v>
      </c>
      <c r="V107" s="485">
        <f>Fuente!AY111</f>
        <v>1</v>
      </c>
      <c r="W107" s="485">
        <f>Fuente!AZ111</f>
        <v>0</v>
      </c>
      <c r="X107" s="485">
        <f>Fuente!BA111</f>
        <v>0</v>
      </c>
      <c r="Y107" s="485">
        <f>Fuente!BB111</f>
        <v>0</v>
      </c>
      <c r="Z107" s="485">
        <f>Fuente!BC111</f>
        <v>0</v>
      </c>
      <c r="AA107" s="467">
        <f>Fuente!BD111</f>
        <v>0</v>
      </c>
      <c r="AB107" s="480" t="s">
        <v>420</v>
      </c>
      <c r="AC107" s="477"/>
      <c r="AD107" s="477"/>
      <c r="AE107" s="477"/>
      <c r="AF107" s="482"/>
      <c r="AG107" s="480" t="str">
        <f>Fuente!AB110</f>
        <v>SECRETARÍA DE SALUD</v>
      </c>
      <c r="AH107" s="81"/>
      <c r="AI107" s="81"/>
      <c r="AJ107" s="81"/>
    </row>
    <row r="108" spans="1:36" ht="78.75" x14ac:dyDescent="0.2">
      <c r="A108" s="76">
        <v>1</v>
      </c>
      <c r="B108" s="350" t="s">
        <v>1746</v>
      </c>
      <c r="C108" s="351" t="s">
        <v>293</v>
      </c>
      <c r="D108" s="350" t="s">
        <v>294</v>
      </c>
      <c r="E108" s="351" t="s">
        <v>483</v>
      </c>
      <c r="F108" s="350" t="s">
        <v>484</v>
      </c>
      <c r="G108" s="351" t="s">
        <v>485</v>
      </c>
      <c r="H108" s="352" t="s">
        <v>486</v>
      </c>
      <c r="I108" s="350" t="s">
        <v>486</v>
      </c>
      <c r="J108" s="351">
        <v>25</v>
      </c>
      <c r="K108" s="351">
        <v>100</v>
      </c>
      <c r="L108" s="351" t="s">
        <v>487</v>
      </c>
      <c r="M108" s="350" t="s">
        <v>488</v>
      </c>
      <c r="N108" s="350" t="s">
        <v>488</v>
      </c>
      <c r="O108" s="76"/>
      <c r="P108" s="76">
        <v>46</v>
      </c>
      <c r="Q108" s="485">
        <f>Fuente!AT112</f>
        <v>25</v>
      </c>
      <c r="R108" s="485">
        <f>Fuente!AU112</f>
        <v>0</v>
      </c>
      <c r="S108" s="485">
        <f>Fuente!AV112</f>
        <v>0</v>
      </c>
      <c r="T108" s="485">
        <f>Fuente!AW112</f>
        <v>0</v>
      </c>
      <c r="U108" s="467">
        <f>Fuente!AM112</f>
        <v>0.54347826086956519</v>
      </c>
      <c r="V108" s="485">
        <f>Fuente!AY112</f>
        <v>12</v>
      </c>
      <c r="W108" s="485">
        <f>Fuente!AZ112</f>
        <v>0</v>
      </c>
      <c r="X108" s="485">
        <f>Fuente!BA112</f>
        <v>0</v>
      </c>
      <c r="Y108" s="485">
        <f>Fuente!BB112</f>
        <v>0</v>
      </c>
      <c r="Z108" s="485">
        <f>Fuente!BC112</f>
        <v>0</v>
      </c>
      <c r="AA108" s="467">
        <f>Fuente!BD112</f>
        <v>0</v>
      </c>
      <c r="AB108" s="480" t="s">
        <v>420</v>
      </c>
      <c r="AC108" s="477"/>
      <c r="AD108" s="477"/>
      <c r="AE108" s="477"/>
      <c r="AF108" s="482"/>
      <c r="AG108" s="480" t="str">
        <f>Fuente!AB111</f>
        <v>SECRETARÍA DE SALUD</v>
      </c>
      <c r="AH108" s="81"/>
      <c r="AI108" s="81"/>
      <c r="AJ108" s="81"/>
    </row>
    <row r="109" spans="1:36" ht="78.75" x14ac:dyDescent="0.2">
      <c r="A109" s="76">
        <v>1</v>
      </c>
      <c r="B109" s="350" t="s">
        <v>1746</v>
      </c>
      <c r="C109" s="351" t="s">
        <v>293</v>
      </c>
      <c r="D109" s="350" t="s">
        <v>294</v>
      </c>
      <c r="E109" s="351" t="s">
        <v>483</v>
      </c>
      <c r="F109" s="350" t="s">
        <v>484</v>
      </c>
      <c r="G109" s="351" t="s">
        <v>485</v>
      </c>
      <c r="H109" s="352" t="s">
        <v>486</v>
      </c>
      <c r="I109" s="350" t="s">
        <v>486</v>
      </c>
      <c r="J109" s="351">
        <v>25</v>
      </c>
      <c r="K109" s="351">
        <v>100</v>
      </c>
      <c r="L109" s="351" t="s">
        <v>489</v>
      </c>
      <c r="M109" s="350" t="s">
        <v>490</v>
      </c>
      <c r="N109" s="350" t="s">
        <v>490</v>
      </c>
      <c r="O109" s="76"/>
      <c r="P109" s="76">
        <v>46</v>
      </c>
      <c r="Q109" s="485">
        <f>Fuente!AT113</f>
        <v>7</v>
      </c>
      <c r="R109" s="485">
        <f>Fuente!AU113</f>
        <v>0</v>
      </c>
      <c r="S109" s="485">
        <f>Fuente!AV113</f>
        <v>0</v>
      </c>
      <c r="T109" s="485">
        <f>Fuente!AW113</f>
        <v>0</v>
      </c>
      <c r="U109" s="467">
        <f>Fuente!AM113</f>
        <v>0.15217391304347827</v>
      </c>
      <c r="V109" s="485">
        <f>Fuente!AY113</f>
        <v>12</v>
      </c>
      <c r="W109" s="485">
        <f>Fuente!AZ113</f>
        <v>0</v>
      </c>
      <c r="X109" s="485">
        <f>Fuente!BA113</f>
        <v>0</v>
      </c>
      <c r="Y109" s="485">
        <f>Fuente!BB113</f>
        <v>0</v>
      </c>
      <c r="Z109" s="485">
        <f>Fuente!BC113</f>
        <v>0</v>
      </c>
      <c r="AA109" s="467">
        <f>Fuente!BD113</f>
        <v>0</v>
      </c>
      <c r="AB109" s="480" t="s">
        <v>420</v>
      </c>
      <c r="AC109" s="477"/>
      <c r="AD109" s="477"/>
      <c r="AE109" s="477"/>
      <c r="AF109" s="482"/>
      <c r="AG109" s="480" t="e">
        <f>Fuente!#REF!</f>
        <v>#REF!</v>
      </c>
      <c r="AH109" s="81"/>
      <c r="AI109" s="81"/>
      <c r="AJ109" s="81"/>
    </row>
    <row r="110" spans="1:36" ht="94.5" x14ac:dyDescent="0.2">
      <c r="A110" s="76">
        <v>1</v>
      </c>
      <c r="B110" s="350" t="s">
        <v>1746</v>
      </c>
      <c r="C110" s="351" t="s">
        <v>293</v>
      </c>
      <c r="D110" s="350" t="s">
        <v>294</v>
      </c>
      <c r="E110" s="351" t="s">
        <v>483</v>
      </c>
      <c r="F110" s="350" t="s">
        <v>484</v>
      </c>
      <c r="G110" s="351" t="s">
        <v>485</v>
      </c>
      <c r="H110" s="352" t="s">
        <v>486</v>
      </c>
      <c r="I110" s="350" t="s">
        <v>486</v>
      </c>
      <c r="J110" s="351">
        <v>25</v>
      </c>
      <c r="K110" s="351">
        <v>100</v>
      </c>
      <c r="L110" s="351" t="s">
        <v>491</v>
      </c>
      <c r="M110" s="350" t="s">
        <v>492</v>
      </c>
      <c r="N110" s="350" t="s">
        <v>492</v>
      </c>
      <c r="O110" s="76"/>
      <c r="P110" s="76">
        <v>1</v>
      </c>
      <c r="Q110" s="485">
        <f>Fuente!AT114</f>
        <v>0.5</v>
      </c>
      <c r="R110" s="485">
        <f>Fuente!AU114</f>
        <v>0</v>
      </c>
      <c r="S110" s="485">
        <f>Fuente!AV114</f>
        <v>0</v>
      </c>
      <c r="T110" s="485">
        <f>Fuente!AW114</f>
        <v>0</v>
      </c>
      <c r="U110" s="467">
        <f>Fuente!AM114</f>
        <v>1</v>
      </c>
      <c r="V110" s="485">
        <f>Fuente!AY114</f>
        <v>1</v>
      </c>
      <c r="W110" s="485">
        <f>Fuente!AZ114</f>
        <v>1</v>
      </c>
      <c r="X110" s="485">
        <f>Fuente!BA114</f>
        <v>0</v>
      </c>
      <c r="Y110" s="485">
        <f>Fuente!BB114</f>
        <v>0</v>
      </c>
      <c r="Z110" s="485">
        <f>Fuente!BC114</f>
        <v>0</v>
      </c>
      <c r="AA110" s="467">
        <f>Fuente!BD114</f>
        <v>1</v>
      </c>
      <c r="AB110" s="480" t="s">
        <v>412</v>
      </c>
      <c r="AC110" s="477"/>
      <c r="AD110" s="477" t="s">
        <v>302</v>
      </c>
      <c r="AE110" s="477" t="s">
        <v>303</v>
      </c>
      <c r="AF110" s="482"/>
      <c r="AG110" s="480" t="str">
        <f>Fuente!AB112</f>
        <v>SECRETARÍA DE SALUD</v>
      </c>
      <c r="AH110" s="81"/>
      <c r="AI110" s="81"/>
      <c r="AJ110" s="81"/>
    </row>
    <row r="111" spans="1:36" ht="78.75" x14ac:dyDescent="0.2">
      <c r="A111" s="76">
        <v>1</v>
      </c>
      <c r="B111" s="350" t="s">
        <v>1746</v>
      </c>
      <c r="C111" s="351" t="s">
        <v>293</v>
      </c>
      <c r="D111" s="350" t="s">
        <v>294</v>
      </c>
      <c r="E111" s="351" t="s">
        <v>483</v>
      </c>
      <c r="F111" s="350" t="s">
        <v>484</v>
      </c>
      <c r="G111" s="351" t="s">
        <v>485</v>
      </c>
      <c r="H111" s="352" t="s">
        <v>486</v>
      </c>
      <c r="I111" s="350" t="s">
        <v>486</v>
      </c>
      <c r="J111" s="351">
        <v>25</v>
      </c>
      <c r="K111" s="351">
        <v>100</v>
      </c>
      <c r="L111" s="351" t="s">
        <v>493</v>
      </c>
      <c r="M111" s="350" t="s">
        <v>494</v>
      </c>
      <c r="N111" s="350" t="s">
        <v>494</v>
      </c>
      <c r="O111" s="76"/>
      <c r="P111" s="76">
        <v>5</v>
      </c>
      <c r="Q111" s="485">
        <f>Fuente!AT115</f>
        <v>1</v>
      </c>
      <c r="R111" s="485">
        <f>Fuente!AU115</f>
        <v>0</v>
      </c>
      <c r="S111" s="485">
        <f>Fuente!AV115</f>
        <v>0</v>
      </c>
      <c r="T111" s="485">
        <f>Fuente!AW115</f>
        <v>0</v>
      </c>
      <c r="U111" s="467">
        <f>Fuente!AM115</f>
        <v>0.2</v>
      </c>
      <c r="V111" s="485">
        <f>Fuente!AY115</f>
        <v>1</v>
      </c>
      <c r="W111" s="485">
        <f>Fuente!AZ115</f>
        <v>0</v>
      </c>
      <c r="X111" s="485">
        <f>Fuente!BA115</f>
        <v>0</v>
      </c>
      <c r="Y111" s="485">
        <f>Fuente!BB115</f>
        <v>0</v>
      </c>
      <c r="Z111" s="485">
        <f>Fuente!BC115</f>
        <v>0</v>
      </c>
      <c r="AA111" s="467">
        <f>Fuente!BD115</f>
        <v>0</v>
      </c>
      <c r="AB111" s="480" t="s">
        <v>412</v>
      </c>
      <c r="AC111" s="477"/>
      <c r="AD111" s="477" t="s">
        <v>302</v>
      </c>
      <c r="AE111" s="477" t="s">
        <v>303</v>
      </c>
      <c r="AF111" s="482"/>
      <c r="AG111" s="480" t="str">
        <f>Fuente!AB113</f>
        <v>SECRETARÍA DE SALUD</v>
      </c>
      <c r="AH111" s="81"/>
      <c r="AI111" s="81"/>
      <c r="AJ111" s="81"/>
    </row>
    <row r="112" spans="1:36" ht="78.75" x14ac:dyDescent="0.2">
      <c r="A112" s="76">
        <v>1</v>
      </c>
      <c r="B112" s="350" t="s">
        <v>1746</v>
      </c>
      <c r="C112" s="351" t="s">
        <v>293</v>
      </c>
      <c r="D112" s="350" t="s">
        <v>294</v>
      </c>
      <c r="E112" s="351" t="s">
        <v>483</v>
      </c>
      <c r="F112" s="350" t="s">
        <v>484</v>
      </c>
      <c r="G112" s="351" t="s">
        <v>485</v>
      </c>
      <c r="H112" s="352" t="s">
        <v>486</v>
      </c>
      <c r="I112" s="350" t="s">
        <v>486</v>
      </c>
      <c r="J112" s="351">
        <v>25</v>
      </c>
      <c r="K112" s="351">
        <v>100</v>
      </c>
      <c r="L112" s="351" t="s">
        <v>495</v>
      </c>
      <c r="M112" s="350" t="s">
        <v>496</v>
      </c>
      <c r="N112" s="350" t="s">
        <v>496</v>
      </c>
      <c r="O112" s="76"/>
      <c r="P112" s="76">
        <v>1</v>
      </c>
      <c r="Q112" s="485">
        <f>Fuente!AT116</f>
        <v>0</v>
      </c>
      <c r="R112" s="485">
        <f>Fuente!AU116</f>
        <v>0</v>
      </c>
      <c r="S112" s="485">
        <f>Fuente!AV116</f>
        <v>0</v>
      </c>
      <c r="T112" s="485">
        <f>Fuente!AW116</f>
        <v>0</v>
      </c>
      <c r="U112" s="467">
        <f>Fuente!AM116</f>
        <v>0</v>
      </c>
      <c r="V112" s="485" t="str">
        <f>Fuente!AY116</f>
        <v>NP</v>
      </c>
      <c r="W112" s="485">
        <f>Fuente!AZ116</f>
        <v>0</v>
      </c>
      <c r="X112" s="485">
        <f>Fuente!BA116</f>
        <v>0</v>
      </c>
      <c r="Y112" s="485">
        <f>Fuente!BB116</f>
        <v>0</v>
      </c>
      <c r="Z112" s="485">
        <f>Fuente!BC116</f>
        <v>0</v>
      </c>
      <c r="AA112" s="467" t="str">
        <f>Fuente!BD116</f>
        <v>NP</v>
      </c>
      <c r="AB112" s="480" t="s">
        <v>420</v>
      </c>
      <c r="AC112" s="477"/>
      <c r="AD112" s="477" t="s">
        <v>302</v>
      </c>
      <c r="AE112" s="477" t="s">
        <v>303</v>
      </c>
      <c r="AF112" s="482"/>
      <c r="AG112" s="480" t="str">
        <f>Fuente!AB114</f>
        <v>SECRETARÍA DE SALUD</v>
      </c>
      <c r="AH112" s="81"/>
      <c r="AI112" s="81"/>
      <c r="AJ112" s="81"/>
    </row>
    <row r="113" spans="1:36" ht="63" x14ac:dyDescent="0.2">
      <c r="A113" s="76">
        <v>1</v>
      </c>
      <c r="B113" s="350" t="s">
        <v>1746</v>
      </c>
      <c r="C113" s="351" t="s">
        <v>293</v>
      </c>
      <c r="D113" s="350" t="s">
        <v>294</v>
      </c>
      <c r="E113" s="351" t="s">
        <v>497</v>
      </c>
      <c r="F113" s="350" t="s">
        <v>498</v>
      </c>
      <c r="G113" s="351" t="s">
        <v>499</v>
      </c>
      <c r="H113" s="352" t="s">
        <v>500</v>
      </c>
      <c r="I113" s="350" t="s">
        <v>500</v>
      </c>
      <c r="J113" s="351" t="s">
        <v>501</v>
      </c>
      <c r="K113" s="351">
        <v>5</v>
      </c>
      <c r="L113" s="351" t="s">
        <v>502</v>
      </c>
      <c r="M113" s="350" t="s">
        <v>503</v>
      </c>
      <c r="N113" s="350" t="s">
        <v>503</v>
      </c>
      <c r="O113" s="76"/>
      <c r="P113" s="76">
        <v>40</v>
      </c>
      <c r="Q113" s="485">
        <f>Fuente!AT117</f>
        <v>10</v>
      </c>
      <c r="R113" s="485">
        <f>Fuente!AU117</f>
        <v>0</v>
      </c>
      <c r="S113" s="485">
        <f>Fuente!AV117</f>
        <v>0</v>
      </c>
      <c r="T113" s="485">
        <f>Fuente!AW117</f>
        <v>0</v>
      </c>
      <c r="U113" s="467">
        <f>Fuente!AM117</f>
        <v>0.25</v>
      </c>
      <c r="V113" s="485">
        <f>Fuente!AY117</f>
        <v>10</v>
      </c>
      <c r="W113" s="485">
        <f>Fuente!AZ117</f>
        <v>0</v>
      </c>
      <c r="X113" s="485">
        <f>Fuente!BA117</f>
        <v>0</v>
      </c>
      <c r="Y113" s="485">
        <f>Fuente!BB117</f>
        <v>0</v>
      </c>
      <c r="Z113" s="485">
        <f>Fuente!BC117</f>
        <v>0</v>
      </c>
      <c r="AA113" s="467">
        <f>Fuente!BD117</f>
        <v>0</v>
      </c>
      <c r="AB113" s="480" t="s">
        <v>412</v>
      </c>
      <c r="AC113" s="477"/>
      <c r="AD113" s="477" t="s">
        <v>302</v>
      </c>
      <c r="AE113" s="477" t="s">
        <v>303</v>
      </c>
      <c r="AF113" s="482"/>
      <c r="AG113" s="480" t="str">
        <f>Fuente!AB115</f>
        <v>SECRETARÍA DE SALUD</v>
      </c>
      <c r="AH113" s="81"/>
      <c r="AI113" s="81"/>
      <c r="AJ113" s="81"/>
    </row>
    <row r="114" spans="1:36" ht="47.25" x14ac:dyDescent="0.2">
      <c r="A114" s="76">
        <v>1</v>
      </c>
      <c r="B114" s="350" t="s">
        <v>1746</v>
      </c>
      <c r="C114" s="351" t="s">
        <v>293</v>
      </c>
      <c r="D114" s="350" t="s">
        <v>294</v>
      </c>
      <c r="E114" s="351" t="s">
        <v>497</v>
      </c>
      <c r="F114" s="350" t="s">
        <v>498</v>
      </c>
      <c r="G114" s="351" t="s">
        <v>499</v>
      </c>
      <c r="H114" s="352" t="s">
        <v>500</v>
      </c>
      <c r="I114" s="350" t="s">
        <v>500</v>
      </c>
      <c r="J114" s="351" t="s">
        <v>501</v>
      </c>
      <c r="K114" s="351">
        <v>5</v>
      </c>
      <c r="L114" s="351" t="s">
        <v>504</v>
      </c>
      <c r="M114" s="350" t="s">
        <v>505</v>
      </c>
      <c r="N114" s="350" t="s">
        <v>505</v>
      </c>
      <c r="O114" s="76"/>
      <c r="P114" s="76">
        <v>45</v>
      </c>
      <c r="Q114" s="485">
        <f>Fuente!AT118</f>
        <v>0</v>
      </c>
      <c r="R114" s="485">
        <f>Fuente!AU118</f>
        <v>0</v>
      </c>
      <c r="S114" s="485">
        <f>Fuente!AV118</f>
        <v>0</v>
      </c>
      <c r="T114" s="485">
        <f>Fuente!AW118</f>
        <v>0</v>
      </c>
      <c r="U114" s="467">
        <f>Fuente!AM118</f>
        <v>0</v>
      </c>
      <c r="V114" s="485">
        <f>Fuente!AY118</f>
        <v>10</v>
      </c>
      <c r="W114" s="485">
        <f>Fuente!AZ118</f>
        <v>0</v>
      </c>
      <c r="X114" s="485">
        <f>Fuente!BA118</f>
        <v>0</v>
      </c>
      <c r="Y114" s="485">
        <f>Fuente!BB118</f>
        <v>0</v>
      </c>
      <c r="Z114" s="485">
        <f>Fuente!BC118</f>
        <v>0</v>
      </c>
      <c r="AA114" s="467">
        <f>Fuente!BD118</f>
        <v>0</v>
      </c>
      <c r="AB114" s="480" t="s">
        <v>412</v>
      </c>
      <c r="AC114" s="477"/>
      <c r="AD114" s="477"/>
      <c r="AE114" s="477"/>
      <c r="AF114" s="482"/>
      <c r="AG114" s="480" t="str">
        <f>Fuente!AB116</f>
        <v>SECRETARÍA DE SALUD</v>
      </c>
      <c r="AH114" s="81"/>
      <c r="AI114" s="81"/>
      <c r="AJ114" s="81"/>
    </row>
    <row r="115" spans="1:36" ht="63" x14ac:dyDescent="0.2">
      <c r="A115" s="76">
        <v>1</v>
      </c>
      <c r="B115" s="350" t="s">
        <v>1746</v>
      </c>
      <c r="C115" s="351" t="s">
        <v>293</v>
      </c>
      <c r="D115" s="350" t="s">
        <v>294</v>
      </c>
      <c r="E115" s="351" t="s">
        <v>497</v>
      </c>
      <c r="F115" s="350" t="s">
        <v>498</v>
      </c>
      <c r="G115" s="351" t="s">
        <v>499</v>
      </c>
      <c r="H115" s="352" t="s">
        <v>500</v>
      </c>
      <c r="I115" s="350" t="s">
        <v>500</v>
      </c>
      <c r="J115" s="351" t="s">
        <v>501</v>
      </c>
      <c r="K115" s="351">
        <v>5</v>
      </c>
      <c r="L115" s="351" t="s">
        <v>506</v>
      </c>
      <c r="M115" s="350" t="s">
        <v>507</v>
      </c>
      <c r="N115" s="350" t="s">
        <v>507</v>
      </c>
      <c r="O115" s="76"/>
      <c r="P115" s="76">
        <v>22</v>
      </c>
      <c r="Q115" s="485">
        <f>Fuente!AT119</f>
        <v>4</v>
      </c>
      <c r="R115" s="485">
        <f>Fuente!AU119</f>
        <v>0</v>
      </c>
      <c r="S115" s="485">
        <f>Fuente!AV119</f>
        <v>0</v>
      </c>
      <c r="T115" s="485">
        <f>Fuente!AW119</f>
        <v>0</v>
      </c>
      <c r="U115" s="467">
        <f>Fuente!AM119</f>
        <v>0.18181818181818182</v>
      </c>
      <c r="V115" s="485">
        <f>Fuente!AY119</f>
        <v>6</v>
      </c>
      <c r="W115" s="485">
        <f>Fuente!AZ119</f>
        <v>0</v>
      </c>
      <c r="X115" s="485">
        <f>Fuente!BA119</f>
        <v>0</v>
      </c>
      <c r="Y115" s="485">
        <f>Fuente!BB119</f>
        <v>0</v>
      </c>
      <c r="Z115" s="485">
        <f>Fuente!BC119</f>
        <v>0</v>
      </c>
      <c r="AA115" s="467">
        <f>Fuente!BD119</f>
        <v>0</v>
      </c>
      <c r="AB115" s="480" t="s">
        <v>412</v>
      </c>
      <c r="AC115" s="477"/>
      <c r="AD115" s="477" t="s">
        <v>302</v>
      </c>
      <c r="AE115" s="477" t="s">
        <v>303</v>
      </c>
      <c r="AF115" s="482"/>
      <c r="AG115" s="480" t="str">
        <f>Fuente!AB117</f>
        <v>SECRETARÍA DE SALUD</v>
      </c>
      <c r="AH115" s="81"/>
      <c r="AI115" s="81"/>
      <c r="AJ115" s="81"/>
    </row>
    <row r="116" spans="1:36" ht="94.5" x14ac:dyDescent="0.2">
      <c r="A116" s="76">
        <v>1</v>
      </c>
      <c r="B116" s="350" t="s">
        <v>1746</v>
      </c>
      <c r="C116" s="351" t="s">
        <v>293</v>
      </c>
      <c r="D116" s="350" t="s">
        <v>294</v>
      </c>
      <c r="E116" s="351" t="s">
        <v>497</v>
      </c>
      <c r="F116" s="350" t="s">
        <v>498</v>
      </c>
      <c r="G116" s="351" t="s">
        <v>499</v>
      </c>
      <c r="H116" s="352" t="s">
        <v>500</v>
      </c>
      <c r="I116" s="350" t="s">
        <v>500</v>
      </c>
      <c r="J116" s="351" t="s">
        <v>501</v>
      </c>
      <c r="K116" s="351">
        <v>5</v>
      </c>
      <c r="L116" s="351" t="s">
        <v>508</v>
      </c>
      <c r="M116" s="350" t="s">
        <v>509</v>
      </c>
      <c r="N116" s="350" t="s">
        <v>509</v>
      </c>
      <c r="O116" s="76"/>
      <c r="P116" s="76">
        <v>45</v>
      </c>
      <c r="Q116" s="485">
        <f>Fuente!AT120</f>
        <v>20</v>
      </c>
      <c r="R116" s="485">
        <f>Fuente!AU120</f>
        <v>0</v>
      </c>
      <c r="S116" s="485">
        <f>Fuente!AV120</f>
        <v>0</v>
      </c>
      <c r="T116" s="485">
        <f>Fuente!AW120</f>
        <v>0</v>
      </c>
      <c r="U116" s="467">
        <f>Fuente!AM120</f>
        <v>0.22222222222222221</v>
      </c>
      <c r="V116" s="485">
        <f>Fuente!AY120</f>
        <v>10</v>
      </c>
      <c r="W116" s="485">
        <f>Fuente!AZ120</f>
        <v>10</v>
      </c>
      <c r="X116" s="485">
        <f>Fuente!BA120</f>
        <v>0</v>
      </c>
      <c r="Y116" s="485">
        <f>Fuente!BB120</f>
        <v>0</v>
      </c>
      <c r="Z116" s="485">
        <f>Fuente!BC120</f>
        <v>0</v>
      </c>
      <c r="AA116" s="467">
        <f>Fuente!BD120</f>
        <v>1</v>
      </c>
      <c r="AB116" s="480" t="s">
        <v>412</v>
      </c>
      <c r="AC116" s="477"/>
      <c r="AD116" s="477" t="s">
        <v>302</v>
      </c>
      <c r="AE116" s="477" t="s">
        <v>303</v>
      </c>
      <c r="AF116" s="482"/>
      <c r="AG116" s="480" t="str">
        <f>Fuente!AB118</f>
        <v>SECRETARÍA DE SALUD</v>
      </c>
      <c r="AH116" s="81"/>
      <c r="AI116" s="81"/>
      <c r="AJ116" s="81"/>
    </row>
    <row r="117" spans="1:36" ht="63" x14ac:dyDescent="0.2">
      <c r="A117" s="76">
        <v>1</v>
      </c>
      <c r="B117" s="350" t="s">
        <v>1746</v>
      </c>
      <c r="C117" s="351" t="s">
        <v>293</v>
      </c>
      <c r="D117" s="350" t="s">
        <v>294</v>
      </c>
      <c r="E117" s="351" t="s">
        <v>510</v>
      </c>
      <c r="F117" s="350" t="s">
        <v>511</v>
      </c>
      <c r="G117" s="351" t="s">
        <v>512</v>
      </c>
      <c r="H117" s="352" t="s">
        <v>513</v>
      </c>
      <c r="I117" s="350" t="s">
        <v>513</v>
      </c>
      <c r="J117" s="351" t="s">
        <v>514</v>
      </c>
      <c r="K117" s="351" t="s">
        <v>514</v>
      </c>
      <c r="L117" s="351" t="s">
        <v>515</v>
      </c>
      <c r="M117" s="350" t="s">
        <v>516</v>
      </c>
      <c r="N117" s="350" t="s">
        <v>516</v>
      </c>
      <c r="O117" s="76"/>
      <c r="P117" s="76">
        <v>16</v>
      </c>
      <c r="Q117" s="485">
        <f>Fuente!AT121</f>
        <v>3</v>
      </c>
      <c r="R117" s="485">
        <f>Fuente!AU121</f>
        <v>0</v>
      </c>
      <c r="S117" s="485">
        <f>Fuente!AV121</f>
        <v>0</v>
      </c>
      <c r="T117" s="485">
        <f>Fuente!AW121</f>
        <v>0</v>
      </c>
      <c r="U117" s="467">
        <f>Fuente!AM121</f>
        <v>0.1875</v>
      </c>
      <c r="V117" s="485">
        <f>Fuente!AY121</f>
        <v>5</v>
      </c>
      <c r="W117" s="485">
        <f>Fuente!AZ121</f>
        <v>0</v>
      </c>
      <c r="X117" s="485">
        <f>Fuente!BA121</f>
        <v>0</v>
      </c>
      <c r="Y117" s="485">
        <f>Fuente!BB121</f>
        <v>0</v>
      </c>
      <c r="Z117" s="485">
        <f>Fuente!BC121</f>
        <v>0</v>
      </c>
      <c r="AA117" s="467">
        <f>Fuente!BD121</f>
        <v>0</v>
      </c>
      <c r="AB117" s="480" t="s">
        <v>412</v>
      </c>
      <c r="AC117" s="477"/>
      <c r="AD117" s="477"/>
      <c r="AE117" s="477"/>
      <c r="AF117" s="482"/>
      <c r="AG117" s="480" t="str">
        <f>Fuente!AB119</f>
        <v>SECRETARÍA DE SALUD</v>
      </c>
      <c r="AH117" s="81"/>
      <c r="AI117" s="81"/>
      <c r="AJ117" s="81"/>
    </row>
    <row r="118" spans="1:36" ht="126" x14ac:dyDescent="0.2">
      <c r="A118" s="76">
        <v>1</v>
      </c>
      <c r="B118" s="350" t="s">
        <v>1746</v>
      </c>
      <c r="C118" s="351" t="s">
        <v>293</v>
      </c>
      <c r="D118" s="350" t="s">
        <v>294</v>
      </c>
      <c r="E118" s="351" t="s">
        <v>510</v>
      </c>
      <c r="F118" s="350" t="s">
        <v>511</v>
      </c>
      <c r="G118" s="351" t="s">
        <v>512</v>
      </c>
      <c r="H118" s="352" t="s">
        <v>513</v>
      </c>
      <c r="I118" s="350" t="s">
        <v>513</v>
      </c>
      <c r="J118" s="351" t="s">
        <v>514</v>
      </c>
      <c r="K118" s="351" t="s">
        <v>514</v>
      </c>
      <c r="L118" s="351" t="s">
        <v>517</v>
      </c>
      <c r="M118" s="350" t="s">
        <v>518</v>
      </c>
      <c r="N118" s="350" t="s">
        <v>518</v>
      </c>
      <c r="O118" s="76"/>
      <c r="P118" s="76">
        <v>8</v>
      </c>
      <c r="Q118" s="485">
        <f>Fuente!AT122</f>
        <v>2.75</v>
      </c>
      <c r="R118" s="485">
        <f>Fuente!AU122</f>
        <v>0</v>
      </c>
      <c r="S118" s="485">
        <f>Fuente!AV122</f>
        <v>0</v>
      </c>
      <c r="T118" s="485">
        <f>Fuente!AW122</f>
        <v>0</v>
      </c>
      <c r="U118" s="467">
        <f>Fuente!AM122</f>
        <v>1</v>
      </c>
      <c r="V118" s="485">
        <f>Fuente!AY122</f>
        <v>8</v>
      </c>
      <c r="W118" s="485">
        <f>Fuente!AZ122</f>
        <v>3</v>
      </c>
      <c r="X118" s="485">
        <f>Fuente!BA122</f>
        <v>0</v>
      </c>
      <c r="Y118" s="485">
        <f>Fuente!BB122</f>
        <v>0</v>
      </c>
      <c r="Z118" s="485">
        <f>Fuente!BC122</f>
        <v>0</v>
      </c>
      <c r="AA118" s="467">
        <f>Fuente!BD122</f>
        <v>0.375</v>
      </c>
      <c r="AB118" s="480" t="s">
        <v>412</v>
      </c>
      <c r="AC118" s="477"/>
      <c r="AD118" s="477" t="s">
        <v>302</v>
      </c>
      <c r="AE118" s="477" t="s">
        <v>303</v>
      </c>
      <c r="AF118" s="482"/>
      <c r="AG118" s="480" t="str">
        <f>Fuente!AB120</f>
        <v>SECRETARÍA DE SALUD</v>
      </c>
      <c r="AH118" s="81"/>
      <c r="AI118" s="81"/>
      <c r="AJ118" s="81"/>
    </row>
    <row r="119" spans="1:36" ht="78.75" x14ac:dyDescent="0.2">
      <c r="A119" s="76">
        <v>1</v>
      </c>
      <c r="B119" s="350" t="s">
        <v>1746</v>
      </c>
      <c r="C119" s="351" t="s">
        <v>293</v>
      </c>
      <c r="D119" s="350" t="s">
        <v>294</v>
      </c>
      <c r="E119" s="351" t="s">
        <v>510</v>
      </c>
      <c r="F119" s="350" t="s">
        <v>511</v>
      </c>
      <c r="G119" s="351" t="s">
        <v>519</v>
      </c>
      <c r="H119" s="352" t="s">
        <v>520</v>
      </c>
      <c r="I119" s="350" t="s">
        <v>520</v>
      </c>
      <c r="J119" s="351" t="s">
        <v>521</v>
      </c>
      <c r="K119" s="351" t="s">
        <v>521</v>
      </c>
      <c r="L119" s="351" t="s">
        <v>522</v>
      </c>
      <c r="M119" s="350" t="s">
        <v>523</v>
      </c>
      <c r="N119" s="350" t="s">
        <v>523</v>
      </c>
      <c r="O119" s="76"/>
      <c r="P119" s="484">
        <v>1</v>
      </c>
      <c r="Q119" s="485">
        <f>Fuente!AT123</f>
        <v>0.25</v>
      </c>
      <c r="R119" s="485">
        <f>Fuente!AU123</f>
        <v>0</v>
      </c>
      <c r="S119" s="485">
        <f>Fuente!AV123</f>
        <v>0</v>
      </c>
      <c r="T119" s="485">
        <f>Fuente!AW123</f>
        <v>0</v>
      </c>
      <c r="U119" s="467">
        <f>Fuente!AM123</f>
        <v>1</v>
      </c>
      <c r="V119" s="485">
        <f>Fuente!AY123</f>
        <v>1</v>
      </c>
      <c r="W119" s="485">
        <f>Fuente!AZ123</f>
        <v>0</v>
      </c>
      <c r="X119" s="485">
        <f>Fuente!BA123</f>
        <v>0</v>
      </c>
      <c r="Y119" s="485">
        <f>Fuente!BB123</f>
        <v>0</v>
      </c>
      <c r="Z119" s="485">
        <f>Fuente!BC123</f>
        <v>0</v>
      </c>
      <c r="AA119" s="467">
        <f>Fuente!BD123</f>
        <v>0</v>
      </c>
      <c r="AB119" s="480" t="s">
        <v>412</v>
      </c>
      <c r="AC119" s="477"/>
      <c r="AD119" s="477" t="s">
        <v>302</v>
      </c>
      <c r="AE119" s="477" t="s">
        <v>303</v>
      </c>
      <c r="AF119" s="482"/>
      <c r="AG119" s="480" t="str">
        <f>Fuente!AB121</f>
        <v>SECRETARÍA DE SALUD</v>
      </c>
      <c r="AH119" s="81"/>
      <c r="AI119" s="81"/>
      <c r="AJ119" s="81"/>
    </row>
    <row r="120" spans="1:36" ht="78.75" x14ac:dyDescent="0.2">
      <c r="A120" s="76">
        <v>1</v>
      </c>
      <c r="B120" s="350" t="s">
        <v>1746</v>
      </c>
      <c r="C120" s="351" t="s">
        <v>293</v>
      </c>
      <c r="D120" s="350" t="s">
        <v>294</v>
      </c>
      <c r="E120" s="351" t="s">
        <v>510</v>
      </c>
      <c r="F120" s="350" t="s">
        <v>511</v>
      </c>
      <c r="G120" s="351" t="s">
        <v>519</v>
      </c>
      <c r="H120" s="352" t="s">
        <v>520</v>
      </c>
      <c r="I120" s="350" t="s">
        <v>520</v>
      </c>
      <c r="J120" s="351" t="s">
        <v>521</v>
      </c>
      <c r="K120" s="351" t="s">
        <v>521</v>
      </c>
      <c r="L120" s="351" t="s">
        <v>524</v>
      </c>
      <c r="M120" s="350" t="s">
        <v>525</v>
      </c>
      <c r="N120" s="350" t="s">
        <v>1939</v>
      </c>
      <c r="O120" s="76"/>
      <c r="P120" s="76">
        <v>24</v>
      </c>
      <c r="Q120" s="485">
        <f>Fuente!AT124</f>
        <v>5</v>
      </c>
      <c r="R120" s="485">
        <f>Fuente!AU124</f>
        <v>0</v>
      </c>
      <c r="S120" s="485">
        <f>Fuente!AV124</f>
        <v>0</v>
      </c>
      <c r="T120" s="485">
        <f>Fuente!AW124</f>
        <v>0</v>
      </c>
      <c r="U120" s="467">
        <f>Fuente!AM124</f>
        <v>0.20833333333333334</v>
      </c>
      <c r="V120" s="485">
        <f>Fuente!AY124</f>
        <v>7</v>
      </c>
      <c r="W120" s="485">
        <f>Fuente!AZ124</f>
        <v>0</v>
      </c>
      <c r="X120" s="485">
        <f>Fuente!BA124</f>
        <v>0</v>
      </c>
      <c r="Y120" s="485">
        <f>Fuente!BB124</f>
        <v>0</v>
      </c>
      <c r="Z120" s="485">
        <f>Fuente!BC124</f>
        <v>0</v>
      </c>
      <c r="AA120" s="467">
        <f>Fuente!BD124</f>
        <v>0</v>
      </c>
      <c r="AB120" s="480" t="s">
        <v>420</v>
      </c>
      <c r="AC120" s="477"/>
      <c r="AD120" s="477" t="s">
        <v>302</v>
      </c>
      <c r="AE120" s="477" t="s">
        <v>303</v>
      </c>
      <c r="AF120" s="482"/>
      <c r="AG120" s="480" t="str">
        <f>Fuente!AB122</f>
        <v>SECRETARÍA DE SALUD</v>
      </c>
      <c r="AH120" s="81"/>
      <c r="AI120" s="81"/>
      <c r="AJ120" s="81"/>
    </row>
    <row r="121" spans="1:36" ht="78.75" x14ac:dyDescent="0.2">
      <c r="A121" s="76">
        <v>1</v>
      </c>
      <c r="B121" s="350" t="s">
        <v>1746</v>
      </c>
      <c r="C121" s="351" t="s">
        <v>293</v>
      </c>
      <c r="D121" s="350" t="s">
        <v>294</v>
      </c>
      <c r="E121" s="351" t="s">
        <v>510</v>
      </c>
      <c r="F121" s="350" t="s">
        <v>511</v>
      </c>
      <c r="G121" s="351" t="s">
        <v>519</v>
      </c>
      <c r="H121" s="352" t="s">
        <v>520</v>
      </c>
      <c r="I121" s="350" t="s">
        <v>520</v>
      </c>
      <c r="J121" s="351" t="s">
        <v>521</v>
      </c>
      <c r="K121" s="351" t="s">
        <v>521</v>
      </c>
      <c r="L121" s="351" t="s">
        <v>526</v>
      </c>
      <c r="M121" s="350" t="s">
        <v>527</v>
      </c>
      <c r="N121" s="350" t="s">
        <v>527</v>
      </c>
      <c r="O121" s="76"/>
      <c r="P121" s="76">
        <v>24</v>
      </c>
      <c r="Q121" s="485">
        <f>Fuente!AT125</f>
        <v>5</v>
      </c>
      <c r="R121" s="485">
        <f>Fuente!AU125</f>
        <v>0</v>
      </c>
      <c r="S121" s="485">
        <f>Fuente!AV125</f>
        <v>0</v>
      </c>
      <c r="T121" s="485">
        <f>Fuente!AW125</f>
        <v>0</v>
      </c>
      <c r="U121" s="467">
        <f>Fuente!AM125</f>
        <v>0.20833333333333334</v>
      </c>
      <c r="V121" s="485">
        <f>Fuente!AY125</f>
        <v>7</v>
      </c>
      <c r="W121" s="485">
        <f>Fuente!AZ125</f>
        <v>0</v>
      </c>
      <c r="X121" s="485">
        <f>Fuente!BA125</f>
        <v>0</v>
      </c>
      <c r="Y121" s="485">
        <f>Fuente!BB125</f>
        <v>0</v>
      </c>
      <c r="Z121" s="485">
        <f>Fuente!BC125</f>
        <v>0</v>
      </c>
      <c r="AA121" s="467">
        <f>Fuente!BD125</f>
        <v>0</v>
      </c>
      <c r="AB121" s="480" t="s">
        <v>420</v>
      </c>
      <c r="AC121" s="477"/>
      <c r="AD121" s="477" t="s">
        <v>302</v>
      </c>
      <c r="AE121" s="477" t="s">
        <v>303</v>
      </c>
      <c r="AF121" s="482"/>
      <c r="AG121" s="480" t="str">
        <f>Fuente!AB123</f>
        <v>SECRETARÍA DE SALUD</v>
      </c>
      <c r="AH121" s="94"/>
      <c r="AI121" s="94"/>
      <c r="AJ121" s="81"/>
    </row>
    <row r="122" spans="1:36" ht="78.75" x14ac:dyDescent="0.2">
      <c r="A122" s="76">
        <v>1</v>
      </c>
      <c r="B122" s="350" t="s">
        <v>1746</v>
      </c>
      <c r="C122" s="351" t="s">
        <v>293</v>
      </c>
      <c r="D122" s="350" t="s">
        <v>294</v>
      </c>
      <c r="E122" s="351" t="s">
        <v>510</v>
      </c>
      <c r="F122" s="350" t="s">
        <v>511</v>
      </c>
      <c r="G122" s="351" t="s">
        <v>528</v>
      </c>
      <c r="H122" s="350" t="s">
        <v>529</v>
      </c>
      <c r="I122" s="350" t="s">
        <v>529</v>
      </c>
      <c r="J122" s="351">
        <v>60</v>
      </c>
      <c r="K122" s="351">
        <v>60</v>
      </c>
      <c r="L122" s="351" t="s">
        <v>530</v>
      </c>
      <c r="M122" s="350" t="s">
        <v>531</v>
      </c>
      <c r="N122" s="350" t="s">
        <v>531</v>
      </c>
      <c r="O122" s="76"/>
      <c r="P122" s="76">
        <v>25</v>
      </c>
      <c r="Q122" s="485">
        <f>Fuente!AT126</f>
        <v>7</v>
      </c>
      <c r="R122" s="485">
        <f>Fuente!AU126</f>
        <v>0</v>
      </c>
      <c r="S122" s="485">
        <f>Fuente!AV126</f>
        <v>0</v>
      </c>
      <c r="T122" s="485">
        <f>Fuente!AW126</f>
        <v>0</v>
      </c>
      <c r="U122" s="467">
        <f>Fuente!AM126</f>
        <v>0.28000000000000003</v>
      </c>
      <c r="V122" s="485">
        <f>Fuente!AY126</f>
        <v>6</v>
      </c>
      <c r="W122" s="485">
        <f>Fuente!AZ126</f>
        <v>0</v>
      </c>
      <c r="X122" s="485">
        <f>Fuente!BA126</f>
        <v>0</v>
      </c>
      <c r="Y122" s="485">
        <f>Fuente!BB126</f>
        <v>0</v>
      </c>
      <c r="Z122" s="485">
        <f>Fuente!BC126</f>
        <v>0</v>
      </c>
      <c r="AA122" s="467">
        <f>Fuente!BD126</f>
        <v>0</v>
      </c>
      <c r="AB122" s="480" t="s">
        <v>412</v>
      </c>
      <c r="AC122" s="477"/>
      <c r="AD122" s="477" t="s">
        <v>302</v>
      </c>
      <c r="AE122" s="477" t="s">
        <v>303</v>
      </c>
      <c r="AF122" s="482"/>
      <c r="AG122" s="480" t="str">
        <f>Fuente!AB124</f>
        <v>SECRETARÍA DE SALUD</v>
      </c>
      <c r="AH122" s="81"/>
      <c r="AI122" s="81"/>
      <c r="AJ122" s="81"/>
    </row>
    <row r="123" spans="1:36" ht="78.75" x14ac:dyDescent="0.2">
      <c r="A123" s="76">
        <v>1</v>
      </c>
      <c r="B123" s="350" t="s">
        <v>1746</v>
      </c>
      <c r="C123" s="351" t="s">
        <v>293</v>
      </c>
      <c r="D123" s="350" t="s">
        <v>294</v>
      </c>
      <c r="E123" s="351" t="s">
        <v>510</v>
      </c>
      <c r="F123" s="350" t="s">
        <v>511</v>
      </c>
      <c r="G123" s="351" t="s">
        <v>528</v>
      </c>
      <c r="H123" s="350" t="s">
        <v>529</v>
      </c>
      <c r="I123" s="350" t="s">
        <v>529</v>
      </c>
      <c r="J123" s="351">
        <v>60</v>
      </c>
      <c r="K123" s="351">
        <v>60</v>
      </c>
      <c r="L123" s="351" t="s">
        <v>532</v>
      </c>
      <c r="M123" s="350" t="s">
        <v>533</v>
      </c>
      <c r="N123" s="350" t="s">
        <v>533</v>
      </c>
      <c r="O123" s="76"/>
      <c r="P123" s="310">
        <v>37</v>
      </c>
      <c r="Q123" s="485">
        <f>Fuente!AT127</f>
        <v>10</v>
      </c>
      <c r="R123" s="485">
        <f>Fuente!AU127</f>
        <v>0</v>
      </c>
      <c r="S123" s="485">
        <f>Fuente!AV127</f>
        <v>0</v>
      </c>
      <c r="T123" s="485">
        <f>Fuente!AW127</f>
        <v>0</v>
      </c>
      <c r="U123" s="467">
        <f>Fuente!AM127</f>
        <v>0.27027027027027029</v>
      </c>
      <c r="V123" s="485">
        <f>Fuente!AY127</f>
        <v>9</v>
      </c>
      <c r="W123" s="485">
        <f>Fuente!AZ127</f>
        <v>0</v>
      </c>
      <c r="X123" s="485">
        <f>Fuente!BA127</f>
        <v>0</v>
      </c>
      <c r="Y123" s="485">
        <f>Fuente!BB127</f>
        <v>0</v>
      </c>
      <c r="Z123" s="485">
        <f>Fuente!BC127</f>
        <v>0</v>
      </c>
      <c r="AA123" s="467">
        <f>Fuente!BD127</f>
        <v>0</v>
      </c>
      <c r="AB123" s="480" t="s">
        <v>412</v>
      </c>
      <c r="AC123" s="477"/>
      <c r="AD123" s="477" t="s">
        <v>302</v>
      </c>
      <c r="AE123" s="477" t="s">
        <v>303</v>
      </c>
      <c r="AF123" s="482"/>
      <c r="AG123" s="480" t="str">
        <f>Fuente!AB125</f>
        <v>SECRETARÍA DE SALUD</v>
      </c>
      <c r="AH123" s="81"/>
      <c r="AI123" s="81"/>
      <c r="AJ123" s="81"/>
    </row>
    <row r="124" spans="1:36" ht="78.75" x14ac:dyDescent="0.2">
      <c r="A124" s="76">
        <v>1</v>
      </c>
      <c r="B124" s="350" t="s">
        <v>1746</v>
      </c>
      <c r="C124" s="351" t="s">
        <v>293</v>
      </c>
      <c r="D124" s="350" t="s">
        <v>294</v>
      </c>
      <c r="E124" s="351" t="s">
        <v>510</v>
      </c>
      <c r="F124" s="350" t="s">
        <v>511</v>
      </c>
      <c r="G124" s="351" t="s">
        <v>528</v>
      </c>
      <c r="H124" s="350" t="s">
        <v>529</v>
      </c>
      <c r="I124" s="350" t="s">
        <v>529</v>
      </c>
      <c r="J124" s="351">
        <v>60</v>
      </c>
      <c r="K124" s="351">
        <v>60</v>
      </c>
      <c r="L124" s="351" t="s">
        <v>534</v>
      </c>
      <c r="M124" s="350" t="s">
        <v>535</v>
      </c>
      <c r="N124" s="350" t="s">
        <v>535</v>
      </c>
      <c r="O124" s="76"/>
      <c r="P124" s="310">
        <v>37</v>
      </c>
      <c r="Q124" s="485">
        <f>Fuente!AT128</f>
        <v>10</v>
      </c>
      <c r="R124" s="485">
        <f>Fuente!AU128</f>
        <v>0</v>
      </c>
      <c r="S124" s="485">
        <f>Fuente!AV128</f>
        <v>0</v>
      </c>
      <c r="T124" s="485">
        <f>Fuente!AW128</f>
        <v>0</v>
      </c>
      <c r="U124" s="467">
        <f>Fuente!AM128</f>
        <v>0.27027027027027029</v>
      </c>
      <c r="V124" s="485">
        <f>Fuente!AY128</f>
        <v>9</v>
      </c>
      <c r="W124" s="485">
        <f>Fuente!AZ128</f>
        <v>0</v>
      </c>
      <c r="X124" s="485">
        <f>Fuente!BA128</f>
        <v>0</v>
      </c>
      <c r="Y124" s="485">
        <f>Fuente!BB128</f>
        <v>0</v>
      </c>
      <c r="Z124" s="485">
        <f>Fuente!BC128</f>
        <v>0</v>
      </c>
      <c r="AA124" s="467">
        <f>Fuente!BD128</f>
        <v>0</v>
      </c>
      <c r="AB124" s="480" t="s">
        <v>412</v>
      </c>
      <c r="AC124" s="477"/>
      <c r="AD124" s="477" t="s">
        <v>302</v>
      </c>
      <c r="AE124" s="477" t="s">
        <v>303</v>
      </c>
      <c r="AF124" s="482"/>
      <c r="AG124" s="480" t="str">
        <f>Fuente!AB126</f>
        <v>SECRETARÍA DE SALUD</v>
      </c>
      <c r="AH124" s="81"/>
      <c r="AI124" s="81"/>
      <c r="AJ124" s="81"/>
    </row>
    <row r="125" spans="1:36" ht="78.75" x14ac:dyDescent="0.2">
      <c r="A125" s="76">
        <v>1</v>
      </c>
      <c r="B125" s="350" t="s">
        <v>1746</v>
      </c>
      <c r="C125" s="351" t="s">
        <v>293</v>
      </c>
      <c r="D125" s="350" t="s">
        <v>294</v>
      </c>
      <c r="E125" s="351" t="s">
        <v>510</v>
      </c>
      <c r="F125" s="350" t="s">
        <v>511</v>
      </c>
      <c r="G125" s="351" t="s">
        <v>528</v>
      </c>
      <c r="H125" s="350" t="s">
        <v>529</v>
      </c>
      <c r="I125" s="350" t="s">
        <v>529</v>
      </c>
      <c r="J125" s="351">
        <v>60</v>
      </c>
      <c r="K125" s="351">
        <v>60</v>
      </c>
      <c r="L125" s="351" t="s">
        <v>536</v>
      </c>
      <c r="M125" s="350" t="s">
        <v>537</v>
      </c>
      <c r="N125" s="350" t="s">
        <v>537</v>
      </c>
      <c r="O125" s="76"/>
      <c r="P125" s="310">
        <v>15</v>
      </c>
      <c r="Q125" s="485">
        <f>Fuente!AT129</f>
        <v>4</v>
      </c>
      <c r="R125" s="485">
        <f>Fuente!AU129</f>
        <v>0</v>
      </c>
      <c r="S125" s="485">
        <f>Fuente!AV129</f>
        <v>0</v>
      </c>
      <c r="T125" s="485">
        <f>Fuente!AW129</f>
        <v>0</v>
      </c>
      <c r="U125" s="467">
        <f>Fuente!AM129</f>
        <v>0.26666666666666666</v>
      </c>
      <c r="V125" s="485">
        <f>Fuente!AY129</f>
        <v>4</v>
      </c>
      <c r="W125" s="485">
        <f>Fuente!AZ129</f>
        <v>0</v>
      </c>
      <c r="X125" s="485">
        <f>Fuente!BA129</f>
        <v>0</v>
      </c>
      <c r="Y125" s="485">
        <f>Fuente!BB129</f>
        <v>0</v>
      </c>
      <c r="Z125" s="485">
        <f>Fuente!BC129</f>
        <v>0</v>
      </c>
      <c r="AA125" s="467">
        <f>Fuente!BD129</f>
        <v>0</v>
      </c>
      <c r="AB125" s="480" t="s">
        <v>412</v>
      </c>
      <c r="AC125" s="477"/>
      <c r="AD125" s="477" t="s">
        <v>302</v>
      </c>
      <c r="AE125" s="477" t="s">
        <v>303</v>
      </c>
      <c r="AF125" s="482"/>
      <c r="AG125" s="480" t="str">
        <f>Fuente!AB127</f>
        <v>SECRETARÍA DE SALUD</v>
      </c>
      <c r="AH125" s="95"/>
      <c r="AI125" s="95"/>
      <c r="AJ125" s="81"/>
    </row>
    <row r="126" spans="1:36" ht="110.25" x14ac:dyDescent="0.2">
      <c r="A126" s="76">
        <v>1</v>
      </c>
      <c r="B126" s="350" t="s">
        <v>1746</v>
      </c>
      <c r="C126" s="351" t="s">
        <v>293</v>
      </c>
      <c r="D126" s="350" t="s">
        <v>294</v>
      </c>
      <c r="E126" s="351" t="s">
        <v>510</v>
      </c>
      <c r="F126" s="350" t="s">
        <v>511</v>
      </c>
      <c r="G126" s="351" t="s">
        <v>528</v>
      </c>
      <c r="H126" s="350" t="s">
        <v>529</v>
      </c>
      <c r="I126" s="350" t="s">
        <v>529</v>
      </c>
      <c r="J126" s="351">
        <v>60</v>
      </c>
      <c r="K126" s="351">
        <v>60</v>
      </c>
      <c r="L126" s="351" t="s">
        <v>538</v>
      </c>
      <c r="M126" s="350" t="s">
        <v>539</v>
      </c>
      <c r="N126" s="350" t="s">
        <v>539</v>
      </c>
      <c r="O126" s="76"/>
      <c r="P126" s="76">
        <v>5</v>
      </c>
      <c r="Q126" s="485">
        <f>Fuente!AT130</f>
        <v>1</v>
      </c>
      <c r="R126" s="485">
        <f>Fuente!AU130</f>
        <v>0</v>
      </c>
      <c r="S126" s="485">
        <f>Fuente!AV130</f>
        <v>0</v>
      </c>
      <c r="T126" s="485">
        <f>Fuente!AW130</f>
        <v>0</v>
      </c>
      <c r="U126" s="467">
        <f>Fuente!AM130</f>
        <v>0.2</v>
      </c>
      <c r="V126" s="485">
        <f>Fuente!AY130</f>
        <v>2</v>
      </c>
      <c r="W126" s="485">
        <f>Fuente!AZ130</f>
        <v>0</v>
      </c>
      <c r="X126" s="485">
        <f>Fuente!BA130</f>
        <v>0</v>
      </c>
      <c r="Y126" s="485">
        <f>Fuente!BB130</f>
        <v>0</v>
      </c>
      <c r="Z126" s="485">
        <f>Fuente!BC130</f>
        <v>0</v>
      </c>
      <c r="AA126" s="467">
        <f>Fuente!BD130</f>
        <v>0</v>
      </c>
      <c r="AB126" s="480" t="s">
        <v>412</v>
      </c>
      <c r="AC126" s="477"/>
      <c r="AD126" s="477"/>
      <c r="AE126" s="477"/>
      <c r="AF126" s="482"/>
      <c r="AG126" s="480" t="str">
        <f>Fuente!AB128</f>
        <v>SECRETARÍA DE SALUD</v>
      </c>
      <c r="AH126" s="95"/>
      <c r="AI126" s="95"/>
      <c r="AJ126" s="81"/>
    </row>
    <row r="127" spans="1:36" ht="94.5" x14ac:dyDescent="0.2">
      <c r="A127" s="76">
        <v>1</v>
      </c>
      <c r="B127" s="350" t="s">
        <v>1746</v>
      </c>
      <c r="C127" s="351" t="s">
        <v>293</v>
      </c>
      <c r="D127" s="350" t="s">
        <v>294</v>
      </c>
      <c r="E127" s="351" t="s">
        <v>510</v>
      </c>
      <c r="F127" s="350" t="s">
        <v>511</v>
      </c>
      <c r="G127" s="351" t="s">
        <v>540</v>
      </c>
      <c r="H127" s="350" t="s">
        <v>541</v>
      </c>
      <c r="I127" s="350" t="s">
        <v>541</v>
      </c>
      <c r="J127" s="351">
        <v>40</v>
      </c>
      <c r="K127" s="351">
        <v>40</v>
      </c>
      <c r="L127" s="351" t="s">
        <v>542</v>
      </c>
      <c r="M127" s="350" t="s">
        <v>543</v>
      </c>
      <c r="N127" s="350" t="s">
        <v>543</v>
      </c>
      <c r="O127" s="76"/>
      <c r="P127" s="484">
        <v>1</v>
      </c>
      <c r="Q127" s="485">
        <f>Fuente!AT131</f>
        <v>0.25</v>
      </c>
      <c r="R127" s="485">
        <f>Fuente!AU131</f>
        <v>0</v>
      </c>
      <c r="S127" s="485">
        <f>Fuente!AV131</f>
        <v>0</v>
      </c>
      <c r="T127" s="485">
        <f>Fuente!AW131</f>
        <v>0</v>
      </c>
      <c r="U127" s="467">
        <f>Fuente!AM131</f>
        <v>1</v>
      </c>
      <c r="V127" s="485">
        <f>Fuente!AY131</f>
        <v>1</v>
      </c>
      <c r="W127" s="485">
        <f>Fuente!AZ131</f>
        <v>0</v>
      </c>
      <c r="X127" s="485">
        <f>Fuente!BA131</f>
        <v>0</v>
      </c>
      <c r="Y127" s="485">
        <f>Fuente!BB131</f>
        <v>0</v>
      </c>
      <c r="Z127" s="485">
        <f>Fuente!BC131</f>
        <v>0</v>
      </c>
      <c r="AA127" s="467">
        <f>Fuente!BD131</f>
        <v>0</v>
      </c>
      <c r="AB127" s="480" t="s">
        <v>412</v>
      </c>
      <c r="AC127" s="477"/>
      <c r="AD127" s="477"/>
      <c r="AE127" s="477"/>
      <c r="AF127" s="482"/>
      <c r="AG127" s="480" t="str">
        <f>Fuente!AB129</f>
        <v>SECRETARÍA DE SALUD</v>
      </c>
      <c r="AH127" s="95"/>
      <c r="AI127" s="95"/>
      <c r="AJ127" s="81"/>
    </row>
    <row r="128" spans="1:36" ht="110.25" x14ac:dyDescent="0.2">
      <c r="A128" s="76">
        <v>1</v>
      </c>
      <c r="B128" s="350" t="s">
        <v>1746</v>
      </c>
      <c r="C128" s="351" t="s">
        <v>293</v>
      </c>
      <c r="D128" s="350" t="s">
        <v>294</v>
      </c>
      <c r="E128" s="351" t="s">
        <v>510</v>
      </c>
      <c r="F128" s="350" t="s">
        <v>511</v>
      </c>
      <c r="G128" s="351" t="s">
        <v>540</v>
      </c>
      <c r="H128" s="350" t="s">
        <v>541</v>
      </c>
      <c r="I128" s="350" t="s">
        <v>541</v>
      </c>
      <c r="J128" s="351">
        <v>40</v>
      </c>
      <c r="K128" s="351">
        <v>40</v>
      </c>
      <c r="L128" s="351" t="s">
        <v>544</v>
      </c>
      <c r="M128" s="350" t="s">
        <v>545</v>
      </c>
      <c r="N128" s="350" t="s">
        <v>545</v>
      </c>
      <c r="O128" s="76"/>
      <c r="P128" s="310">
        <v>20</v>
      </c>
      <c r="Q128" s="485">
        <f>Fuente!AT132</f>
        <v>0</v>
      </c>
      <c r="R128" s="485">
        <f>Fuente!AU132</f>
        <v>0</v>
      </c>
      <c r="S128" s="485">
        <f>Fuente!AV132</f>
        <v>0</v>
      </c>
      <c r="T128" s="485">
        <f>Fuente!AW132</f>
        <v>0</v>
      </c>
      <c r="U128" s="467">
        <f>Fuente!AM132</f>
        <v>0</v>
      </c>
      <c r="V128" s="485">
        <f>Fuente!AY132</f>
        <v>5</v>
      </c>
      <c r="W128" s="485">
        <f>Fuente!AZ132</f>
        <v>0</v>
      </c>
      <c r="X128" s="485">
        <f>Fuente!BA132</f>
        <v>0</v>
      </c>
      <c r="Y128" s="485">
        <f>Fuente!BB132</f>
        <v>0</v>
      </c>
      <c r="Z128" s="485">
        <f>Fuente!BC132</f>
        <v>0</v>
      </c>
      <c r="AA128" s="467">
        <f>Fuente!BD132</f>
        <v>0</v>
      </c>
      <c r="AB128" s="480" t="s">
        <v>412</v>
      </c>
      <c r="AC128" s="477"/>
      <c r="AD128" s="477" t="s">
        <v>302</v>
      </c>
      <c r="AE128" s="477" t="s">
        <v>303</v>
      </c>
      <c r="AF128" s="482"/>
      <c r="AG128" s="480" t="str">
        <f>Fuente!AB130</f>
        <v>SECRETARÍA DE SALUD</v>
      </c>
      <c r="AH128" s="81"/>
      <c r="AI128" s="81"/>
      <c r="AJ128" s="81"/>
    </row>
    <row r="129" spans="1:36" ht="94.5" x14ac:dyDescent="0.2">
      <c r="A129" s="76">
        <v>1</v>
      </c>
      <c r="B129" s="350" t="s">
        <v>1746</v>
      </c>
      <c r="C129" s="351" t="s">
        <v>293</v>
      </c>
      <c r="D129" s="350" t="s">
        <v>294</v>
      </c>
      <c r="E129" s="351" t="s">
        <v>510</v>
      </c>
      <c r="F129" s="350" t="s">
        <v>511</v>
      </c>
      <c r="G129" s="351" t="s">
        <v>546</v>
      </c>
      <c r="H129" s="350" t="s">
        <v>547</v>
      </c>
      <c r="I129" s="350" t="s">
        <v>547</v>
      </c>
      <c r="J129" s="351">
        <v>0</v>
      </c>
      <c r="K129" s="351">
        <v>50</v>
      </c>
      <c r="L129" s="351" t="s">
        <v>548</v>
      </c>
      <c r="M129" s="350" t="s">
        <v>549</v>
      </c>
      <c r="N129" s="350" t="s">
        <v>549</v>
      </c>
      <c r="O129" s="76"/>
      <c r="P129" s="310">
        <v>19</v>
      </c>
      <c r="Q129" s="485">
        <f>Fuente!AT133</f>
        <v>6</v>
      </c>
      <c r="R129" s="485">
        <f>Fuente!AU133</f>
        <v>0</v>
      </c>
      <c r="S129" s="485">
        <f>Fuente!AV133</f>
        <v>0</v>
      </c>
      <c r="T129" s="485">
        <f>Fuente!AW133</f>
        <v>0</v>
      </c>
      <c r="U129" s="467">
        <f>Fuente!AM133</f>
        <v>0.31578947368421051</v>
      </c>
      <c r="V129" s="485">
        <f>Fuente!AY133</f>
        <v>5</v>
      </c>
      <c r="W129" s="485">
        <f>Fuente!AZ133</f>
        <v>0</v>
      </c>
      <c r="X129" s="485">
        <f>Fuente!BA133</f>
        <v>0</v>
      </c>
      <c r="Y129" s="485">
        <f>Fuente!BB133</f>
        <v>0</v>
      </c>
      <c r="Z129" s="485">
        <f>Fuente!BC133</f>
        <v>0</v>
      </c>
      <c r="AA129" s="467">
        <f>Fuente!BD133</f>
        <v>0</v>
      </c>
      <c r="AB129" s="480" t="s">
        <v>420</v>
      </c>
      <c r="AC129" s="477"/>
      <c r="AD129" s="477" t="s">
        <v>302</v>
      </c>
      <c r="AE129" s="477" t="s">
        <v>303</v>
      </c>
      <c r="AF129" s="482"/>
      <c r="AG129" s="480" t="str">
        <f>Fuente!AB131</f>
        <v>SECRETARÍA DE SALUD</v>
      </c>
      <c r="AH129" s="94"/>
      <c r="AI129" s="81"/>
      <c r="AJ129" s="81"/>
    </row>
    <row r="130" spans="1:36" ht="94.5" x14ac:dyDescent="0.2">
      <c r="A130" s="76">
        <v>1</v>
      </c>
      <c r="B130" s="350" t="s">
        <v>1746</v>
      </c>
      <c r="C130" s="351" t="s">
        <v>293</v>
      </c>
      <c r="D130" s="350" t="s">
        <v>294</v>
      </c>
      <c r="E130" s="351" t="s">
        <v>510</v>
      </c>
      <c r="F130" s="350" t="s">
        <v>511</v>
      </c>
      <c r="G130" s="351" t="s">
        <v>550</v>
      </c>
      <c r="H130" s="350" t="s">
        <v>551</v>
      </c>
      <c r="I130" s="350" t="s">
        <v>551</v>
      </c>
      <c r="J130" s="351">
        <v>25</v>
      </c>
      <c r="K130" s="351">
        <v>25</v>
      </c>
      <c r="L130" s="351" t="s">
        <v>552</v>
      </c>
      <c r="M130" s="350" t="s">
        <v>553</v>
      </c>
      <c r="N130" s="350" t="s">
        <v>553</v>
      </c>
      <c r="O130" s="76"/>
      <c r="P130" s="76">
        <v>15</v>
      </c>
      <c r="Q130" s="485">
        <f>Fuente!AT134</f>
        <v>0</v>
      </c>
      <c r="R130" s="485">
        <f>Fuente!AU134</f>
        <v>0</v>
      </c>
      <c r="S130" s="485">
        <f>Fuente!AV134</f>
        <v>0</v>
      </c>
      <c r="T130" s="485">
        <f>Fuente!AW134</f>
        <v>0</v>
      </c>
      <c r="U130" s="467">
        <f>Fuente!AM134</f>
        <v>0</v>
      </c>
      <c r="V130" s="485">
        <f>Fuente!AY134</f>
        <v>3</v>
      </c>
      <c r="W130" s="485">
        <f>Fuente!AZ134</f>
        <v>0</v>
      </c>
      <c r="X130" s="485">
        <f>Fuente!BA134</f>
        <v>0</v>
      </c>
      <c r="Y130" s="485">
        <f>Fuente!BB134</f>
        <v>0</v>
      </c>
      <c r="Z130" s="485">
        <f>Fuente!BC134</f>
        <v>0</v>
      </c>
      <c r="AA130" s="467">
        <f>Fuente!BD134</f>
        <v>0</v>
      </c>
      <c r="AB130" s="480" t="s">
        <v>412</v>
      </c>
      <c r="AC130" s="477"/>
      <c r="AD130" s="477"/>
      <c r="AE130" s="477"/>
      <c r="AF130" s="482"/>
      <c r="AG130" s="480" t="str">
        <f>Fuente!AB132</f>
        <v>SECRETARÍA DE SALUD</v>
      </c>
      <c r="AH130" s="95"/>
      <c r="AI130" s="95"/>
      <c r="AJ130" s="81"/>
    </row>
    <row r="131" spans="1:36" ht="63" x14ac:dyDescent="0.2">
      <c r="A131" s="76">
        <v>1</v>
      </c>
      <c r="B131" s="350" t="s">
        <v>1746</v>
      </c>
      <c r="C131" s="351" t="s">
        <v>293</v>
      </c>
      <c r="D131" s="350" t="s">
        <v>294</v>
      </c>
      <c r="E131" s="351" t="s">
        <v>510</v>
      </c>
      <c r="F131" s="350" t="s">
        <v>511</v>
      </c>
      <c r="G131" s="351" t="s">
        <v>550</v>
      </c>
      <c r="H131" s="350" t="s">
        <v>551</v>
      </c>
      <c r="I131" s="350" t="s">
        <v>551</v>
      </c>
      <c r="J131" s="351">
        <v>25</v>
      </c>
      <c r="K131" s="351">
        <v>25</v>
      </c>
      <c r="L131" s="351" t="s">
        <v>554</v>
      </c>
      <c r="M131" s="350" t="s">
        <v>555</v>
      </c>
      <c r="N131" s="350" t="s">
        <v>555</v>
      </c>
      <c r="O131" s="76"/>
      <c r="P131" s="76">
        <v>45</v>
      </c>
      <c r="Q131" s="485">
        <f>Fuente!AT135</f>
        <v>10</v>
      </c>
      <c r="R131" s="485">
        <f>Fuente!AU135</f>
        <v>0</v>
      </c>
      <c r="S131" s="485">
        <f>Fuente!AV135</f>
        <v>0</v>
      </c>
      <c r="T131" s="485">
        <f>Fuente!AW135</f>
        <v>0</v>
      </c>
      <c r="U131" s="467">
        <f>Fuente!AM135</f>
        <v>0.22222222222222221</v>
      </c>
      <c r="V131" s="485">
        <f>Fuente!AY135</f>
        <v>10</v>
      </c>
      <c r="W131" s="485">
        <f>Fuente!AZ135</f>
        <v>0</v>
      </c>
      <c r="X131" s="485">
        <f>Fuente!BA135</f>
        <v>0</v>
      </c>
      <c r="Y131" s="485">
        <f>Fuente!BB135</f>
        <v>0</v>
      </c>
      <c r="Z131" s="485">
        <f>Fuente!BC135</f>
        <v>0</v>
      </c>
      <c r="AA131" s="467">
        <f>Fuente!BD135</f>
        <v>0</v>
      </c>
      <c r="AB131" s="480" t="s">
        <v>412</v>
      </c>
      <c r="AC131" s="477"/>
      <c r="AD131" s="477" t="s">
        <v>302</v>
      </c>
      <c r="AE131" s="477" t="s">
        <v>303</v>
      </c>
      <c r="AF131" s="482"/>
      <c r="AG131" s="480" t="str">
        <f>Fuente!AB133</f>
        <v>SECRETARÍA DE SALUD</v>
      </c>
      <c r="AH131" s="95"/>
      <c r="AI131" s="95"/>
      <c r="AJ131" s="81"/>
    </row>
    <row r="132" spans="1:36" ht="94.5" x14ac:dyDescent="0.2">
      <c r="A132" s="76">
        <v>1</v>
      </c>
      <c r="B132" s="350" t="s">
        <v>1746</v>
      </c>
      <c r="C132" s="351" t="s">
        <v>293</v>
      </c>
      <c r="D132" s="350" t="s">
        <v>294</v>
      </c>
      <c r="E132" s="351" t="s">
        <v>510</v>
      </c>
      <c r="F132" s="350" t="s">
        <v>511</v>
      </c>
      <c r="G132" s="351" t="s">
        <v>550</v>
      </c>
      <c r="H132" s="350" t="s">
        <v>551</v>
      </c>
      <c r="I132" s="350" t="s">
        <v>551</v>
      </c>
      <c r="J132" s="351">
        <v>25</v>
      </c>
      <c r="K132" s="351">
        <v>25</v>
      </c>
      <c r="L132" s="351" t="s">
        <v>556</v>
      </c>
      <c r="M132" s="350" t="s">
        <v>557</v>
      </c>
      <c r="N132" s="350" t="s">
        <v>557</v>
      </c>
      <c r="O132" s="76"/>
      <c r="P132" s="76">
        <v>24</v>
      </c>
      <c r="Q132" s="485">
        <f>Fuente!AT136</f>
        <v>8</v>
      </c>
      <c r="R132" s="485">
        <f>Fuente!AU136</f>
        <v>0</v>
      </c>
      <c r="S132" s="485">
        <f>Fuente!AV136</f>
        <v>0</v>
      </c>
      <c r="T132" s="485">
        <f>Fuente!AW136</f>
        <v>0</v>
      </c>
      <c r="U132" s="467">
        <f>Fuente!AM136</f>
        <v>0.33333333333333331</v>
      </c>
      <c r="V132" s="485">
        <f>Fuente!AY136</f>
        <v>5</v>
      </c>
      <c r="W132" s="485">
        <f>Fuente!AZ136</f>
        <v>0</v>
      </c>
      <c r="X132" s="485">
        <f>Fuente!BA136</f>
        <v>0</v>
      </c>
      <c r="Y132" s="485">
        <f>Fuente!BB136</f>
        <v>0</v>
      </c>
      <c r="Z132" s="485">
        <f>Fuente!BC136</f>
        <v>0</v>
      </c>
      <c r="AA132" s="467">
        <f>Fuente!BD136</f>
        <v>0</v>
      </c>
      <c r="AB132" s="480" t="s">
        <v>412</v>
      </c>
      <c r="AC132" s="477"/>
      <c r="AD132" s="477" t="s">
        <v>302</v>
      </c>
      <c r="AE132" s="477" t="s">
        <v>303</v>
      </c>
      <c r="AF132" s="482"/>
      <c r="AG132" s="480" t="str">
        <f>Fuente!AB134</f>
        <v>SECRETARÍA DE SALUD</v>
      </c>
      <c r="AH132" s="81"/>
      <c r="AI132" s="81"/>
      <c r="AJ132" s="81"/>
    </row>
    <row r="133" spans="1:36" ht="63" x14ac:dyDescent="0.2">
      <c r="A133" s="76">
        <v>1</v>
      </c>
      <c r="B133" s="350" t="s">
        <v>1746</v>
      </c>
      <c r="C133" s="351" t="s">
        <v>293</v>
      </c>
      <c r="D133" s="350" t="s">
        <v>294</v>
      </c>
      <c r="E133" s="351" t="s">
        <v>510</v>
      </c>
      <c r="F133" s="350" t="s">
        <v>511</v>
      </c>
      <c r="G133" s="351" t="s">
        <v>550</v>
      </c>
      <c r="H133" s="350" t="s">
        <v>551</v>
      </c>
      <c r="I133" s="350" t="s">
        <v>551</v>
      </c>
      <c r="J133" s="351">
        <v>25</v>
      </c>
      <c r="K133" s="351">
        <v>25</v>
      </c>
      <c r="L133" s="351" t="s">
        <v>558</v>
      </c>
      <c r="M133" s="350" t="s">
        <v>559</v>
      </c>
      <c r="N133" s="350" t="s">
        <v>559</v>
      </c>
      <c r="O133" s="76"/>
      <c r="P133" s="76">
        <v>2900</v>
      </c>
      <c r="Q133" s="485">
        <f>Fuente!AT137</f>
        <v>0</v>
      </c>
      <c r="R133" s="485">
        <f>Fuente!AU137</f>
        <v>0</v>
      </c>
      <c r="S133" s="485">
        <f>Fuente!AV137</f>
        <v>0</v>
      </c>
      <c r="T133" s="485">
        <f>Fuente!AW137</f>
        <v>0</v>
      </c>
      <c r="U133" s="467">
        <f>Fuente!AM137</f>
        <v>0</v>
      </c>
      <c r="V133" s="485">
        <f>Fuente!AY137</f>
        <v>725</v>
      </c>
      <c r="W133" s="485">
        <f>Fuente!AZ137</f>
        <v>0</v>
      </c>
      <c r="X133" s="485">
        <f>Fuente!BA137</f>
        <v>0</v>
      </c>
      <c r="Y133" s="485">
        <f>Fuente!BB137</f>
        <v>0</v>
      </c>
      <c r="Z133" s="485">
        <f>Fuente!BC137</f>
        <v>0</v>
      </c>
      <c r="AA133" s="467">
        <f>Fuente!BD137</f>
        <v>0</v>
      </c>
      <c r="AB133" s="480" t="s">
        <v>412</v>
      </c>
      <c r="AC133" s="477"/>
      <c r="AD133" s="477" t="s">
        <v>302</v>
      </c>
      <c r="AE133" s="477" t="s">
        <v>303</v>
      </c>
      <c r="AF133" s="482"/>
      <c r="AG133" s="480" t="str">
        <f>Fuente!AB135</f>
        <v>SECRETARÍA DE SALUD</v>
      </c>
      <c r="AH133" s="81"/>
      <c r="AI133" s="81"/>
      <c r="AJ133" s="81"/>
    </row>
    <row r="134" spans="1:36" ht="78.75" x14ac:dyDescent="0.2">
      <c r="A134" s="76">
        <v>1</v>
      </c>
      <c r="B134" s="350" t="s">
        <v>1746</v>
      </c>
      <c r="C134" s="351" t="s">
        <v>293</v>
      </c>
      <c r="D134" s="350" t="s">
        <v>294</v>
      </c>
      <c r="E134" s="351" t="s">
        <v>510</v>
      </c>
      <c r="F134" s="350" t="s">
        <v>511</v>
      </c>
      <c r="G134" s="351" t="s">
        <v>550</v>
      </c>
      <c r="H134" s="350" t="s">
        <v>551</v>
      </c>
      <c r="I134" s="350" t="s">
        <v>551</v>
      </c>
      <c r="J134" s="351">
        <v>25</v>
      </c>
      <c r="K134" s="351">
        <v>25</v>
      </c>
      <c r="L134" s="351" t="s">
        <v>560</v>
      </c>
      <c r="M134" s="350" t="s">
        <v>561</v>
      </c>
      <c r="N134" s="350" t="s">
        <v>561</v>
      </c>
      <c r="O134" s="76"/>
      <c r="P134" s="76">
        <v>34</v>
      </c>
      <c r="Q134" s="485">
        <f>Fuente!AT138</f>
        <v>10</v>
      </c>
      <c r="R134" s="485">
        <f>Fuente!AU138</f>
        <v>0</v>
      </c>
      <c r="S134" s="485">
        <f>Fuente!AV138</f>
        <v>0</v>
      </c>
      <c r="T134" s="485">
        <f>Fuente!AW138</f>
        <v>0</v>
      </c>
      <c r="U134" s="467">
        <f>Fuente!AM138</f>
        <v>0.29411764705882354</v>
      </c>
      <c r="V134" s="485">
        <f>Fuente!AY138</f>
        <v>9</v>
      </c>
      <c r="W134" s="485">
        <f>Fuente!AZ138</f>
        <v>0</v>
      </c>
      <c r="X134" s="485">
        <f>Fuente!BA138</f>
        <v>0</v>
      </c>
      <c r="Y134" s="485">
        <f>Fuente!BB138</f>
        <v>0</v>
      </c>
      <c r="Z134" s="485">
        <f>Fuente!BC138</f>
        <v>0</v>
      </c>
      <c r="AA134" s="467">
        <f>Fuente!BD138</f>
        <v>0</v>
      </c>
      <c r="AB134" s="480" t="s">
        <v>412</v>
      </c>
      <c r="AC134" s="477"/>
      <c r="AD134" s="477" t="s">
        <v>302</v>
      </c>
      <c r="AE134" s="477" t="s">
        <v>303</v>
      </c>
      <c r="AF134" s="482"/>
      <c r="AG134" s="480" t="str">
        <f>Fuente!AB136</f>
        <v>SECRETARÍA DE SALUD</v>
      </c>
      <c r="AH134" s="81"/>
      <c r="AI134" s="81"/>
      <c r="AJ134" s="81"/>
    </row>
    <row r="135" spans="1:36" ht="63" x14ac:dyDescent="0.2">
      <c r="A135" s="76">
        <v>1</v>
      </c>
      <c r="B135" s="350" t="s">
        <v>1746</v>
      </c>
      <c r="C135" s="351" t="s">
        <v>293</v>
      </c>
      <c r="D135" s="350" t="s">
        <v>294</v>
      </c>
      <c r="E135" s="351" t="s">
        <v>510</v>
      </c>
      <c r="F135" s="350" t="s">
        <v>511</v>
      </c>
      <c r="G135" s="351" t="s">
        <v>562</v>
      </c>
      <c r="H135" s="352" t="s">
        <v>563</v>
      </c>
      <c r="I135" s="350" t="s">
        <v>563</v>
      </c>
      <c r="J135" s="351">
        <v>56</v>
      </c>
      <c r="K135" s="351">
        <v>56</v>
      </c>
      <c r="L135" s="351" t="s">
        <v>564</v>
      </c>
      <c r="M135" s="350" t="s">
        <v>565</v>
      </c>
      <c r="N135" s="350" t="s">
        <v>565</v>
      </c>
      <c r="O135" s="76"/>
      <c r="P135" s="76">
        <v>45</v>
      </c>
      <c r="Q135" s="485">
        <f>Fuente!AT139</f>
        <v>10</v>
      </c>
      <c r="R135" s="485">
        <f>Fuente!AU139</f>
        <v>0</v>
      </c>
      <c r="S135" s="485">
        <f>Fuente!AV139</f>
        <v>0</v>
      </c>
      <c r="T135" s="485">
        <f>Fuente!AW139</f>
        <v>0</v>
      </c>
      <c r="U135" s="467">
        <f>Fuente!AM139</f>
        <v>0.22222222222222221</v>
      </c>
      <c r="V135" s="485">
        <f>Fuente!AY139</f>
        <v>10</v>
      </c>
      <c r="W135" s="485">
        <f>Fuente!AZ139</f>
        <v>0</v>
      </c>
      <c r="X135" s="485">
        <f>Fuente!BA139</f>
        <v>0</v>
      </c>
      <c r="Y135" s="485">
        <f>Fuente!BB139</f>
        <v>0</v>
      </c>
      <c r="Z135" s="485">
        <f>Fuente!BC139</f>
        <v>0</v>
      </c>
      <c r="AA135" s="467">
        <f>Fuente!BD139</f>
        <v>0</v>
      </c>
      <c r="AB135" s="480" t="s">
        <v>412</v>
      </c>
      <c r="AC135" s="477"/>
      <c r="AD135" s="477"/>
      <c r="AE135" s="477"/>
      <c r="AF135" s="482"/>
      <c r="AG135" s="480" t="str">
        <f>Fuente!AB137</f>
        <v>SECRETARÍA DE SALUD</v>
      </c>
      <c r="AH135" s="81"/>
      <c r="AI135" s="81"/>
      <c r="AJ135" s="81"/>
    </row>
    <row r="136" spans="1:36" ht="110.25" x14ac:dyDescent="0.2">
      <c r="A136" s="76">
        <v>1</v>
      </c>
      <c r="B136" s="350" t="s">
        <v>1746</v>
      </c>
      <c r="C136" s="351" t="s">
        <v>293</v>
      </c>
      <c r="D136" s="350" t="s">
        <v>294</v>
      </c>
      <c r="E136" s="351" t="s">
        <v>510</v>
      </c>
      <c r="F136" s="350" t="s">
        <v>511</v>
      </c>
      <c r="G136" s="351" t="s">
        <v>562</v>
      </c>
      <c r="H136" s="350" t="s">
        <v>566</v>
      </c>
      <c r="I136" s="350" t="s">
        <v>566</v>
      </c>
      <c r="J136" s="351">
        <v>56</v>
      </c>
      <c r="K136" s="351">
        <v>56</v>
      </c>
      <c r="L136" s="351" t="s">
        <v>567</v>
      </c>
      <c r="M136" s="350" t="s">
        <v>568</v>
      </c>
      <c r="N136" s="350" t="s">
        <v>569</v>
      </c>
      <c r="O136" s="76"/>
      <c r="P136" s="484">
        <v>1</v>
      </c>
      <c r="Q136" s="485">
        <f>Fuente!AT140</f>
        <v>0.1</v>
      </c>
      <c r="R136" s="485">
        <f>Fuente!AU140</f>
        <v>0</v>
      </c>
      <c r="S136" s="485">
        <f>Fuente!AV140</f>
        <v>0</v>
      </c>
      <c r="T136" s="485">
        <f>Fuente!AW140</f>
        <v>0</v>
      </c>
      <c r="U136" s="467">
        <f>Fuente!AM140</f>
        <v>0.4</v>
      </c>
      <c r="V136" s="485">
        <f>Fuente!AY140</f>
        <v>1</v>
      </c>
      <c r="W136" s="485">
        <f>Fuente!AZ140</f>
        <v>0</v>
      </c>
      <c r="X136" s="485">
        <f>Fuente!BA140</f>
        <v>0</v>
      </c>
      <c r="Y136" s="485">
        <f>Fuente!BB140</f>
        <v>0</v>
      </c>
      <c r="Z136" s="485">
        <f>Fuente!BC140</f>
        <v>0</v>
      </c>
      <c r="AA136" s="467">
        <f>Fuente!BD140</f>
        <v>0</v>
      </c>
      <c r="AB136" s="480" t="s">
        <v>412</v>
      </c>
      <c r="AC136" s="477"/>
      <c r="AD136" s="477" t="s">
        <v>302</v>
      </c>
      <c r="AE136" s="477" t="s">
        <v>303</v>
      </c>
      <c r="AF136" s="482"/>
      <c r="AG136" s="480" t="str">
        <f>Fuente!AB138</f>
        <v>SECRETARÍA DE SALUD</v>
      </c>
      <c r="AH136" s="81"/>
      <c r="AI136" s="81"/>
      <c r="AJ136" s="81"/>
    </row>
    <row r="137" spans="1:36" ht="157.5" x14ac:dyDescent="0.2">
      <c r="A137" s="76">
        <v>1</v>
      </c>
      <c r="B137" s="350" t="s">
        <v>1746</v>
      </c>
      <c r="C137" s="351" t="s">
        <v>293</v>
      </c>
      <c r="D137" s="350" t="s">
        <v>294</v>
      </c>
      <c r="E137" s="351" t="s">
        <v>510</v>
      </c>
      <c r="F137" s="350" t="s">
        <v>511</v>
      </c>
      <c r="G137" s="351" t="s">
        <v>562</v>
      </c>
      <c r="H137" s="350" t="s">
        <v>566</v>
      </c>
      <c r="I137" s="350" t="s">
        <v>566</v>
      </c>
      <c r="J137" s="351">
        <v>56</v>
      </c>
      <c r="K137" s="351">
        <v>56</v>
      </c>
      <c r="L137" s="351" t="s">
        <v>570</v>
      </c>
      <c r="M137" s="350" t="s">
        <v>571</v>
      </c>
      <c r="N137" s="350" t="s">
        <v>571</v>
      </c>
      <c r="O137" s="76"/>
      <c r="P137" s="310">
        <v>20</v>
      </c>
      <c r="Q137" s="485">
        <f>Fuente!AT141</f>
        <v>10</v>
      </c>
      <c r="R137" s="485">
        <f>Fuente!AU141</f>
        <v>0</v>
      </c>
      <c r="S137" s="485">
        <f>Fuente!AV141</f>
        <v>0</v>
      </c>
      <c r="T137" s="485">
        <f>Fuente!AW141</f>
        <v>0</v>
      </c>
      <c r="U137" s="467">
        <f>Fuente!AM141</f>
        <v>0.5</v>
      </c>
      <c r="V137" s="485">
        <f>Fuente!AY141</f>
        <v>5</v>
      </c>
      <c r="W137" s="485">
        <f>Fuente!AZ141</f>
        <v>0</v>
      </c>
      <c r="X137" s="485">
        <f>Fuente!BA141</f>
        <v>0</v>
      </c>
      <c r="Y137" s="485">
        <f>Fuente!BB141</f>
        <v>0</v>
      </c>
      <c r="Z137" s="485">
        <f>Fuente!BC141</f>
        <v>0</v>
      </c>
      <c r="AA137" s="467">
        <f>Fuente!BD141</f>
        <v>0</v>
      </c>
      <c r="AB137" s="480" t="s">
        <v>412</v>
      </c>
      <c r="AC137" s="477"/>
      <c r="AD137" s="477" t="s">
        <v>302</v>
      </c>
      <c r="AE137" s="477" t="s">
        <v>303</v>
      </c>
      <c r="AF137" s="482"/>
      <c r="AG137" s="480" t="str">
        <f>Fuente!AB139</f>
        <v>SECRETARÍA DE SALUD</v>
      </c>
      <c r="AH137" s="81"/>
      <c r="AI137" s="81"/>
      <c r="AJ137" s="81"/>
    </row>
    <row r="138" spans="1:36" ht="78.75" x14ac:dyDescent="0.2">
      <c r="A138" s="76">
        <v>1</v>
      </c>
      <c r="B138" s="350" t="s">
        <v>1746</v>
      </c>
      <c r="C138" s="351" t="s">
        <v>293</v>
      </c>
      <c r="D138" s="350" t="s">
        <v>294</v>
      </c>
      <c r="E138" s="351" t="s">
        <v>510</v>
      </c>
      <c r="F138" s="350" t="s">
        <v>511</v>
      </c>
      <c r="G138" s="351" t="s">
        <v>572</v>
      </c>
      <c r="H138" s="351" t="s">
        <v>573</v>
      </c>
      <c r="I138" s="350" t="s">
        <v>573</v>
      </c>
      <c r="J138" s="351">
        <v>100</v>
      </c>
      <c r="K138" s="351">
        <v>100</v>
      </c>
      <c r="L138" s="351" t="s">
        <v>574</v>
      </c>
      <c r="M138" s="350" t="s">
        <v>575</v>
      </c>
      <c r="N138" s="350" t="s">
        <v>575</v>
      </c>
      <c r="O138" s="76"/>
      <c r="P138" s="76">
        <v>6</v>
      </c>
      <c r="Q138" s="485">
        <f>Fuente!AT142</f>
        <v>1</v>
      </c>
      <c r="R138" s="485">
        <f>Fuente!AU142</f>
        <v>0</v>
      </c>
      <c r="S138" s="485">
        <f>Fuente!AV142</f>
        <v>0</v>
      </c>
      <c r="T138" s="485">
        <f>Fuente!AW142</f>
        <v>0</v>
      </c>
      <c r="U138" s="467">
        <f>Fuente!AM142</f>
        <v>0.16666666666666666</v>
      </c>
      <c r="V138" s="485">
        <f>Fuente!AY142</f>
        <v>2</v>
      </c>
      <c r="W138" s="485">
        <f>Fuente!AZ142</f>
        <v>0</v>
      </c>
      <c r="X138" s="485">
        <f>Fuente!BA142</f>
        <v>0</v>
      </c>
      <c r="Y138" s="485">
        <f>Fuente!BB142</f>
        <v>0</v>
      </c>
      <c r="Z138" s="485">
        <f>Fuente!BC142</f>
        <v>0</v>
      </c>
      <c r="AA138" s="467">
        <f>Fuente!BD142</f>
        <v>0</v>
      </c>
      <c r="AB138" s="480" t="s">
        <v>420</v>
      </c>
      <c r="AC138" s="477"/>
      <c r="AD138" s="477"/>
      <c r="AE138" s="477"/>
      <c r="AF138" s="482"/>
      <c r="AG138" s="480" t="str">
        <f>Fuente!AB140</f>
        <v>SECRETARÍA DE SALUD</v>
      </c>
      <c r="AH138" s="94"/>
      <c r="AI138" s="94"/>
      <c r="AJ138" s="81"/>
    </row>
    <row r="139" spans="1:36" ht="63" x14ac:dyDescent="0.2">
      <c r="A139" s="76">
        <v>1</v>
      </c>
      <c r="B139" s="350" t="s">
        <v>1746</v>
      </c>
      <c r="C139" s="351" t="s">
        <v>293</v>
      </c>
      <c r="D139" s="350" t="s">
        <v>294</v>
      </c>
      <c r="E139" s="351" t="s">
        <v>576</v>
      </c>
      <c r="F139" s="350" t="s">
        <v>577</v>
      </c>
      <c r="G139" s="351" t="s">
        <v>578</v>
      </c>
      <c r="H139" s="351" t="s">
        <v>579</v>
      </c>
      <c r="I139" s="350" t="s">
        <v>579</v>
      </c>
      <c r="J139" s="351">
        <v>100</v>
      </c>
      <c r="K139" s="351">
        <v>100</v>
      </c>
      <c r="L139" s="351" t="s">
        <v>580</v>
      </c>
      <c r="M139" s="350" t="s">
        <v>581</v>
      </c>
      <c r="N139" s="350" t="s">
        <v>581</v>
      </c>
      <c r="O139" s="76"/>
      <c r="P139" s="310">
        <v>45</v>
      </c>
      <c r="Q139" s="485">
        <f>Fuente!AT143</f>
        <v>13.25</v>
      </c>
      <c r="R139" s="485">
        <f>Fuente!AU143</f>
        <v>0</v>
      </c>
      <c r="S139" s="485">
        <f>Fuente!AV143</f>
        <v>0</v>
      </c>
      <c r="T139" s="485">
        <f>Fuente!AW143</f>
        <v>0</v>
      </c>
      <c r="U139" s="467">
        <f>Fuente!AM143</f>
        <v>1</v>
      </c>
      <c r="V139" s="485">
        <f>Fuente!AY143</f>
        <v>45</v>
      </c>
      <c r="W139" s="485">
        <f>Fuente!AZ143</f>
        <v>8</v>
      </c>
      <c r="X139" s="485">
        <f>Fuente!BA143</f>
        <v>0</v>
      </c>
      <c r="Y139" s="485">
        <f>Fuente!BB143</f>
        <v>0</v>
      </c>
      <c r="Z139" s="485">
        <f>Fuente!BC143</f>
        <v>0</v>
      </c>
      <c r="AA139" s="467">
        <f>Fuente!BD143</f>
        <v>0.17777777777777778</v>
      </c>
      <c r="AB139" s="480" t="s">
        <v>412</v>
      </c>
      <c r="AC139" s="477"/>
      <c r="AD139" s="477" t="s">
        <v>302</v>
      </c>
      <c r="AE139" s="477" t="s">
        <v>303</v>
      </c>
      <c r="AF139" s="482"/>
      <c r="AG139" s="480" t="str">
        <f>Fuente!AB141</f>
        <v>SECRETARÍA DE SALUD</v>
      </c>
      <c r="AH139" s="95"/>
      <c r="AI139" s="95"/>
      <c r="AJ139" s="81"/>
    </row>
    <row r="140" spans="1:36" ht="110.25" x14ac:dyDescent="0.2">
      <c r="A140" s="76">
        <v>1</v>
      </c>
      <c r="B140" s="350" t="s">
        <v>1746</v>
      </c>
      <c r="C140" s="351" t="s">
        <v>293</v>
      </c>
      <c r="D140" s="350" t="s">
        <v>294</v>
      </c>
      <c r="E140" s="351" t="s">
        <v>576</v>
      </c>
      <c r="F140" s="350" t="s">
        <v>577</v>
      </c>
      <c r="G140" s="351" t="s">
        <v>578</v>
      </c>
      <c r="H140" s="351" t="s">
        <v>582</v>
      </c>
      <c r="I140" s="350" t="s">
        <v>582</v>
      </c>
      <c r="J140" s="351">
        <v>100</v>
      </c>
      <c r="K140" s="351">
        <v>100</v>
      </c>
      <c r="L140" s="351" t="s">
        <v>583</v>
      </c>
      <c r="M140" s="350" t="s">
        <v>584</v>
      </c>
      <c r="N140" s="350" t="s">
        <v>584</v>
      </c>
      <c r="O140" s="76"/>
      <c r="P140" s="76">
        <v>45</v>
      </c>
      <c r="Q140" s="485">
        <f>Fuente!AT144</f>
        <v>11.25</v>
      </c>
      <c r="R140" s="485">
        <f>Fuente!AU144</f>
        <v>0</v>
      </c>
      <c r="S140" s="485">
        <f>Fuente!AV144</f>
        <v>0</v>
      </c>
      <c r="T140" s="485">
        <f>Fuente!AW144</f>
        <v>0</v>
      </c>
      <c r="U140" s="467">
        <f>Fuente!AM144</f>
        <v>1</v>
      </c>
      <c r="V140" s="485">
        <f>Fuente!AY144</f>
        <v>45</v>
      </c>
      <c r="W140" s="485">
        <f>Fuente!AZ144</f>
        <v>0</v>
      </c>
      <c r="X140" s="485">
        <f>Fuente!BA144</f>
        <v>0</v>
      </c>
      <c r="Y140" s="485">
        <f>Fuente!BB144</f>
        <v>0</v>
      </c>
      <c r="Z140" s="485">
        <f>Fuente!BC144</f>
        <v>0</v>
      </c>
      <c r="AA140" s="467">
        <f>Fuente!BD144</f>
        <v>0</v>
      </c>
      <c r="AB140" s="480" t="s">
        <v>412</v>
      </c>
      <c r="AC140" s="477"/>
      <c r="AD140" s="477" t="s">
        <v>302</v>
      </c>
      <c r="AE140" s="477" t="s">
        <v>303</v>
      </c>
      <c r="AF140" s="482"/>
      <c r="AG140" s="480" t="str">
        <f>Fuente!AB142</f>
        <v>SECRETARÍA DE SALUD</v>
      </c>
      <c r="AH140" s="81"/>
      <c r="AI140" s="81"/>
      <c r="AJ140" s="81"/>
    </row>
    <row r="141" spans="1:36" ht="63" x14ac:dyDescent="0.2">
      <c r="A141" s="76">
        <v>1</v>
      </c>
      <c r="B141" s="350" t="s">
        <v>1746</v>
      </c>
      <c r="C141" s="351" t="s">
        <v>293</v>
      </c>
      <c r="D141" s="350" t="s">
        <v>294</v>
      </c>
      <c r="E141" s="351" t="s">
        <v>576</v>
      </c>
      <c r="F141" s="350" t="s">
        <v>577</v>
      </c>
      <c r="G141" s="351" t="s">
        <v>578</v>
      </c>
      <c r="H141" s="351" t="s">
        <v>585</v>
      </c>
      <c r="I141" s="350" t="s">
        <v>585</v>
      </c>
      <c r="J141" s="351">
        <v>20</v>
      </c>
      <c r="K141" s="351">
        <v>20</v>
      </c>
      <c r="L141" s="351" t="s">
        <v>586</v>
      </c>
      <c r="M141" s="350" t="s">
        <v>587</v>
      </c>
      <c r="N141" s="350" t="s">
        <v>587</v>
      </c>
      <c r="O141" s="76"/>
      <c r="P141" s="76">
        <v>22</v>
      </c>
      <c r="Q141" s="485">
        <f>Fuente!AT145</f>
        <v>5</v>
      </c>
      <c r="R141" s="485">
        <f>Fuente!AU145</f>
        <v>0</v>
      </c>
      <c r="S141" s="485">
        <f>Fuente!AV145</f>
        <v>0</v>
      </c>
      <c r="T141" s="485">
        <f>Fuente!AW145</f>
        <v>0</v>
      </c>
      <c r="U141" s="467">
        <f>Fuente!AM145</f>
        <v>0.22727272727272727</v>
      </c>
      <c r="V141" s="485">
        <f>Fuente!AY145</f>
        <v>6</v>
      </c>
      <c r="W141" s="485">
        <f>Fuente!AZ145</f>
        <v>0</v>
      </c>
      <c r="X141" s="485">
        <f>Fuente!BA145</f>
        <v>0</v>
      </c>
      <c r="Y141" s="485">
        <f>Fuente!BB145</f>
        <v>0</v>
      </c>
      <c r="Z141" s="485">
        <f>Fuente!BC145</f>
        <v>0</v>
      </c>
      <c r="AA141" s="467">
        <f>Fuente!BD145</f>
        <v>0</v>
      </c>
      <c r="AB141" s="480" t="s">
        <v>420</v>
      </c>
      <c r="AC141" s="477"/>
      <c r="AD141" s="477" t="s">
        <v>302</v>
      </c>
      <c r="AE141" s="477" t="s">
        <v>303</v>
      </c>
      <c r="AF141" s="482"/>
      <c r="AG141" s="480" t="str">
        <f>Fuente!AB143</f>
        <v>SECRETARÍA DE SALUD</v>
      </c>
      <c r="AH141" s="95"/>
      <c r="AI141" s="95"/>
      <c r="AJ141" s="81"/>
    </row>
    <row r="142" spans="1:36" ht="78.75" x14ac:dyDescent="0.2">
      <c r="A142" s="76">
        <v>1</v>
      </c>
      <c r="B142" s="350" t="s">
        <v>1746</v>
      </c>
      <c r="C142" s="351" t="s">
        <v>293</v>
      </c>
      <c r="D142" s="350" t="s">
        <v>294</v>
      </c>
      <c r="E142" s="351" t="s">
        <v>576</v>
      </c>
      <c r="F142" s="350" t="s">
        <v>577</v>
      </c>
      <c r="G142" s="351"/>
      <c r="H142" s="352" t="s">
        <v>588</v>
      </c>
      <c r="I142" s="350" t="s">
        <v>588</v>
      </c>
      <c r="J142" s="351" t="s">
        <v>589</v>
      </c>
      <c r="K142" s="351">
        <v>80</v>
      </c>
      <c r="L142" s="350"/>
      <c r="M142" s="350" t="s">
        <v>590</v>
      </c>
      <c r="N142" s="350" t="s">
        <v>590</v>
      </c>
      <c r="O142" s="76"/>
      <c r="P142" s="76">
        <v>45</v>
      </c>
      <c r="Q142" s="485">
        <f>Fuente!AT146</f>
        <v>13</v>
      </c>
      <c r="R142" s="485">
        <f>Fuente!AU146</f>
        <v>0</v>
      </c>
      <c r="S142" s="485">
        <f>Fuente!AV146</f>
        <v>0</v>
      </c>
      <c r="T142" s="485">
        <f>Fuente!AW146</f>
        <v>0</v>
      </c>
      <c r="U142" s="467">
        <f>Fuente!AM146</f>
        <v>0.22222222222222221</v>
      </c>
      <c r="V142" s="485">
        <f>Fuente!AY146</f>
        <v>10</v>
      </c>
      <c r="W142" s="485">
        <f>Fuente!AZ146</f>
        <v>3</v>
      </c>
      <c r="X142" s="485">
        <f>Fuente!BA146</f>
        <v>0</v>
      </c>
      <c r="Y142" s="485">
        <f>Fuente!BB146</f>
        <v>0</v>
      </c>
      <c r="Z142" s="485">
        <f>Fuente!BC146</f>
        <v>0</v>
      </c>
      <c r="AA142" s="467">
        <f>Fuente!BD146</f>
        <v>0.3</v>
      </c>
      <c r="AB142" s="480" t="s">
        <v>420</v>
      </c>
      <c r="AC142" s="477"/>
      <c r="AD142" s="477" t="s">
        <v>302</v>
      </c>
      <c r="AE142" s="477" t="s">
        <v>303</v>
      </c>
      <c r="AF142" s="482"/>
      <c r="AG142" s="480" t="str">
        <f>Fuente!AB144</f>
        <v>SECRETARÍA DE SALUD</v>
      </c>
      <c r="AH142" s="95"/>
      <c r="AI142" s="95"/>
      <c r="AJ142" s="81"/>
    </row>
    <row r="143" spans="1:36" ht="110.25" x14ac:dyDescent="0.2">
      <c r="A143" s="76">
        <v>1</v>
      </c>
      <c r="B143" s="350" t="s">
        <v>1746</v>
      </c>
      <c r="C143" s="351" t="s">
        <v>293</v>
      </c>
      <c r="D143" s="350" t="s">
        <v>294</v>
      </c>
      <c r="E143" s="351" t="s">
        <v>576</v>
      </c>
      <c r="F143" s="350" t="s">
        <v>577</v>
      </c>
      <c r="G143" s="351"/>
      <c r="H143" s="352" t="s">
        <v>588</v>
      </c>
      <c r="I143" s="350" t="s">
        <v>588</v>
      </c>
      <c r="J143" s="351" t="s">
        <v>589</v>
      </c>
      <c r="K143" s="351">
        <v>81</v>
      </c>
      <c r="L143" s="350"/>
      <c r="M143" s="350" t="s">
        <v>591</v>
      </c>
      <c r="N143" s="350" t="s">
        <v>591</v>
      </c>
      <c r="O143" s="76"/>
      <c r="P143" s="484">
        <v>1</v>
      </c>
      <c r="Q143" s="485">
        <f>Fuente!AT147</f>
        <v>0.5</v>
      </c>
      <c r="R143" s="485">
        <f>Fuente!AU147</f>
        <v>0</v>
      </c>
      <c r="S143" s="485">
        <f>Fuente!AV147</f>
        <v>0</v>
      </c>
      <c r="T143" s="485">
        <f>Fuente!AW147</f>
        <v>0</v>
      </c>
      <c r="U143" s="467">
        <f>Fuente!AM147</f>
        <v>1</v>
      </c>
      <c r="V143" s="485">
        <f>Fuente!AY147</f>
        <v>1</v>
      </c>
      <c r="W143" s="485">
        <f>Fuente!AZ147</f>
        <v>1</v>
      </c>
      <c r="X143" s="485">
        <f>Fuente!BA147</f>
        <v>0</v>
      </c>
      <c r="Y143" s="485">
        <f>Fuente!BB147</f>
        <v>0</v>
      </c>
      <c r="Z143" s="485">
        <f>Fuente!BC147</f>
        <v>0</v>
      </c>
      <c r="AA143" s="467">
        <f>Fuente!BD147</f>
        <v>1</v>
      </c>
      <c r="AB143" s="480" t="s">
        <v>412</v>
      </c>
      <c r="AC143" s="477"/>
      <c r="AD143" s="477"/>
      <c r="AE143" s="477"/>
      <c r="AF143" s="482"/>
      <c r="AG143" s="480" t="str">
        <f>Fuente!AB145</f>
        <v>SECRETARÍA DE SALUD</v>
      </c>
      <c r="AH143" s="95"/>
      <c r="AI143" s="95"/>
      <c r="AJ143" s="81"/>
    </row>
    <row r="144" spans="1:36" ht="78.75" x14ac:dyDescent="0.2">
      <c r="A144" s="76">
        <v>1</v>
      </c>
      <c r="B144" s="350" t="s">
        <v>1746</v>
      </c>
      <c r="C144" s="351" t="s">
        <v>293</v>
      </c>
      <c r="D144" s="350" t="s">
        <v>294</v>
      </c>
      <c r="E144" s="351" t="s">
        <v>576</v>
      </c>
      <c r="F144" s="350" t="s">
        <v>577</v>
      </c>
      <c r="G144" s="351"/>
      <c r="H144" s="352" t="s">
        <v>588</v>
      </c>
      <c r="I144" s="350" t="s">
        <v>588</v>
      </c>
      <c r="J144" s="351" t="s">
        <v>589</v>
      </c>
      <c r="K144" s="351">
        <v>82</v>
      </c>
      <c r="L144" s="350"/>
      <c r="M144" s="350" t="s">
        <v>592</v>
      </c>
      <c r="N144" s="350" t="s">
        <v>592</v>
      </c>
      <c r="O144" s="76"/>
      <c r="P144" s="484">
        <v>1</v>
      </c>
      <c r="Q144" s="485">
        <f>Fuente!AT148</f>
        <v>0.26250000000000001</v>
      </c>
      <c r="R144" s="485">
        <f>Fuente!AU148</f>
        <v>0</v>
      </c>
      <c r="S144" s="485">
        <f>Fuente!AV148</f>
        <v>0</v>
      </c>
      <c r="T144" s="485">
        <f>Fuente!AW148</f>
        <v>0</v>
      </c>
      <c r="U144" s="467">
        <f>Fuente!AM148</f>
        <v>1</v>
      </c>
      <c r="V144" s="485">
        <f>Fuente!AY148</f>
        <v>1</v>
      </c>
      <c r="W144" s="485">
        <f>Fuente!AZ148</f>
        <v>0.05</v>
      </c>
      <c r="X144" s="485">
        <f>Fuente!BA148</f>
        <v>0</v>
      </c>
      <c r="Y144" s="485">
        <f>Fuente!BB148</f>
        <v>0</v>
      </c>
      <c r="Z144" s="485">
        <f>Fuente!BC148</f>
        <v>0</v>
      </c>
      <c r="AA144" s="467">
        <f>Fuente!BD148</f>
        <v>0.05</v>
      </c>
      <c r="AB144" s="480" t="s">
        <v>412</v>
      </c>
      <c r="AC144" s="477"/>
      <c r="AD144" s="477"/>
      <c r="AE144" s="477"/>
      <c r="AF144" s="482"/>
      <c r="AG144" s="480" t="e">
        <f>Fuente!#REF!</f>
        <v>#REF!</v>
      </c>
      <c r="AH144" s="95"/>
      <c r="AI144" s="95"/>
      <c r="AJ144" s="81"/>
    </row>
    <row r="145" spans="1:36" ht="110.25" x14ac:dyDescent="0.2">
      <c r="A145" s="76">
        <v>1</v>
      </c>
      <c r="B145" s="350" t="s">
        <v>1746</v>
      </c>
      <c r="C145" s="351" t="s">
        <v>293</v>
      </c>
      <c r="D145" s="350" t="s">
        <v>294</v>
      </c>
      <c r="E145" s="351" t="s">
        <v>576</v>
      </c>
      <c r="F145" s="350" t="s">
        <v>577</v>
      </c>
      <c r="G145" s="351"/>
      <c r="H145" s="352" t="s">
        <v>588</v>
      </c>
      <c r="I145" s="350" t="s">
        <v>588</v>
      </c>
      <c r="J145" s="351" t="s">
        <v>589</v>
      </c>
      <c r="K145" s="351">
        <v>83</v>
      </c>
      <c r="L145" s="350"/>
      <c r="M145" s="350" t="s">
        <v>593</v>
      </c>
      <c r="N145" s="350" t="s">
        <v>593</v>
      </c>
      <c r="O145" s="76"/>
      <c r="P145" s="484">
        <v>1</v>
      </c>
      <c r="Q145" s="485">
        <f>Fuente!AT149</f>
        <v>0.5</v>
      </c>
      <c r="R145" s="485">
        <f>Fuente!AU149</f>
        <v>0</v>
      </c>
      <c r="S145" s="485">
        <f>Fuente!AV149</f>
        <v>0</v>
      </c>
      <c r="T145" s="485">
        <f>Fuente!AW149</f>
        <v>0</v>
      </c>
      <c r="U145" s="467">
        <f>Fuente!AM149</f>
        <v>1</v>
      </c>
      <c r="V145" s="485">
        <f>Fuente!AY149</f>
        <v>1</v>
      </c>
      <c r="W145" s="485">
        <f>Fuente!AZ149</f>
        <v>1</v>
      </c>
      <c r="X145" s="485">
        <f>Fuente!BA149</f>
        <v>0</v>
      </c>
      <c r="Y145" s="485">
        <f>Fuente!BB149</f>
        <v>0</v>
      </c>
      <c r="Z145" s="485">
        <f>Fuente!BC149</f>
        <v>0</v>
      </c>
      <c r="AA145" s="467">
        <f>Fuente!BD149</f>
        <v>1</v>
      </c>
      <c r="AB145" s="480" t="s">
        <v>412</v>
      </c>
      <c r="AC145" s="477"/>
      <c r="AD145" s="477" t="s">
        <v>302</v>
      </c>
      <c r="AE145" s="477" t="s">
        <v>303</v>
      </c>
      <c r="AF145" s="482"/>
      <c r="AG145" s="480" t="str">
        <f>Fuente!AB146</f>
        <v>SECRETARÍA DE SALUD</v>
      </c>
      <c r="AH145" s="81"/>
      <c r="AI145" s="81"/>
      <c r="AJ145" s="81"/>
    </row>
    <row r="146" spans="1:36" ht="189" x14ac:dyDescent="0.2">
      <c r="A146" s="76">
        <v>1</v>
      </c>
      <c r="B146" s="350" t="s">
        <v>1746</v>
      </c>
      <c r="C146" s="351" t="s">
        <v>293</v>
      </c>
      <c r="D146" s="350" t="s">
        <v>294</v>
      </c>
      <c r="E146" s="351" t="s">
        <v>576</v>
      </c>
      <c r="F146" s="350" t="s">
        <v>577</v>
      </c>
      <c r="G146" s="351"/>
      <c r="H146" s="352" t="s">
        <v>594</v>
      </c>
      <c r="I146" s="350" t="s">
        <v>594</v>
      </c>
      <c r="J146" s="351">
        <v>100</v>
      </c>
      <c r="K146" s="351">
        <v>100</v>
      </c>
      <c r="L146" s="350"/>
      <c r="M146" s="350" t="s">
        <v>595</v>
      </c>
      <c r="N146" s="350" t="s">
        <v>595</v>
      </c>
      <c r="O146" s="76"/>
      <c r="P146" s="76">
        <v>45</v>
      </c>
      <c r="Q146" s="485">
        <f>Fuente!AT150</f>
        <v>13</v>
      </c>
      <c r="R146" s="485">
        <f>Fuente!AU150</f>
        <v>0</v>
      </c>
      <c r="S146" s="485">
        <f>Fuente!AV150</f>
        <v>0</v>
      </c>
      <c r="T146" s="485">
        <f>Fuente!AW150</f>
        <v>0</v>
      </c>
      <c r="U146" s="467">
        <f>Fuente!AM150</f>
        <v>1</v>
      </c>
      <c r="V146" s="485">
        <f>Fuente!AY150</f>
        <v>45</v>
      </c>
      <c r="W146" s="485">
        <f>Fuente!AZ150</f>
        <v>7</v>
      </c>
      <c r="X146" s="485">
        <f>Fuente!BA150</f>
        <v>0</v>
      </c>
      <c r="Y146" s="485">
        <f>Fuente!BB150</f>
        <v>0</v>
      </c>
      <c r="Z146" s="485">
        <f>Fuente!BC150</f>
        <v>0</v>
      </c>
      <c r="AA146" s="467">
        <f>Fuente!BD150</f>
        <v>0.15555555555555556</v>
      </c>
      <c r="AB146" s="480" t="s">
        <v>78</v>
      </c>
      <c r="AC146" s="477"/>
      <c r="AD146" s="477" t="s">
        <v>302</v>
      </c>
      <c r="AE146" s="477" t="s">
        <v>303</v>
      </c>
      <c r="AF146" s="482"/>
      <c r="AG146" s="480" t="str">
        <f>Fuente!AB147</f>
        <v>SECRETARÍA DE SALUD</v>
      </c>
      <c r="AH146" s="94"/>
      <c r="AI146" s="94"/>
      <c r="AJ146" s="81"/>
    </row>
    <row r="147" spans="1:36" ht="189" x14ac:dyDescent="0.2">
      <c r="A147" s="76">
        <v>1</v>
      </c>
      <c r="B147" s="350" t="s">
        <v>1746</v>
      </c>
      <c r="C147" s="351" t="s">
        <v>293</v>
      </c>
      <c r="D147" s="350" t="s">
        <v>294</v>
      </c>
      <c r="E147" s="351" t="s">
        <v>576</v>
      </c>
      <c r="F147" s="350" t="s">
        <v>577</v>
      </c>
      <c r="G147" s="351"/>
      <c r="H147" s="352" t="s">
        <v>594</v>
      </c>
      <c r="I147" s="350" t="s">
        <v>594</v>
      </c>
      <c r="J147" s="351">
        <v>100</v>
      </c>
      <c r="K147" s="351">
        <v>100</v>
      </c>
      <c r="L147" s="350"/>
      <c r="M147" s="350" t="s">
        <v>596</v>
      </c>
      <c r="N147" s="350" t="s">
        <v>596</v>
      </c>
      <c r="O147" s="76"/>
      <c r="P147" s="76">
        <v>4</v>
      </c>
      <c r="Q147" s="485">
        <f>Fuente!AT151</f>
        <v>0.25</v>
      </c>
      <c r="R147" s="485">
        <f>Fuente!AU151</f>
        <v>0</v>
      </c>
      <c r="S147" s="485">
        <f>Fuente!AV151</f>
        <v>0</v>
      </c>
      <c r="T147" s="485">
        <f>Fuente!AW151</f>
        <v>0</v>
      </c>
      <c r="U147" s="467">
        <f>Fuente!AM151</f>
        <v>0.25</v>
      </c>
      <c r="V147" s="485">
        <f>Fuente!AY151</f>
        <v>1</v>
      </c>
      <c r="W147" s="485">
        <f>Fuente!AZ151</f>
        <v>0</v>
      </c>
      <c r="X147" s="485">
        <f>Fuente!BA151</f>
        <v>0</v>
      </c>
      <c r="Y147" s="485">
        <f>Fuente!BB151</f>
        <v>0</v>
      </c>
      <c r="Z147" s="485">
        <f>Fuente!BC151</f>
        <v>0</v>
      </c>
      <c r="AA147" s="467">
        <f>Fuente!BD151</f>
        <v>0</v>
      </c>
      <c r="AB147" s="480" t="s">
        <v>420</v>
      </c>
      <c r="AC147" s="477"/>
      <c r="AD147" s="477" t="s">
        <v>302</v>
      </c>
      <c r="AE147" s="477" t="s">
        <v>303</v>
      </c>
      <c r="AF147" s="482"/>
      <c r="AG147" s="480" t="str">
        <f>Fuente!AB148</f>
        <v>SECRETARÍA DE SALUD</v>
      </c>
      <c r="AH147" s="94"/>
      <c r="AI147" s="94"/>
      <c r="AJ147" s="81"/>
    </row>
    <row r="148" spans="1:36" ht="189" x14ac:dyDescent="0.2">
      <c r="A148" s="76">
        <v>1</v>
      </c>
      <c r="B148" s="350" t="s">
        <v>1746</v>
      </c>
      <c r="C148" s="351" t="s">
        <v>293</v>
      </c>
      <c r="D148" s="350" t="s">
        <v>294</v>
      </c>
      <c r="E148" s="351" t="s">
        <v>576</v>
      </c>
      <c r="F148" s="350" t="s">
        <v>577</v>
      </c>
      <c r="G148" s="352"/>
      <c r="H148" s="352" t="s">
        <v>594</v>
      </c>
      <c r="I148" s="350" t="s">
        <v>594</v>
      </c>
      <c r="J148" s="351">
        <v>100</v>
      </c>
      <c r="K148" s="351">
        <v>100</v>
      </c>
      <c r="L148" s="350"/>
      <c r="M148" s="350" t="s">
        <v>597</v>
      </c>
      <c r="N148" s="350" t="s">
        <v>597</v>
      </c>
      <c r="O148" s="76"/>
      <c r="P148" s="76">
        <v>1</v>
      </c>
      <c r="Q148" s="485">
        <f>Fuente!AT152</f>
        <v>1</v>
      </c>
      <c r="R148" s="485">
        <f>Fuente!AU152</f>
        <v>0</v>
      </c>
      <c r="S148" s="485">
        <f>Fuente!AV152</f>
        <v>0</v>
      </c>
      <c r="T148" s="485">
        <f>Fuente!AW152</f>
        <v>0</v>
      </c>
      <c r="U148" s="467">
        <f>Fuente!AM152</f>
        <v>1</v>
      </c>
      <c r="V148" s="485">
        <f>Fuente!AY152</f>
        <v>1</v>
      </c>
      <c r="W148" s="485">
        <f>Fuente!AZ152</f>
        <v>0</v>
      </c>
      <c r="X148" s="485">
        <f>Fuente!BA152</f>
        <v>0</v>
      </c>
      <c r="Y148" s="485">
        <f>Fuente!BB152</f>
        <v>0</v>
      </c>
      <c r="Z148" s="485">
        <f>Fuente!BC152</f>
        <v>0</v>
      </c>
      <c r="AA148" s="467">
        <f>Fuente!BD152</f>
        <v>0</v>
      </c>
      <c r="AB148" s="480" t="s">
        <v>420</v>
      </c>
      <c r="AC148" s="477"/>
      <c r="AD148" s="477" t="s">
        <v>302</v>
      </c>
      <c r="AE148" s="477" t="s">
        <v>303</v>
      </c>
      <c r="AF148" s="482"/>
      <c r="AG148" s="480" t="str">
        <f>Fuente!AB149</f>
        <v>SECRETARÍA DE SALUD</v>
      </c>
      <c r="AH148" s="94"/>
      <c r="AI148" s="94"/>
      <c r="AJ148" s="81"/>
    </row>
    <row r="149" spans="1:36" ht="63" x14ac:dyDescent="0.2">
      <c r="A149" s="76">
        <v>1</v>
      </c>
      <c r="B149" s="350" t="s">
        <v>1746</v>
      </c>
      <c r="C149" s="351" t="s">
        <v>293</v>
      </c>
      <c r="D149" s="350" t="s">
        <v>294</v>
      </c>
      <c r="E149" s="351" t="s">
        <v>576</v>
      </c>
      <c r="F149" s="350" t="s">
        <v>577</v>
      </c>
      <c r="G149" s="351"/>
      <c r="H149" s="352" t="s">
        <v>598</v>
      </c>
      <c r="I149" s="350" t="s">
        <v>598</v>
      </c>
      <c r="J149" s="351">
        <v>100</v>
      </c>
      <c r="K149" s="351">
        <v>100</v>
      </c>
      <c r="L149" s="350"/>
      <c r="M149" s="350" t="s">
        <v>599</v>
      </c>
      <c r="N149" s="350" t="s">
        <v>599</v>
      </c>
      <c r="O149" s="76"/>
      <c r="P149" s="76">
        <v>45</v>
      </c>
      <c r="Q149" s="485">
        <f>Fuente!AT153</f>
        <v>22.5</v>
      </c>
      <c r="R149" s="485">
        <f>Fuente!AU153</f>
        <v>0</v>
      </c>
      <c r="S149" s="485">
        <f>Fuente!AV153</f>
        <v>0</v>
      </c>
      <c r="T149" s="485">
        <f>Fuente!AW153</f>
        <v>0</v>
      </c>
      <c r="U149" s="467">
        <f>Fuente!AM153</f>
        <v>1</v>
      </c>
      <c r="V149" s="485">
        <f>Fuente!AY153</f>
        <v>45</v>
      </c>
      <c r="W149" s="485">
        <f>Fuente!AZ153</f>
        <v>45</v>
      </c>
      <c r="X149" s="485">
        <f>Fuente!BA153</f>
        <v>0</v>
      </c>
      <c r="Y149" s="485">
        <f>Fuente!BB153</f>
        <v>0</v>
      </c>
      <c r="Z149" s="485">
        <f>Fuente!BC153</f>
        <v>0</v>
      </c>
      <c r="AA149" s="467">
        <f>Fuente!BD153</f>
        <v>1</v>
      </c>
      <c r="AB149" s="480" t="s">
        <v>420</v>
      </c>
      <c r="AC149" s="477"/>
      <c r="AD149" s="477" t="s">
        <v>302</v>
      </c>
      <c r="AE149" s="477" t="s">
        <v>303</v>
      </c>
      <c r="AF149" s="482"/>
      <c r="AG149" s="480" t="str">
        <f>Fuente!AB150</f>
        <v>SECRETARÍA DE SALUD</v>
      </c>
      <c r="AH149" s="81"/>
      <c r="AI149" s="81"/>
      <c r="AJ149" s="81"/>
    </row>
    <row r="150" spans="1:36" ht="78.75" x14ac:dyDescent="0.2">
      <c r="A150" s="76">
        <v>1</v>
      </c>
      <c r="B150" s="350" t="s">
        <v>1746</v>
      </c>
      <c r="C150" s="351" t="s">
        <v>293</v>
      </c>
      <c r="D150" s="350" t="s">
        <v>294</v>
      </c>
      <c r="E150" s="351" t="s">
        <v>576</v>
      </c>
      <c r="F150" s="350" t="s">
        <v>577</v>
      </c>
      <c r="G150" s="351"/>
      <c r="H150" s="352" t="s">
        <v>598</v>
      </c>
      <c r="I150" s="350" t="s">
        <v>598</v>
      </c>
      <c r="J150" s="351">
        <v>100</v>
      </c>
      <c r="K150" s="351">
        <v>100</v>
      </c>
      <c r="L150" s="350"/>
      <c r="M150" s="350" t="s">
        <v>600</v>
      </c>
      <c r="N150" s="350" t="s">
        <v>600</v>
      </c>
      <c r="O150" s="76"/>
      <c r="P150" s="484">
        <v>1</v>
      </c>
      <c r="Q150" s="485">
        <f>Fuente!AT154</f>
        <v>0.17499999999999999</v>
      </c>
      <c r="R150" s="485">
        <f>Fuente!AU154</f>
        <v>0</v>
      </c>
      <c r="S150" s="485">
        <f>Fuente!AV154</f>
        <v>0</v>
      </c>
      <c r="T150" s="485">
        <f>Fuente!AW154</f>
        <v>0</v>
      </c>
      <c r="U150" s="467">
        <f>Fuente!AM154</f>
        <v>0.7</v>
      </c>
      <c r="V150" s="485">
        <f>Fuente!AY154</f>
        <v>0.95</v>
      </c>
      <c r="W150" s="485">
        <f>Fuente!AZ154</f>
        <v>0</v>
      </c>
      <c r="X150" s="485">
        <f>Fuente!BA154</f>
        <v>0</v>
      </c>
      <c r="Y150" s="485">
        <f>Fuente!BB154</f>
        <v>0</v>
      </c>
      <c r="Z150" s="485">
        <f>Fuente!BC154</f>
        <v>0</v>
      </c>
      <c r="AA150" s="467">
        <f>Fuente!BD154</f>
        <v>0</v>
      </c>
      <c r="AB150" s="480" t="s">
        <v>420</v>
      </c>
      <c r="AC150" s="477"/>
      <c r="AD150" s="477" t="s">
        <v>302</v>
      </c>
      <c r="AE150" s="477" t="s">
        <v>303</v>
      </c>
      <c r="AF150" s="482"/>
      <c r="AG150" s="480" t="str">
        <f>Fuente!AB151</f>
        <v>SECRETARÍA DE SALUD</v>
      </c>
      <c r="AH150" s="81"/>
      <c r="AI150" s="81"/>
      <c r="AJ150" s="81"/>
    </row>
    <row r="151" spans="1:36" ht="63" x14ac:dyDescent="0.2">
      <c r="A151" s="76">
        <v>1</v>
      </c>
      <c r="B151" s="350" t="s">
        <v>1746</v>
      </c>
      <c r="C151" s="351" t="s">
        <v>293</v>
      </c>
      <c r="D151" s="350" t="s">
        <v>294</v>
      </c>
      <c r="E151" s="351" t="s">
        <v>576</v>
      </c>
      <c r="F151" s="350" t="s">
        <v>577</v>
      </c>
      <c r="G151" s="352"/>
      <c r="H151" s="352" t="s">
        <v>601</v>
      </c>
      <c r="I151" s="350" t="s">
        <v>598</v>
      </c>
      <c r="J151" s="351">
        <v>100</v>
      </c>
      <c r="K151" s="351">
        <v>100</v>
      </c>
      <c r="L151" s="350"/>
      <c r="M151" s="350" t="s">
        <v>602</v>
      </c>
      <c r="N151" s="350" t="s">
        <v>602</v>
      </c>
      <c r="O151" s="76"/>
      <c r="P151" s="484">
        <v>0.95</v>
      </c>
      <c r="Q151" s="485">
        <f>Fuente!AT155</f>
        <v>0.255</v>
      </c>
      <c r="R151" s="485">
        <f>Fuente!AU155</f>
        <v>0</v>
      </c>
      <c r="S151" s="485">
        <f>Fuente!AV155</f>
        <v>0</v>
      </c>
      <c r="T151" s="485">
        <f>Fuente!AW155</f>
        <v>0</v>
      </c>
      <c r="U151" s="467">
        <f>Fuente!AM155</f>
        <v>1</v>
      </c>
      <c r="V151" s="485">
        <f>Fuente!AY155</f>
        <v>0.95</v>
      </c>
      <c r="W151" s="485">
        <f>Fuente!AZ155</f>
        <v>7.0000000000000007E-2</v>
      </c>
      <c r="X151" s="485">
        <f>Fuente!BA155</f>
        <v>0</v>
      </c>
      <c r="Y151" s="485">
        <f>Fuente!BB155</f>
        <v>0</v>
      </c>
      <c r="Z151" s="485">
        <f>Fuente!BC155</f>
        <v>0</v>
      </c>
      <c r="AA151" s="467">
        <f>Fuente!BD155</f>
        <v>7.3684210526315796E-2</v>
      </c>
      <c r="AB151" s="480" t="s">
        <v>412</v>
      </c>
      <c r="AC151" s="477"/>
      <c r="AD151" s="477"/>
      <c r="AE151" s="477"/>
      <c r="AF151" s="482"/>
      <c r="AG151" s="480" t="str">
        <f>Fuente!AB152</f>
        <v>SECRETARÍA DE SALUD</v>
      </c>
      <c r="AH151" s="81"/>
      <c r="AI151" s="81"/>
      <c r="AJ151" s="81"/>
    </row>
    <row r="152" spans="1:36" ht="94.5" x14ac:dyDescent="0.2">
      <c r="A152" s="76">
        <v>1</v>
      </c>
      <c r="B152" s="350" t="s">
        <v>1746</v>
      </c>
      <c r="C152" s="351" t="s">
        <v>293</v>
      </c>
      <c r="D152" s="350" t="s">
        <v>294</v>
      </c>
      <c r="E152" s="351" t="s">
        <v>576</v>
      </c>
      <c r="F152" s="350" t="s">
        <v>577</v>
      </c>
      <c r="G152" s="351"/>
      <c r="H152" s="352" t="s">
        <v>598</v>
      </c>
      <c r="I152" s="350" t="s">
        <v>598</v>
      </c>
      <c r="J152" s="351">
        <v>60</v>
      </c>
      <c r="K152" s="351">
        <v>70</v>
      </c>
      <c r="L152" s="350"/>
      <c r="M152" s="350" t="s">
        <v>603</v>
      </c>
      <c r="N152" s="350" t="s">
        <v>603</v>
      </c>
      <c r="O152" s="76"/>
      <c r="P152" s="484">
        <v>0.7</v>
      </c>
      <c r="Q152" s="485">
        <f>Fuente!AT156</f>
        <v>0.19999999999999998</v>
      </c>
      <c r="R152" s="485">
        <f>Fuente!AU156</f>
        <v>0</v>
      </c>
      <c r="S152" s="485">
        <f>Fuente!AV156</f>
        <v>0</v>
      </c>
      <c r="T152" s="485">
        <f>Fuente!AW156</f>
        <v>0</v>
      </c>
      <c r="U152" s="467">
        <f>Fuente!AM156</f>
        <v>1</v>
      </c>
      <c r="V152" s="485">
        <f>Fuente!AY156</f>
        <v>0.7</v>
      </c>
      <c r="W152" s="485">
        <f>Fuente!AZ156</f>
        <v>0.1</v>
      </c>
      <c r="X152" s="485">
        <f>Fuente!BA156</f>
        <v>0</v>
      </c>
      <c r="Y152" s="485">
        <f>Fuente!BB156</f>
        <v>0</v>
      </c>
      <c r="Z152" s="485">
        <f>Fuente!BC156</f>
        <v>0</v>
      </c>
      <c r="AA152" s="467">
        <f>Fuente!BD156</f>
        <v>0.14285714285714288</v>
      </c>
      <c r="AB152" s="480" t="s">
        <v>420</v>
      </c>
      <c r="AC152" s="477"/>
      <c r="AD152" s="477" t="s">
        <v>302</v>
      </c>
      <c r="AE152" s="477" t="s">
        <v>303</v>
      </c>
      <c r="AF152" s="482"/>
      <c r="AG152" s="480" t="str">
        <f>Fuente!AB153</f>
        <v>SECRETARÍA DE SALUD</v>
      </c>
      <c r="AH152" s="81"/>
      <c r="AI152" s="81"/>
      <c r="AJ152" s="81"/>
    </row>
    <row r="153" spans="1:36" ht="141.75" x14ac:dyDescent="0.2">
      <c r="A153" s="76">
        <v>1</v>
      </c>
      <c r="B153" s="350" t="s">
        <v>1746</v>
      </c>
      <c r="C153" s="351" t="s">
        <v>293</v>
      </c>
      <c r="D153" s="350" t="s">
        <v>294</v>
      </c>
      <c r="E153" s="351" t="s">
        <v>576</v>
      </c>
      <c r="F153" s="350" t="s">
        <v>577</v>
      </c>
      <c r="G153" s="351"/>
      <c r="H153" s="352" t="s">
        <v>598</v>
      </c>
      <c r="I153" s="350" t="s">
        <v>598</v>
      </c>
      <c r="J153" s="351">
        <v>60</v>
      </c>
      <c r="K153" s="351">
        <v>70</v>
      </c>
      <c r="L153" s="350"/>
      <c r="M153" s="350" t="s">
        <v>604</v>
      </c>
      <c r="N153" s="350" t="s">
        <v>604</v>
      </c>
      <c r="O153" s="76"/>
      <c r="P153" s="310">
        <v>1</v>
      </c>
      <c r="Q153" s="485">
        <f>Fuente!AT157</f>
        <v>0.5</v>
      </c>
      <c r="R153" s="485">
        <f>Fuente!AU157</f>
        <v>0</v>
      </c>
      <c r="S153" s="485">
        <f>Fuente!AV157</f>
        <v>0</v>
      </c>
      <c r="T153" s="485">
        <f>Fuente!AW157</f>
        <v>0</v>
      </c>
      <c r="U153" s="467">
        <f>Fuente!AM157</f>
        <v>1</v>
      </c>
      <c r="V153" s="485">
        <f>Fuente!AY157</f>
        <v>1</v>
      </c>
      <c r="W153" s="485">
        <f>Fuente!AZ157</f>
        <v>1</v>
      </c>
      <c r="X153" s="485">
        <f>Fuente!BA157</f>
        <v>0</v>
      </c>
      <c r="Y153" s="485">
        <f>Fuente!BB157</f>
        <v>0</v>
      </c>
      <c r="Z153" s="485">
        <f>Fuente!BC157</f>
        <v>0</v>
      </c>
      <c r="AA153" s="467">
        <f>Fuente!BD157</f>
        <v>1</v>
      </c>
      <c r="AB153" s="480" t="s">
        <v>420</v>
      </c>
      <c r="AC153" s="477"/>
      <c r="AD153" s="477" t="s">
        <v>302</v>
      </c>
      <c r="AE153" s="477" t="s">
        <v>303</v>
      </c>
      <c r="AF153" s="482"/>
      <c r="AG153" s="480" t="str">
        <f>Fuente!AB154</f>
        <v>SECRETARÍA DE SALUD</v>
      </c>
      <c r="AH153" s="94"/>
      <c r="AI153" s="94"/>
      <c r="AJ153" s="81"/>
    </row>
    <row r="154" spans="1:36" ht="47.25" x14ac:dyDescent="0.2">
      <c r="A154" s="76">
        <v>1</v>
      </c>
      <c r="B154" s="350" t="s">
        <v>1746</v>
      </c>
      <c r="C154" s="351" t="s">
        <v>293</v>
      </c>
      <c r="D154" s="350" t="s">
        <v>294</v>
      </c>
      <c r="E154" s="351" t="s">
        <v>576</v>
      </c>
      <c r="F154" s="350" t="s">
        <v>577</v>
      </c>
      <c r="G154" s="351"/>
      <c r="H154" s="352" t="s">
        <v>605</v>
      </c>
      <c r="I154" s="352" t="s">
        <v>606</v>
      </c>
      <c r="J154" s="351" t="s">
        <v>607</v>
      </c>
      <c r="K154" s="351">
        <v>100</v>
      </c>
      <c r="L154" s="352"/>
      <c r="M154" s="350" t="s">
        <v>608</v>
      </c>
      <c r="N154" s="350" t="s">
        <v>608</v>
      </c>
      <c r="O154" s="76"/>
      <c r="P154" s="484">
        <v>1</v>
      </c>
      <c r="Q154" s="485">
        <f>Fuente!AT158</f>
        <v>0.5</v>
      </c>
      <c r="R154" s="485">
        <f>Fuente!AU158</f>
        <v>0</v>
      </c>
      <c r="S154" s="485">
        <f>Fuente!AV158</f>
        <v>0</v>
      </c>
      <c r="T154" s="485">
        <f>Fuente!AW158</f>
        <v>0</v>
      </c>
      <c r="U154" s="467">
        <f>Fuente!AM158</f>
        <v>1</v>
      </c>
      <c r="V154" s="485">
        <f>Fuente!AY158</f>
        <v>1</v>
      </c>
      <c r="W154" s="485">
        <f>Fuente!AZ158</f>
        <v>1</v>
      </c>
      <c r="X154" s="485">
        <f>Fuente!BA158</f>
        <v>0</v>
      </c>
      <c r="Y154" s="485">
        <f>Fuente!BB158</f>
        <v>0</v>
      </c>
      <c r="Z154" s="485">
        <f>Fuente!BC158</f>
        <v>0</v>
      </c>
      <c r="AA154" s="467">
        <f>Fuente!BD158</f>
        <v>1</v>
      </c>
      <c r="AB154" s="480" t="s">
        <v>420</v>
      </c>
      <c r="AC154" s="477"/>
      <c r="AD154" s="477"/>
      <c r="AE154" s="477"/>
      <c r="AF154" s="482"/>
      <c r="AG154" s="480" t="str">
        <f>Fuente!AB155</f>
        <v>SECRETARÍA DE SALUD</v>
      </c>
      <c r="AH154" s="94"/>
      <c r="AI154" s="94"/>
      <c r="AJ154" s="81"/>
    </row>
    <row r="155" spans="1:36" ht="78.75" x14ac:dyDescent="0.2">
      <c r="A155" s="76">
        <v>1</v>
      </c>
      <c r="B155" s="350" t="s">
        <v>1746</v>
      </c>
      <c r="C155" s="351" t="s">
        <v>293</v>
      </c>
      <c r="D155" s="350" t="s">
        <v>294</v>
      </c>
      <c r="E155" s="351" t="s">
        <v>576</v>
      </c>
      <c r="F155" s="350" t="s">
        <v>577</v>
      </c>
      <c r="G155" s="351"/>
      <c r="H155" s="352" t="s">
        <v>605</v>
      </c>
      <c r="I155" s="352" t="s">
        <v>606</v>
      </c>
      <c r="J155" s="351" t="s">
        <v>607</v>
      </c>
      <c r="K155" s="351">
        <v>100</v>
      </c>
      <c r="L155" s="352"/>
      <c r="M155" s="350" t="s">
        <v>609</v>
      </c>
      <c r="N155" s="350" t="s">
        <v>609</v>
      </c>
      <c r="O155" s="76"/>
      <c r="P155" s="76">
        <v>45</v>
      </c>
      <c r="Q155" s="485">
        <f>Fuente!AT159</f>
        <v>90</v>
      </c>
      <c r="R155" s="485">
        <f>Fuente!AU159</f>
        <v>0</v>
      </c>
      <c r="S155" s="485">
        <f>Fuente!AV159</f>
        <v>0</v>
      </c>
      <c r="T155" s="485">
        <f>Fuente!AW159</f>
        <v>0</v>
      </c>
      <c r="U155" s="467">
        <f>Fuente!AM159</f>
        <v>1</v>
      </c>
      <c r="V155" s="485">
        <f>Fuente!AY159</f>
        <v>45</v>
      </c>
      <c r="W155" s="485">
        <f>Fuente!AZ159</f>
        <v>45</v>
      </c>
      <c r="X155" s="485">
        <f>Fuente!BA159</f>
        <v>0</v>
      </c>
      <c r="Y155" s="485">
        <f>Fuente!BB159</f>
        <v>0</v>
      </c>
      <c r="Z155" s="485">
        <f>Fuente!BC159</f>
        <v>0</v>
      </c>
      <c r="AA155" s="467">
        <f>Fuente!BD159</f>
        <v>1</v>
      </c>
      <c r="AB155" s="480" t="s">
        <v>420</v>
      </c>
      <c r="AC155" s="477"/>
      <c r="AD155" s="477"/>
      <c r="AE155" s="477"/>
      <c r="AF155" s="482"/>
      <c r="AG155" s="480" t="e">
        <f>Fuente!#REF!</f>
        <v>#REF!</v>
      </c>
      <c r="AH155" s="94"/>
      <c r="AI155" s="94"/>
      <c r="AJ155" s="81"/>
    </row>
    <row r="156" spans="1:36" ht="47.25" x14ac:dyDescent="0.2">
      <c r="A156" s="76">
        <v>1</v>
      </c>
      <c r="B156" s="350" t="s">
        <v>1746</v>
      </c>
      <c r="C156" s="351" t="s">
        <v>293</v>
      </c>
      <c r="D156" s="350" t="s">
        <v>294</v>
      </c>
      <c r="E156" s="351" t="s">
        <v>576</v>
      </c>
      <c r="F156" s="350" t="s">
        <v>577</v>
      </c>
      <c r="G156" s="351"/>
      <c r="H156" s="352" t="s">
        <v>605</v>
      </c>
      <c r="I156" s="352" t="s">
        <v>606</v>
      </c>
      <c r="J156" s="351" t="s">
        <v>607</v>
      </c>
      <c r="K156" s="351">
        <v>100</v>
      </c>
      <c r="L156" s="352"/>
      <c r="M156" s="350" t="s">
        <v>610</v>
      </c>
      <c r="N156" s="350" t="s">
        <v>610</v>
      </c>
      <c r="O156" s="76"/>
      <c r="P156" s="484">
        <v>0.97</v>
      </c>
      <c r="Q156" s="485">
        <f>Fuente!AT160</f>
        <v>0.48499999999999999</v>
      </c>
      <c r="R156" s="485">
        <f>Fuente!AU160</f>
        <v>0</v>
      </c>
      <c r="S156" s="485">
        <f>Fuente!AV160</f>
        <v>0</v>
      </c>
      <c r="T156" s="485">
        <f>Fuente!AW160</f>
        <v>0</v>
      </c>
      <c r="U156" s="467">
        <f>Fuente!AM160</f>
        <v>1</v>
      </c>
      <c r="V156" s="485">
        <f>Fuente!AY160</f>
        <v>0.97</v>
      </c>
      <c r="W156" s="485">
        <f>Fuente!AZ160</f>
        <v>0.97</v>
      </c>
      <c r="X156" s="485">
        <f>Fuente!BA160</f>
        <v>0</v>
      </c>
      <c r="Y156" s="485">
        <f>Fuente!BB160</f>
        <v>0</v>
      </c>
      <c r="Z156" s="485">
        <f>Fuente!BC160</f>
        <v>0</v>
      </c>
      <c r="AA156" s="467">
        <f>Fuente!BD160</f>
        <v>1</v>
      </c>
      <c r="AB156" s="480" t="s">
        <v>420</v>
      </c>
      <c r="AC156" s="477"/>
      <c r="AD156" s="477" t="s">
        <v>302</v>
      </c>
      <c r="AE156" s="477" t="s">
        <v>303</v>
      </c>
      <c r="AF156" s="482"/>
      <c r="AG156" s="480" t="str">
        <f>Fuente!AB156</f>
        <v>SECRETARÍA DE SALUD</v>
      </c>
      <c r="AH156" s="94"/>
      <c r="AI156" s="94"/>
      <c r="AJ156" s="81"/>
    </row>
    <row r="157" spans="1:36" ht="141.75" x14ac:dyDescent="0.2">
      <c r="A157" s="76">
        <v>1</v>
      </c>
      <c r="B157" s="350" t="s">
        <v>1746</v>
      </c>
      <c r="C157" s="351" t="s">
        <v>293</v>
      </c>
      <c r="D157" s="350" t="s">
        <v>294</v>
      </c>
      <c r="E157" s="351" t="s">
        <v>576</v>
      </c>
      <c r="F157" s="350" t="s">
        <v>577</v>
      </c>
      <c r="G157" s="351"/>
      <c r="H157" s="351" t="s">
        <v>611</v>
      </c>
      <c r="I157" s="350" t="s">
        <v>611</v>
      </c>
      <c r="J157" s="351">
        <v>35</v>
      </c>
      <c r="K157" s="351">
        <v>45</v>
      </c>
      <c r="L157" s="350"/>
      <c r="M157" s="350" t="s">
        <v>612</v>
      </c>
      <c r="N157" s="350" t="s">
        <v>612</v>
      </c>
      <c r="O157" s="76"/>
      <c r="P157" s="310">
        <v>1</v>
      </c>
      <c r="Q157" s="485">
        <f>Fuente!AT161</f>
        <v>0.25</v>
      </c>
      <c r="R157" s="485">
        <f>Fuente!AU161</f>
        <v>0</v>
      </c>
      <c r="S157" s="485">
        <f>Fuente!AV161</f>
        <v>0</v>
      </c>
      <c r="T157" s="485">
        <f>Fuente!AW161</f>
        <v>0</v>
      </c>
      <c r="U157" s="467">
        <f>Fuente!AM161</f>
        <v>1</v>
      </c>
      <c r="V157" s="485" t="str">
        <f>Fuente!AY161</f>
        <v>NP</v>
      </c>
      <c r="W157" s="485">
        <f>Fuente!AZ161</f>
        <v>0</v>
      </c>
      <c r="X157" s="485">
        <f>Fuente!BA161</f>
        <v>0</v>
      </c>
      <c r="Y157" s="485">
        <f>Fuente!BB161</f>
        <v>0</v>
      </c>
      <c r="Z157" s="485">
        <f>Fuente!BC161</f>
        <v>0</v>
      </c>
      <c r="AA157" s="467" t="str">
        <f>Fuente!BD161</f>
        <v>NP</v>
      </c>
      <c r="AB157" s="480" t="s">
        <v>420</v>
      </c>
      <c r="AC157" s="477"/>
      <c r="AD157" s="477" t="s">
        <v>302</v>
      </c>
      <c r="AE157" s="477" t="s">
        <v>303</v>
      </c>
      <c r="AF157" s="482"/>
      <c r="AG157" s="480" t="str">
        <f>Fuente!AB157</f>
        <v>SECRETARÍA DE SALUD</v>
      </c>
      <c r="AH157" s="95"/>
      <c r="AI157" s="95"/>
      <c r="AJ157" s="81"/>
    </row>
    <row r="158" spans="1:36" ht="141.75" x14ac:dyDescent="0.2">
      <c r="A158" s="76">
        <v>1</v>
      </c>
      <c r="B158" s="350" t="s">
        <v>1746</v>
      </c>
      <c r="C158" s="351" t="s">
        <v>293</v>
      </c>
      <c r="D158" s="350" t="s">
        <v>294</v>
      </c>
      <c r="E158" s="351" t="s">
        <v>576</v>
      </c>
      <c r="F158" s="350" t="s">
        <v>577</v>
      </c>
      <c r="G158" s="351"/>
      <c r="H158" s="352" t="s">
        <v>614</v>
      </c>
      <c r="I158" s="350" t="s">
        <v>614</v>
      </c>
      <c r="J158" s="351">
        <v>1</v>
      </c>
      <c r="K158" s="351">
        <v>8</v>
      </c>
      <c r="L158" s="350"/>
      <c r="M158" s="350" t="s">
        <v>615</v>
      </c>
      <c r="N158" s="350" t="s">
        <v>615</v>
      </c>
      <c r="O158" s="351"/>
      <c r="P158" s="310">
        <v>18</v>
      </c>
      <c r="Q158" s="485">
        <f>Fuente!AT162</f>
        <v>2</v>
      </c>
      <c r="R158" s="485">
        <f>Fuente!AU162</f>
        <v>0</v>
      </c>
      <c r="S158" s="485">
        <f>Fuente!AV162</f>
        <v>0</v>
      </c>
      <c r="T158" s="485">
        <f>Fuente!AW162</f>
        <v>0</v>
      </c>
      <c r="U158" s="467">
        <f>Fuente!AM162</f>
        <v>0.1111111111111111</v>
      </c>
      <c r="V158" s="485">
        <f>Fuente!AY162</f>
        <v>6</v>
      </c>
      <c r="W158" s="485">
        <f>Fuente!AZ162</f>
        <v>0</v>
      </c>
      <c r="X158" s="485">
        <f>Fuente!BA162</f>
        <v>0</v>
      </c>
      <c r="Y158" s="485">
        <f>Fuente!BB162</f>
        <v>0</v>
      </c>
      <c r="Z158" s="485">
        <f>Fuente!BC162</f>
        <v>0</v>
      </c>
      <c r="AA158" s="467">
        <f>Fuente!BD162</f>
        <v>0</v>
      </c>
      <c r="AB158" s="480" t="s">
        <v>420</v>
      </c>
      <c r="AC158" s="477"/>
      <c r="AD158" s="477" t="s">
        <v>302</v>
      </c>
      <c r="AE158" s="477" t="s">
        <v>303</v>
      </c>
      <c r="AF158" s="482"/>
      <c r="AG158" s="480" t="str">
        <f>Fuente!AB158</f>
        <v>SECRETARÍA DE SALUD</v>
      </c>
      <c r="AH158" s="94"/>
      <c r="AI158" s="94"/>
      <c r="AJ158" s="81"/>
    </row>
    <row r="159" spans="1:36" ht="141.75" x14ac:dyDescent="0.2">
      <c r="A159" s="76">
        <v>1</v>
      </c>
      <c r="B159" s="350" t="s">
        <v>1746</v>
      </c>
      <c r="C159" s="351" t="s">
        <v>293</v>
      </c>
      <c r="D159" s="350" t="s">
        <v>294</v>
      </c>
      <c r="E159" s="351" t="s">
        <v>576</v>
      </c>
      <c r="F159" s="350" t="s">
        <v>577</v>
      </c>
      <c r="G159" s="351"/>
      <c r="H159" s="352" t="s">
        <v>614</v>
      </c>
      <c r="I159" s="350" t="s">
        <v>614</v>
      </c>
      <c r="J159" s="351">
        <v>1</v>
      </c>
      <c r="K159" s="351">
        <v>8</v>
      </c>
      <c r="L159" s="350"/>
      <c r="M159" s="350" t="s">
        <v>616</v>
      </c>
      <c r="N159" s="350" t="s">
        <v>616</v>
      </c>
      <c r="O159" s="76"/>
      <c r="P159" s="76">
        <v>12</v>
      </c>
      <c r="Q159" s="485">
        <f>Fuente!AT163</f>
        <v>0</v>
      </c>
      <c r="R159" s="485">
        <f>Fuente!AU163</f>
        <v>0</v>
      </c>
      <c r="S159" s="485">
        <f>Fuente!AV163</f>
        <v>0</v>
      </c>
      <c r="T159" s="485">
        <f>Fuente!AW163</f>
        <v>0</v>
      </c>
      <c r="U159" s="467">
        <f>Fuente!AM163</f>
        <v>0</v>
      </c>
      <c r="V159" s="485">
        <f>Fuente!AY163</f>
        <v>2</v>
      </c>
      <c r="W159" s="485">
        <f>Fuente!AZ163</f>
        <v>0</v>
      </c>
      <c r="X159" s="485">
        <f>Fuente!BA163</f>
        <v>0</v>
      </c>
      <c r="Y159" s="485">
        <f>Fuente!BB163</f>
        <v>0</v>
      </c>
      <c r="Z159" s="485">
        <f>Fuente!BC163</f>
        <v>0</v>
      </c>
      <c r="AA159" s="467">
        <f>Fuente!BD163</f>
        <v>0</v>
      </c>
      <c r="AB159" s="480" t="s">
        <v>412</v>
      </c>
      <c r="AC159" s="477"/>
      <c r="AD159" s="477" t="s">
        <v>302</v>
      </c>
      <c r="AE159" s="477" t="s">
        <v>303</v>
      </c>
      <c r="AF159" s="482"/>
      <c r="AG159" s="480" t="str">
        <f>Fuente!AB159</f>
        <v>SECRETARÍA DE SALUD</v>
      </c>
      <c r="AH159" s="81"/>
      <c r="AI159" s="81"/>
      <c r="AJ159" s="81"/>
    </row>
    <row r="160" spans="1:36" ht="141.75" x14ac:dyDescent="0.2">
      <c r="A160" s="76">
        <v>1</v>
      </c>
      <c r="B160" s="350" t="s">
        <v>1746</v>
      </c>
      <c r="C160" s="351" t="s">
        <v>293</v>
      </c>
      <c r="D160" s="350" t="s">
        <v>294</v>
      </c>
      <c r="E160" s="351" t="s">
        <v>576</v>
      </c>
      <c r="F160" s="350" t="s">
        <v>577</v>
      </c>
      <c r="G160" s="351"/>
      <c r="H160" s="352" t="s">
        <v>614</v>
      </c>
      <c r="I160" s="350" t="s">
        <v>614</v>
      </c>
      <c r="J160" s="351">
        <v>1</v>
      </c>
      <c r="K160" s="351">
        <v>8</v>
      </c>
      <c r="L160" s="350"/>
      <c r="M160" s="350" t="s">
        <v>617</v>
      </c>
      <c r="N160" s="350" t="s">
        <v>617</v>
      </c>
      <c r="O160" s="76"/>
      <c r="P160" s="76">
        <v>1</v>
      </c>
      <c r="Q160" s="485">
        <f>Fuente!AT164</f>
        <v>0.25</v>
      </c>
      <c r="R160" s="485">
        <f>Fuente!AU164</f>
        <v>0</v>
      </c>
      <c r="S160" s="485">
        <f>Fuente!AV164</f>
        <v>0</v>
      </c>
      <c r="T160" s="485">
        <f>Fuente!AW164</f>
        <v>0</v>
      </c>
      <c r="U160" s="467">
        <f>Fuente!AM164</f>
        <v>1</v>
      </c>
      <c r="V160" s="485">
        <f>Fuente!AY164</f>
        <v>1</v>
      </c>
      <c r="W160" s="485">
        <f>Fuente!AZ164</f>
        <v>0</v>
      </c>
      <c r="X160" s="485">
        <f>Fuente!BA164</f>
        <v>0</v>
      </c>
      <c r="Y160" s="485">
        <f>Fuente!BB164</f>
        <v>0</v>
      </c>
      <c r="Z160" s="485">
        <f>Fuente!BC164</f>
        <v>0</v>
      </c>
      <c r="AA160" s="467">
        <f>Fuente!BD164</f>
        <v>0</v>
      </c>
      <c r="AB160" s="480" t="s">
        <v>420</v>
      </c>
      <c r="AC160" s="477"/>
      <c r="AD160" s="477" t="s">
        <v>302</v>
      </c>
      <c r="AE160" s="477" t="s">
        <v>303</v>
      </c>
      <c r="AF160" s="482"/>
      <c r="AG160" s="480" t="str">
        <f>Fuente!AB160</f>
        <v>SECRETARÍA DE SALUD</v>
      </c>
      <c r="AH160" s="94"/>
      <c r="AI160" s="94"/>
      <c r="AJ160" s="81"/>
    </row>
    <row r="161" spans="1:36" ht="141.75" x14ac:dyDescent="0.2">
      <c r="A161" s="76">
        <v>1</v>
      </c>
      <c r="B161" s="350" t="s">
        <v>1746</v>
      </c>
      <c r="C161" s="351" t="s">
        <v>293</v>
      </c>
      <c r="D161" s="350" t="s">
        <v>294</v>
      </c>
      <c r="E161" s="351" t="s">
        <v>576</v>
      </c>
      <c r="F161" s="350" t="s">
        <v>577</v>
      </c>
      <c r="G161" s="351"/>
      <c r="H161" s="352" t="s">
        <v>614</v>
      </c>
      <c r="I161" s="350" t="s">
        <v>614</v>
      </c>
      <c r="J161" s="351">
        <v>1</v>
      </c>
      <c r="K161" s="351">
        <v>8</v>
      </c>
      <c r="L161" s="350"/>
      <c r="M161" s="350" t="s">
        <v>618</v>
      </c>
      <c r="N161" s="350" t="s">
        <v>618</v>
      </c>
      <c r="O161" s="76"/>
      <c r="P161" s="310">
        <v>1</v>
      </c>
      <c r="Q161" s="485">
        <f>Fuente!AT165</f>
        <v>0</v>
      </c>
      <c r="R161" s="485">
        <f>Fuente!AU165</f>
        <v>0</v>
      </c>
      <c r="S161" s="485">
        <f>Fuente!AV165</f>
        <v>0</v>
      </c>
      <c r="T161" s="485">
        <f>Fuente!AW165</f>
        <v>0</v>
      </c>
      <c r="U161" s="467">
        <f>Fuente!AM165</f>
        <v>0</v>
      </c>
      <c r="V161" s="485">
        <f>Fuente!AY165</f>
        <v>1</v>
      </c>
      <c r="W161" s="485">
        <f>Fuente!AZ165</f>
        <v>0</v>
      </c>
      <c r="X161" s="485">
        <f>Fuente!BA165</f>
        <v>0</v>
      </c>
      <c r="Y161" s="485">
        <f>Fuente!BB165</f>
        <v>0</v>
      </c>
      <c r="Z161" s="485">
        <f>Fuente!BC165</f>
        <v>0</v>
      </c>
      <c r="AA161" s="467">
        <f>Fuente!BD165</f>
        <v>0</v>
      </c>
      <c r="AB161" s="480" t="s">
        <v>420</v>
      </c>
      <c r="AC161" s="477"/>
      <c r="AD161" s="477" t="s">
        <v>302</v>
      </c>
      <c r="AE161" s="477" t="s">
        <v>303</v>
      </c>
      <c r="AF161" s="482"/>
      <c r="AG161" s="480" t="str">
        <f>Fuente!AB161</f>
        <v>SECRETARÍA DE SALUD</v>
      </c>
      <c r="AH161" s="95"/>
      <c r="AI161" s="95"/>
      <c r="AJ161" s="81"/>
    </row>
    <row r="162" spans="1:36" ht="94.5" x14ac:dyDescent="0.2">
      <c r="A162" s="76">
        <v>1</v>
      </c>
      <c r="B162" s="350" t="s">
        <v>1746</v>
      </c>
      <c r="C162" s="351" t="s">
        <v>293</v>
      </c>
      <c r="D162" s="350" t="s">
        <v>294</v>
      </c>
      <c r="E162" s="351" t="s">
        <v>576</v>
      </c>
      <c r="F162" s="350" t="s">
        <v>577</v>
      </c>
      <c r="G162" s="351"/>
      <c r="H162" s="352" t="s">
        <v>619</v>
      </c>
      <c r="I162" s="350" t="s">
        <v>619</v>
      </c>
      <c r="J162" s="351">
        <v>70</v>
      </c>
      <c r="K162" s="351">
        <v>100</v>
      </c>
      <c r="L162" s="350"/>
      <c r="M162" s="350" t="s">
        <v>620</v>
      </c>
      <c r="N162" s="350" t="s">
        <v>620</v>
      </c>
      <c r="O162" s="76"/>
      <c r="P162" s="484">
        <v>0.9</v>
      </c>
      <c r="Q162" s="485">
        <f>Fuente!AT166</f>
        <v>7.0000000000000007E-2</v>
      </c>
      <c r="R162" s="485">
        <f>Fuente!AU166</f>
        <v>0</v>
      </c>
      <c r="S162" s="485">
        <f>Fuente!AV166</f>
        <v>0</v>
      </c>
      <c r="T162" s="485">
        <f>Fuente!AW166</f>
        <v>0</v>
      </c>
      <c r="U162" s="467">
        <f>Fuente!AM166</f>
        <v>5.5555555555555559E-2</v>
      </c>
      <c r="V162" s="485">
        <f>Fuente!AY166</f>
        <v>0.3</v>
      </c>
      <c r="W162" s="485">
        <f>Fuente!AZ166</f>
        <v>0.02</v>
      </c>
      <c r="X162" s="485">
        <f>Fuente!BA166</f>
        <v>0</v>
      </c>
      <c r="Y162" s="485">
        <f>Fuente!BB166</f>
        <v>0</v>
      </c>
      <c r="Z162" s="485">
        <f>Fuente!BC166</f>
        <v>0</v>
      </c>
      <c r="AA162" s="467">
        <f>Fuente!BD166</f>
        <v>6.6666666666666666E-2</v>
      </c>
      <c r="AB162" s="480" t="s">
        <v>420</v>
      </c>
      <c r="AC162" s="477"/>
      <c r="AD162" s="477" t="s">
        <v>302</v>
      </c>
      <c r="AE162" s="477" t="s">
        <v>613</v>
      </c>
      <c r="AF162" s="482"/>
      <c r="AG162" s="480" t="e">
        <f>Fuente!#REF!</f>
        <v>#REF!</v>
      </c>
      <c r="AH162" s="95"/>
      <c r="AI162" s="95"/>
      <c r="AJ162" s="81"/>
    </row>
    <row r="163" spans="1:36" ht="63" x14ac:dyDescent="0.2">
      <c r="A163" s="76">
        <v>1</v>
      </c>
      <c r="B163" s="350" t="s">
        <v>1746</v>
      </c>
      <c r="C163" s="351" t="s">
        <v>293</v>
      </c>
      <c r="D163" s="350" t="s">
        <v>294</v>
      </c>
      <c r="E163" s="351" t="s">
        <v>576</v>
      </c>
      <c r="F163" s="350" t="s">
        <v>577</v>
      </c>
      <c r="G163" s="351"/>
      <c r="H163" s="352" t="s">
        <v>619</v>
      </c>
      <c r="I163" s="350" t="s">
        <v>619</v>
      </c>
      <c r="J163" s="351">
        <v>70</v>
      </c>
      <c r="K163" s="351">
        <v>100</v>
      </c>
      <c r="L163" s="350"/>
      <c r="M163" s="350" t="s">
        <v>621</v>
      </c>
      <c r="N163" s="350" t="s">
        <v>621</v>
      </c>
      <c r="O163" s="76"/>
      <c r="P163" s="484">
        <v>1</v>
      </c>
      <c r="Q163" s="485">
        <f>Fuente!AT167</f>
        <v>0.20500000000000002</v>
      </c>
      <c r="R163" s="485">
        <f>Fuente!AU167</f>
        <v>0</v>
      </c>
      <c r="S163" s="485">
        <f>Fuente!AV167</f>
        <v>0</v>
      </c>
      <c r="T163" s="485">
        <f>Fuente!AW167</f>
        <v>0</v>
      </c>
      <c r="U163" s="467">
        <f>Fuente!AM167</f>
        <v>0.8</v>
      </c>
      <c r="V163" s="485">
        <f>Fuente!AY167</f>
        <v>1</v>
      </c>
      <c r="W163" s="485">
        <f>Fuente!AZ167</f>
        <v>0.02</v>
      </c>
      <c r="X163" s="485">
        <f>Fuente!BA167</f>
        <v>0</v>
      </c>
      <c r="Y163" s="485">
        <f>Fuente!BB167</f>
        <v>0</v>
      </c>
      <c r="Z163" s="485">
        <f>Fuente!BC167</f>
        <v>0</v>
      </c>
      <c r="AA163" s="467">
        <f>Fuente!BD167</f>
        <v>0.02</v>
      </c>
      <c r="AB163" s="480" t="s">
        <v>412</v>
      </c>
      <c r="AC163" s="477"/>
      <c r="AD163" s="477" t="s">
        <v>302</v>
      </c>
      <c r="AE163" s="477" t="s">
        <v>613</v>
      </c>
      <c r="AF163" s="482"/>
      <c r="AG163" s="480" t="str">
        <f>Fuente!AB162</f>
        <v>SECRETARÍA DE SALUD</v>
      </c>
      <c r="AH163" s="95"/>
      <c r="AI163" s="95"/>
      <c r="AJ163" s="81"/>
    </row>
    <row r="164" spans="1:36" ht="94.5" x14ac:dyDescent="0.2">
      <c r="A164" s="76">
        <v>1</v>
      </c>
      <c r="B164" s="350" t="s">
        <v>1746</v>
      </c>
      <c r="C164" s="351" t="s">
        <v>293</v>
      </c>
      <c r="D164" s="350" t="s">
        <v>294</v>
      </c>
      <c r="E164" s="351" t="s">
        <v>576</v>
      </c>
      <c r="F164" s="350" t="s">
        <v>577</v>
      </c>
      <c r="G164" s="351"/>
      <c r="H164" s="352" t="s">
        <v>619</v>
      </c>
      <c r="I164" s="350" t="s">
        <v>619</v>
      </c>
      <c r="J164" s="351">
        <v>70</v>
      </c>
      <c r="K164" s="351">
        <v>100</v>
      </c>
      <c r="L164" s="350"/>
      <c r="M164" s="350" t="s">
        <v>622</v>
      </c>
      <c r="N164" s="350" t="s">
        <v>622</v>
      </c>
      <c r="O164" s="76"/>
      <c r="P164" s="310">
        <v>22</v>
      </c>
      <c r="Q164" s="485">
        <f>Fuente!AT168</f>
        <v>1</v>
      </c>
      <c r="R164" s="485">
        <f>Fuente!AU168</f>
        <v>0</v>
      </c>
      <c r="S164" s="485">
        <f>Fuente!AV168</f>
        <v>0</v>
      </c>
      <c r="T164" s="485">
        <f>Fuente!AW168</f>
        <v>0</v>
      </c>
      <c r="U164" s="467">
        <f>Fuente!AM168</f>
        <v>4.5454545454545456E-2</v>
      </c>
      <c r="V164" s="485">
        <f>Fuente!AY168</f>
        <v>5</v>
      </c>
      <c r="W164" s="485">
        <f>Fuente!AZ168</f>
        <v>0</v>
      </c>
      <c r="X164" s="485">
        <f>Fuente!BA168</f>
        <v>0</v>
      </c>
      <c r="Y164" s="485">
        <f>Fuente!BB168</f>
        <v>0</v>
      </c>
      <c r="Z164" s="485">
        <f>Fuente!BC168</f>
        <v>0</v>
      </c>
      <c r="AA164" s="467">
        <f>Fuente!BD168</f>
        <v>0</v>
      </c>
      <c r="AB164" s="480" t="s">
        <v>412</v>
      </c>
      <c r="AC164" s="477"/>
      <c r="AD164" s="477" t="s">
        <v>302</v>
      </c>
      <c r="AE164" s="477" t="s">
        <v>613</v>
      </c>
      <c r="AF164" s="482"/>
      <c r="AG164" s="480" t="str">
        <f>Fuente!AB163</f>
        <v>SECRETARÍA DE SALUD</v>
      </c>
      <c r="AH164" s="81"/>
      <c r="AI164" s="81"/>
      <c r="AJ164" s="81"/>
    </row>
    <row r="165" spans="1:36" ht="47.25" x14ac:dyDescent="0.2">
      <c r="A165" s="76">
        <v>1</v>
      </c>
      <c r="B165" s="350" t="s">
        <v>1746</v>
      </c>
      <c r="C165" s="351" t="s">
        <v>293</v>
      </c>
      <c r="D165" s="350" t="s">
        <v>294</v>
      </c>
      <c r="E165" s="351" t="s">
        <v>576</v>
      </c>
      <c r="F165" s="350" t="s">
        <v>577</v>
      </c>
      <c r="G165" s="351"/>
      <c r="H165" s="352" t="s">
        <v>619</v>
      </c>
      <c r="I165" s="350" t="s">
        <v>619</v>
      </c>
      <c r="J165" s="351">
        <v>70</v>
      </c>
      <c r="K165" s="351">
        <v>100</v>
      </c>
      <c r="L165" s="350"/>
      <c r="M165" s="350" t="s">
        <v>623</v>
      </c>
      <c r="N165" s="350" t="s">
        <v>623</v>
      </c>
      <c r="O165" s="76"/>
      <c r="P165" s="310">
        <v>4</v>
      </c>
      <c r="Q165" s="485">
        <f>Fuente!AT169</f>
        <v>0</v>
      </c>
      <c r="R165" s="485">
        <f>Fuente!AU169</f>
        <v>0</v>
      </c>
      <c r="S165" s="485">
        <f>Fuente!AV169</f>
        <v>0</v>
      </c>
      <c r="T165" s="485">
        <f>Fuente!AW169</f>
        <v>0</v>
      </c>
      <c r="U165" s="467">
        <f>Fuente!AM169</f>
        <v>0</v>
      </c>
      <c r="V165" s="485">
        <f>Fuente!AY169</f>
        <v>1</v>
      </c>
      <c r="W165" s="485">
        <f>Fuente!AZ169</f>
        <v>0</v>
      </c>
      <c r="X165" s="485">
        <f>Fuente!BA169</f>
        <v>0</v>
      </c>
      <c r="Y165" s="485">
        <f>Fuente!BB169</f>
        <v>0</v>
      </c>
      <c r="Z165" s="485">
        <f>Fuente!BC169</f>
        <v>0</v>
      </c>
      <c r="AA165" s="467">
        <f>Fuente!BD169</f>
        <v>0</v>
      </c>
      <c r="AB165" s="480" t="s">
        <v>420</v>
      </c>
      <c r="AC165" s="477"/>
      <c r="AD165" s="477" t="s">
        <v>302</v>
      </c>
      <c r="AE165" s="477" t="s">
        <v>613</v>
      </c>
      <c r="AF165" s="482"/>
      <c r="AG165" s="480" t="str">
        <f>Fuente!AB164</f>
        <v>SECRETARÍA DE SALUD</v>
      </c>
      <c r="AH165" s="94"/>
      <c r="AI165" s="94"/>
      <c r="AJ165" s="81"/>
    </row>
    <row r="166" spans="1:36" ht="63" x14ac:dyDescent="0.2">
      <c r="A166" s="76">
        <v>1</v>
      </c>
      <c r="B166" s="350" t="s">
        <v>1746</v>
      </c>
      <c r="C166" s="351" t="s">
        <v>293</v>
      </c>
      <c r="D166" s="350" t="s">
        <v>294</v>
      </c>
      <c r="E166" s="351" t="s">
        <v>576</v>
      </c>
      <c r="F166" s="350" t="s">
        <v>577</v>
      </c>
      <c r="G166" s="351"/>
      <c r="H166" s="352" t="s">
        <v>619</v>
      </c>
      <c r="I166" s="350" t="s">
        <v>619</v>
      </c>
      <c r="J166" s="351">
        <v>70</v>
      </c>
      <c r="K166" s="351">
        <v>100</v>
      </c>
      <c r="L166" s="350"/>
      <c r="M166" s="350" t="s">
        <v>624</v>
      </c>
      <c r="N166" s="350" t="s">
        <v>624</v>
      </c>
      <c r="O166" s="76"/>
      <c r="P166" s="435">
        <v>0.8</v>
      </c>
      <c r="Q166" s="485">
        <f>Fuente!AT170</f>
        <v>0</v>
      </c>
      <c r="R166" s="485">
        <f>Fuente!AU170</f>
        <v>0</v>
      </c>
      <c r="S166" s="485">
        <f>Fuente!AV170</f>
        <v>0</v>
      </c>
      <c r="T166" s="485">
        <f>Fuente!AW170</f>
        <v>0</v>
      </c>
      <c r="U166" s="467">
        <f>Fuente!AM170</f>
        <v>0</v>
      </c>
      <c r="V166" s="485">
        <f>Fuente!AY170</f>
        <v>0.2</v>
      </c>
      <c r="W166" s="485">
        <f>Fuente!AZ170</f>
        <v>0</v>
      </c>
      <c r="X166" s="485">
        <f>Fuente!BA170</f>
        <v>0</v>
      </c>
      <c r="Y166" s="485">
        <f>Fuente!BB170</f>
        <v>0</v>
      </c>
      <c r="Z166" s="485">
        <f>Fuente!BC170</f>
        <v>0</v>
      </c>
      <c r="AA166" s="467">
        <f>Fuente!BD170</f>
        <v>0</v>
      </c>
      <c r="AB166" s="480" t="s">
        <v>412</v>
      </c>
      <c r="AC166" s="477"/>
      <c r="AD166" s="477"/>
      <c r="AE166" s="477"/>
      <c r="AF166" s="482"/>
      <c r="AG166" s="480" t="str">
        <f>Fuente!AB165</f>
        <v>SECRETARÍA DE SALUD</v>
      </c>
      <c r="AH166" s="95"/>
      <c r="AI166" s="95"/>
      <c r="AJ166" s="81"/>
    </row>
    <row r="167" spans="1:36" ht="220.5" x14ac:dyDescent="0.2">
      <c r="A167" s="76">
        <v>1</v>
      </c>
      <c r="B167" s="350" t="s">
        <v>1746</v>
      </c>
      <c r="C167" s="351" t="s">
        <v>626</v>
      </c>
      <c r="D167" s="350" t="s">
        <v>627</v>
      </c>
      <c r="E167" s="351" t="s">
        <v>628</v>
      </c>
      <c r="F167" s="350" t="s">
        <v>629</v>
      </c>
      <c r="G167" s="466"/>
      <c r="H167" s="466" t="s">
        <v>630</v>
      </c>
      <c r="I167" s="466" t="s">
        <v>630</v>
      </c>
      <c r="J167" s="351">
        <v>0.65449999999999997</v>
      </c>
      <c r="K167" s="351" t="s">
        <v>631</v>
      </c>
      <c r="L167" s="350"/>
      <c r="M167" s="350" t="s">
        <v>632</v>
      </c>
      <c r="N167" s="350" t="s">
        <v>632</v>
      </c>
      <c r="O167" s="351">
        <v>97004</v>
      </c>
      <c r="P167" s="351">
        <v>5000</v>
      </c>
      <c r="Q167" s="485">
        <f>Fuente!AT171</f>
        <v>1554</v>
      </c>
      <c r="R167" s="485">
        <f>Fuente!AU171</f>
        <v>0</v>
      </c>
      <c r="S167" s="485">
        <f>Fuente!AV171</f>
        <v>0</v>
      </c>
      <c r="T167" s="485">
        <f>Fuente!AW171</f>
        <v>0</v>
      </c>
      <c r="U167" s="467">
        <f>Fuente!AM171</f>
        <v>0</v>
      </c>
      <c r="V167" s="485">
        <f>Fuente!AY171</f>
        <v>1650</v>
      </c>
      <c r="W167" s="485">
        <f>Fuente!AZ171</f>
        <v>1554</v>
      </c>
      <c r="X167" s="485">
        <f>Fuente!BA171</f>
        <v>0</v>
      </c>
      <c r="Y167" s="485">
        <f>Fuente!BB171</f>
        <v>0</v>
      </c>
      <c r="Z167" s="485">
        <f>Fuente!BC171</f>
        <v>0</v>
      </c>
      <c r="AA167" s="467">
        <f>Fuente!BD171</f>
        <v>0.94181818181818178</v>
      </c>
      <c r="AB167" s="480" t="s">
        <v>412</v>
      </c>
      <c r="AC167" s="477"/>
      <c r="AD167" s="477" t="s">
        <v>302</v>
      </c>
      <c r="AE167" s="477" t="s">
        <v>613</v>
      </c>
      <c r="AF167" s="482"/>
      <c r="AG167" s="480" t="str">
        <f>Fuente!AB166</f>
        <v>SECRETARÍA DE SALUD</v>
      </c>
      <c r="AH167" s="94"/>
      <c r="AI167" s="94"/>
      <c r="AJ167" s="81"/>
    </row>
    <row r="168" spans="1:36" ht="220.5" x14ac:dyDescent="0.2">
      <c r="A168" s="76">
        <v>1</v>
      </c>
      <c r="B168" s="350" t="s">
        <v>1746</v>
      </c>
      <c r="C168" s="351" t="s">
        <v>626</v>
      </c>
      <c r="D168" s="350" t="s">
        <v>627</v>
      </c>
      <c r="E168" s="351" t="s">
        <v>628</v>
      </c>
      <c r="F168" s="350" t="s">
        <v>629</v>
      </c>
      <c r="G168" s="466"/>
      <c r="H168" s="466" t="s">
        <v>630</v>
      </c>
      <c r="I168" s="466" t="s">
        <v>630</v>
      </c>
      <c r="J168" s="351">
        <v>0.65449999999999997</v>
      </c>
      <c r="K168" s="351" t="s">
        <v>631</v>
      </c>
      <c r="L168" s="350"/>
      <c r="M168" s="350" t="s">
        <v>634</v>
      </c>
      <c r="N168" s="350" t="s">
        <v>634</v>
      </c>
      <c r="O168" s="351">
        <v>1052</v>
      </c>
      <c r="P168" s="351">
        <v>1000</v>
      </c>
      <c r="Q168" s="485">
        <f>Fuente!AT172</f>
        <v>0</v>
      </c>
      <c r="R168" s="485">
        <f>Fuente!AU172</f>
        <v>0</v>
      </c>
      <c r="S168" s="485">
        <f>Fuente!AV172</f>
        <v>0</v>
      </c>
      <c r="T168" s="485">
        <f>Fuente!AW172</f>
        <v>0</v>
      </c>
      <c r="U168" s="467">
        <f>Fuente!AM172</f>
        <v>0</v>
      </c>
      <c r="V168" s="485" t="str">
        <f>Fuente!AY172</f>
        <v>NP</v>
      </c>
      <c r="W168" s="485">
        <f>Fuente!AZ172</f>
        <v>0</v>
      </c>
      <c r="X168" s="485">
        <f>Fuente!BA172</f>
        <v>0</v>
      </c>
      <c r="Y168" s="485">
        <f>Fuente!BB172</f>
        <v>0</v>
      </c>
      <c r="Z168" s="485">
        <f>Fuente!BC172</f>
        <v>0</v>
      </c>
      <c r="AA168" s="467" t="str">
        <f>Fuente!BD172</f>
        <v>NP</v>
      </c>
      <c r="AB168" s="480" t="s">
        <v>420</v>
      </c>
      <c r="AC168" s="477"/>
      <c r="AD168" s="477" t="s">
        <v>302</v>
      </c>
      <c r="AE168" s="477" t="s">
        <v>613</v>
      </c>
      <c r="AF168" s="482"/>
      <c r="AG168" s="480" t="str">
        <f>Fuente!AB167</f>
        <v>SECRETARÍA DE SALUD</v>
      </c>
      <c r="AH168" s="94"/>
      <c r="AI168" s="94"/>
      <c r="AJ168" s="81"/>
    </row>
    <row r="169" spans="1:36" ht="63" x14ac:dyDescent="0.2">
      <c r="A169" s="76">
        <v>1</v>
      </c>
      <c r="B169" s="350" t="s">
        <v>1746</v>
      </c>
      <c r="C169" s="351" t="s">
        <v>626</v>
      </c>
      <c r="D169" s="350" t="s">
        <v>627</v>
      </c>
      <c r="E169" s="351" t="s">
        <v>635</v>
      </c>
      <c r="F169" s="350" t="s">
        <v>636</v>
      </c>
      <c r="G169" s="350"/>
      <c r="H169" s="352" t="s">
        <v>637</v>
      </c>
      <c r="I169" s="350" t="s">
        <v>637</v>
      </c>
      <c r="J169" s="351">
        <v>77</v>
      </c>
      <c r="K169" s="351">
        <v>90</v>
      </c>
      <c r="L169" s="350"/>
      <c r="M169" s="350" t="s">
        <v>638</v>
      </c>
      <c r="N169" s="350" t="s">
        <v>638</v>
      </c>
      <c r="O169" s="76">
        <v>24</v>
      </c>
      <c r="P169" s="76">
        <v>9</v>
      </c>
      <c r="Q169" s="485">
        <f>Fuente!AT173</f>
        <v>3</v>
      </c>
      <c r="R169" s="485">
        <f>Fuente!AU173</f>
        <v>0</v>
      </c>
      <c r="S169" s="485">
        <f>Fuente!AV173</f>
        <v>0</v>
      </c>
      <c r="T169" s="485">
        <f>Fuente!AW173</f>
        <v>0</v>
      </c>
      <c r="U169" s="467">
        <f>Fuente!AM173</f>
        <v>0.22222222222222221</v>
      </c>
      <c r="V169" s="485">
        <f>Fuente!AY173</f>
        <v>2</v>
      </c>
      <c r="W169" s="485">
        <f>Fuente!AZ173</f>
        <v>1</v>
      </c>
      <c r="X169" s="485">
        <f>Fuente!BA173</f>
        <v>0</v>
      </c>
      <c r="Y169" s="485">
        <f>Fuente!BB173</f>
        <v>0</v>
      </c>
      <c r="Z169" s="485">
        <f>Fuente!BC173</f>
        <v>0</v>
      </c>
      <c r="AA169" s="467">
        <f>Fuente!BD173</f>
        <v>0.5</v>
      </c>
      <c r="AB169" s="480" t="s">
        <v>412</v>
      </c>
      <c r="AC169" s="477"/>
      <c r="AD169" s="477" t="s">
        <v>302</v>
      </c>
      <c r="AE169" s="477" t="s">
        <v>613</v>
      </c>
      <c r="AF169" s="482"/>
      <c r="AG169" s="480" t="str">
        <f>Fuente!AB168</f>
        <v>SECRETARÍA DE SALUD</v>
      </c>
      <c r="AH169" s="95"/>
      <c r="AI169" s="95"/>
      <c r="AJ169" s="81"/>
    </row>
    <row r="170" spans="1:36" ht="47.25" x14ac:dyDescent="0.2">
      <c r="A170" s="76">
        <v>1</v>
      </c>
      <c r="B170" s="350" t="s">
        <v>1746</v>
      </c>
      <c r="C170" s="351" t="s">
        <v>626</v>
      </c>
      <c r="D170" s="350" t="s">
        <v>627</v>
      </c>
      <c r="E170" s="351" t="s">
        <v>635</v>
      </c>
      <c r="F170" s="350" t="s">
        <v>636</v>
      </c>
      <c r="G170" s="350"/>
      <c r="H170" s="352" t="s">
        <v>641</v>
      </c>
      <c r="I170" s="350" t="s">
        <v>641</v>
      </c>
      <c r="J170" s="351">
        <v>41</v>
      </c>
      <c r="K170" s="351">
        <v>50</v>
      </c>
      <c r="L170" s="350"/>
      <c r="M170" s="350" t="s">
        <v>642</v>
      </c>
      <c r="N170" s="350" t="s">
        <v>642</v>
      </c>
      <c r="O170" s="76">
        <v>13</v>
      </c>
      <c r="P170" s="76">
        <v>25</v>
      </c>
      <c r="Q170" s="485">
        <f>Fuente!AT174</f>
        <v>6</v>
      </c>
      <c r="R170" s="485">
        <f>Fuente!AU174</f>
        <v>0</v>
      </c>
      <c r="S170" s="485">
        <f>Fuente!AV174</f>
        <v>0</v>
      </c>
      <c r="T170" s="485">
        <f>Fuente!AW174</f>
        <v>0</v>
      </c>
      <c r="U170" s="467">
        <f>Fuente!AM174</f>
        <v>0.2</v>
      </c>
      <c r="V170" s="485">
        <f>Fuente!AY174</f>
        <v>5</v>
      </c>
      <c r="W170" s="485">
        <f>Fuente!AZ174</f>
        <v>1</v>
      </c>
      <c r="X170" s="485">
        <f>Fuente!BA174</f>
        <v>0</v>
      </c>
      <c r="Y170" s="485">
        <f>Fuente!BB174</f>
        <v>0</v>
      </c>
      <c r="Z170" s="485">
        <f>Fuente!BC174</f>
        <v>0</v>
      </c>
      <c r="AA170" s="467">
        <f>Fuente!BD174</f>
        <v>0.2</v>
      </c>
      <c r="AB170" s="480" t="s">
        <v>412</v>
      </c>
      <c r="AC170" s="477"/>
      <c r="AD170" s="477" t="s">
        <v>302</v>
      </c>
      <c r="AE170" s="477" t="s">
        <v>613</v>
      </c>
      <c r="AF170" s="482"/>
      <c r="AG170" s="480" t="str">
        <f>Fuente!AB169</f>
        <v>SECRETARÍA DE SALUD</v>
      </c>
      <c r="AH170" s="95"/>
      <c r="AI170" s="95"/>
      <c r="AJ170" s="81"/>
    </row>
    <row r="171" spans="1:36" ht="63" x14ac:dyDescent="0.2">
      <c r="A171" s="76">
        <v>1</v>
      </c>
      <c r="B171" s="350" t="s">
        <v>1746</v>
      </c>
      <c r="C171" s="351" t="s">
        <v>626</v>
      </c>
      <c r="D171" s="350" t="s">
        <v>627</v>
      </c>
      <c r="E171" s="351" t="s">
        <v>635</v>
      </c>
      <c r="F171" s="350" t="s">
        <v>636</v>
      </c>
      <c r="G171" s="350"/>
      <c r="H171" s="352" t="s">
        <v>643</v>
      </c>
      <c r="I171" s="350" t="s">
        <v>643</v>
      </c>
      <c r="J171" s="351">
        <v>24</v>
      </c>
      <c r="K171" s="351">
        <v>40</v>
      </c>
      <c r="L171" s="350"/>
      <c r="M171" s="350" t="s">
        <v>644</v>
      </c>
      <c r="N171" s="350" t="s">
        <v>644</v>
      </c>
      <c r="O171" s="76">
        <v>2</v>
      </c>
      <c r="P171" s="76">
        <v>5</v>
      </c>
      <c r="Q171" s="485">
        <f>Fuente!AT175</f>
        <v>0</v>
      </c>
      <c r="R171" s="485">
        <f>Fuente!AU175</f>
        <v>0</v>
      </c>
      <c r="S171" s="485">
        <f>Fuente!AV175</f>
        <v>0</v>
      </c>
      <c r="T171" s="485">
        <f>Fuente!AW175</f>
        <v>0</v>
      </c>
      <c r="U171" s="467">
        <f>Fuente!AM175</f>
        <v>0</v>
      </c>
      <c r="V171" s="485">
        <f>Fuente!AY175</f>
        <v>1</v>
      </c>
      <c r="W171" s="485">
        <f>Fuente!AZ175</f>
        <v>0</v>
      </c>
      <c r="X171" s="485">
        <f>Fuente!BA175</f>
        <v>0</v>
      </c>
      <c r="Y171" s="485">
        <f>Fuente!BB175</f>
        <v>0</v>
      </c>
      <c r="Z171" s="485">
        <f>Fuente!BC175</f>
        <v>0</v>
      </c>
      <c r="AA171" s="467">
        <f>Fuente!BD175</f>
        <v>0</v>
      </c>
      <c r="AB171" s="480" t="s">
        <v>412</v>
      </c>
      <c r="AC171" s="477"/>
      <c r="AD171" s="477" t="s">
        <v>302</v>
      </c>
      <c r="AE171" s="477" t="s">
        <v>625</v>
      </c>
      <c r="AF171" s="482"/>
      <c r="AG171" s="480" t="str">
        <f>Fuente!AB170</f>
        <v>SECRETARÍA DE SALUD</v>
      </c>
      <c r="AH171" s="94"/>
      <c r="AI171" s="94"/>
      <c r="AJ171" s="81"/>
    </row>
    <row r="172" spans="1:36" ht="63" x14ac:dyDescent="0.2">
      <c r="A172" s="76">
        <v>1</v>
      </c>
      <c r="B172" s="350" t="s">
        <v>1746</v>
      </c>
      <c r="C172" s="351" t="s">
        <v>626</v>
      </c>
      <c r="D172" s="350" t="s">
        <v>627</v>
      </c>
      <c r="E172" s="351" t="s">
        <v>635</v>
      </c>
      <c r="F172" s="350" t="s">
        <v>636</v>
      </c>
      <c r="G172" s="350"/>
      <c r="H172" s="352" t="s">
        <v>645</v>
      </c>
      <c r="I172" s="350" t="s">
        <v>645</v>
      </c>
      <c r="J172" s="351">
        <v>75</v>
      </c>
      <c r="K172" s="351">
        <v>85</v>
      </c>
      <c r="L172" s="350"/>
      <c r="M172" s="350" t="s">
        <v>646</v>
      </c>
      <c r="N172" s="350" t="s">
        <v>646</v>
      </c>
      <c r="O172" s="76">
        <v>2</v>
      </c>
      <c r="P172" s="76">
        <v>1</v>
      </c>
      <c r="Q172" s="485">
        <f>Fuente!AT176</f>
        <v>0</v>
      </c>
      <c r="R172" s="485">
        <f>Fuente!AU176</f>
        <v>0</v>
      </c>
      <c r="S172" s="485">
        <f>Fuente!AV176</f>
        <v>0</v>
      </c>
      <c r="T172" s="485">
        <f>Fuente!AW176</f>
        <v>0</v>
      </c>
      <c r="U172" s="467">
        <f>Fuente!AM176</f>
        <v>0</v>
      </c>
      <c r="V172" s="485" t="str">
        <f>Fuente!AY176</f>
        <v>NP</v>
      </c>
      <c r="W172" s="485">
        <f>Fuente!AZ176</f>
        <v>0</v>
      </c>
      <c r="X172" s="485">
        <f>Fuente!BA176</f>
        <v>0</v>
      </c>
      <c r="Y172" s="485">
        <f>Fuente!BB176</f>
        <v>0</v>
      </c>
      <c r="Z172" s="485">
        <f>Fuente!BC176</f>
        <v>0</v>
      </c>
      <c r="AA172" s="467" t="str">
        <f>Fuente!BD176</f>
        <v>NP</v>
      </c>
      <c r="AB172" s="480" t="s">
        <v>633</v>
      </c>
      <c r="AC172" s="477"/>
      <c r="AD172" s="477" t="s">
        <v>81</v>
      </c>
      <c r="AE172" s="477">
        <v>40</v>
      </c>
      <c r="AF172" s="494" t="s">
        <v>82</v>
      </c>
      <c r="AG172" s="480" t="str">
        <f>Fuente!AB171</f>
        <v>SECRETARÍA DE HÁBITAT</v>
      </c>
      <c r="AH172" s="81"/>
      <c r="AI172" s="81"/>
      <c r="AJ172" s="81"/>
    </row>
    <row r="173" spans="1:36" ht="78.75" x14ac:dyDescent="0.2">
      <c r="A173" s="76">
        <v>1</v>
      </c>
      <c r="B173" s="350" t="s">
        <v>1746</v>
      </c>
      <c r="C173" s="351" t="s">
        <v>626</v>
      </c>
      <c r="D173" s="350" t="s">
        <v>627</v>
      </c>
      <c r="E173" s="351" t="s">
        <v>635</v>
      </c>
      <c r="F173" s="350" t="s">
        <v>636</v>
      </c>
      <c r="G173" s="350"/>
      <c r="H173" s="352" t="s">
        <v>647</v>
      </c>
      <c r="I173" s="350" t="s">
        <v>647</v>
      </c>
      <c r="J173" s="351">
        <v>41</v>
      </c>
      <c r="K173" s="351">
        <v>45</v>
      </c>
      <c r="L173" s="350"/>
      <c r="M173" s="350" t="s">
        <v>648</v>
      </c>
      <c r="N173" s="350" t="s">
        <v>648</v>
      </c>
      <c r="O173" s="76">
        <v>41</v>
      </c>
      <c r="P173" s="76">
        <v>45</v>
      </c>
      <c r="Q173" s="485">
        <f>Fuente!AT177</f>
        <v>19</v>
      </c>
      <c r="R173" s="485">
        <f>Fuente!AU177</f>
        <v>0</v>
      </c>
      <c r="S173" s="485">
        <f>Fuente!AV177</f>
        <v>0</v>
      </c>
      <c r="T173" s="485">
        <f>Fuente!AW177</f>
        <v>0</v>
      </c>
      <c r="U173" s="467">
        <f>Fuente!AM177</f>
        <v>0.26666666666666666</v>
      </c>
      <c r="V173" s="485">
        <f>Fuente!AY177</f>
        <v>15</v>
      </c>
      <c r="W173" s="485">
        <f>Fuente!AZ177</f>
        <v>7</v>
      </c>
      <c r="X173" s="485">
        <f>Fuente!BA177</f>
        <v>0</v>
      </c>
      <c r="Y173" s="485">
        <f>Fuente!BB177</f>
        <v>0</v>
      </c>
      <c r="Z173" s="485">
        <f>Fuente!BC177</f>
        <v>0</v>
      </c>
      <c r="AA173" s="467">
        <f>Fuente!BD177</f>
        <v>0.46666666666666667</v>
      </c>
      <c r="AB173" s="480" t="s">
        <v>49</v>
      </c>
      <c r="AC173" s="477"/>
      <c r="AD173" s="477" t="s">
        <v>81</v>
      </c>
      <c r="AE173" s="477">
        <v>40</v>
      </c>
      <c r="AF173" s="494" t="s">
        <v>82</v>
      </c>
      <c r="AG173" s="480" t="str">
        <f>Fuente!AB172</f>
        <v>SECRETARÍA DE HÁBITAT</v>
      </c>
      <c r="AH173" s="81"/>
      <c r="AI173" s="81"/>
      <c r="AJ173" s="81"/>
    </row>
    <row r="174" spans="1:36" ht="94.5" x14ac:dyDescent="0.2">
      <c r="A174" s="76">
        <v>1</v>
      </c>
      <c r="B174" s="350" t="s">
        <v>1746</v>
      </c>
      <c r="C174" s="351" t="s">
        <v>626</v>
      </c>
      <c r="D174" s="350" t="s">
        <v>627</v>
      </c>
      <c r="E174" s="351" t="s">
        <v>635</v>
      </c>
      <c r="F174" s="350" t="s">
        <v>636</v>
      </c>
      <c r="G174" s="350"/>
      <c r="H174" s="351" t="s">
        <v>649</v>
      </c>
      <c r="I174" s="350" t="s">
        <v>649</v>
      </c>
      <c r="J174" s="351">
        <v>15</v>
      </c>
      <c r="K174" s="351">
        <v>18</v>
      </c>
      <c r="L174" s="350"/>
      <c r="M174" s="350" t="s">
        <v>650</v>
      </c>
      <c r="N174" s="350" t="s">
        <v>650</v>
      </c>
      <c r="O174" s="76">
        <v>19</v>
      </c>
      <c r="P174" s="76">
        <v>45</v>
      </c>
      <c r="Q174" s="485">
        <f>Fuente!AT178</f>
        <v>19</v>
      </c>
      <c r="R174" s="485">
        <f>Fuente!AU178</f>
        <v>0</v>
      </c>
      <c r="S174" s="485">
        <f>Fuente!AV178</f>
        <v>0</v>
      </c>
      <c r="T174" s="485">
        <f>Fuente!AW178</f>
        <v>0</v>
      </c>
      <c r="U174" s="467">
        <f>Fuente!AM178</f>
        <v>0.26666666666666666</v>
      </c>
      <c r="V174" s="485">
        <f>Fuente!AY178</f>
        <v>15</v>
      </c>
      <c r="W174" s="485">
        <f>Fuente!AZ178</f>
        <v>7</v>
      </c>
      <c r="X174" s="485">
        <f>Fuente!BA178</f>
        <v>0</v>
      </c>
      <c r="Y174" s="485">
        <f>Fuente!BB178</f>
        <v>0</v>
      </c>
      <c r="Z174" s="485">
        <f>Fuente!BC178</f>
        <v>0</v>
      </c>
      <c r="AA174" s="467">
        <f>Fuente!BD178</f>
        <v>0.46666666666666667</v>
      </c>
      <c r="AB174" s="480" t="s">
        <v>412</v>
      </c>
      <c r="AC174" s="477"/>
      <c r="AD174" s="480" t="s">
        <v>639</v>
      </c>
      <c r="AE174" s="480" t="s">
        <v>640</v>
      </c>
      <c r="AF174" s="482"/>
      <c r="AG174" s="480" t="str">
        <f>Fuente!AB173</f>
        <v>AGUAS DE BOLÍVAR</v>
      </c>
      <c r="AH174" s="81"/>
      <c r="AI174" s="81"/>
      <c r="AJ174" s="81"/>
    </row>
    <row r="175" spans="1:36" ht="47.25" x14ac:dyDescent="0.2">
      <c r="A175" s="76">
        <v>1</v>
      </c>
      <c r="B175" s="350" t="s">
        <v>1746</v>
      </c>
      <c r="C175" s="351" t="s">
        <v>651</v>
      </c>
      <c r="D175" s="350" t="s">
        <v>652</v>
      </c>
      <c r="E175" s="351" t="s">
        <v>653</v>
      </c>
      <c r="F175" s="350" t="s">
        <v>654</v>
      </c>
      <c r="G175" s="352"/>
      <c r="H175" s="352" t="s">
        <v>655</v>
      </c>
      <c r="I175" s="350" t="s">
        <v>656</v>
      </c>
      <c r="J175" s="484">
        <v>0.45</v>
      </c>
      <c r="K175" s="484">
        <v>0.55000000000000004</v>
      </c>
      <c r="L175" s="486"/>
      <c r="M175" s="350" t="s">
        <v>657</v>
      </c>
      <c r="N175" s="350" t="s">
        <v>658</v>
      </c>
      <c r="O175" s="76">
        <v>11</v>
      </c>
      <c r="P175" s="76">
        <v>5</v>
      </c>
      <c r="Q175" s="485">
        <f>Fuente!AT179</f>
        <v>0</v>
      </c>
      <c r="R175" s="485">
        <f>Fuente!AU179</f>
        <v>0</v>
      </c>
      <c r="S175" s="485">
        <f>Fuente!AV179</f>
        <v>0</v>
      </c>
      <c r="T175" s="485">
        <f>Fuente!AW179</f>
        <v>0</v>
      </c>
      <c r="U175" s="467">
        <f>Fuente!AM179</f>
        <v>0</v>
      </c>
      <c r="V175" s="485" t="str">
        <f>Fuente!AY179</f>
        <v>NP</v>
      </c>
      <c r="W175" s="485">
        <f>Fuente!AZ179</f>
        <v>0</v>
      </c>
      <c r="X175" s="485">
        <f>Fuente!BA179</f>
        <v>0</v>
      </c>
      <c r="Y175" s="485">
        <f>Fuente!BB179</f>
        <v>0</v>
      </c>
      <c r="Z175" s="485">
        <f>Fuente!BC179</f>
        <v>0</v>
      </c>
      <c r="AA175" s="467" t="str">
        <f>Fuente!BD179</f>
        <v>NP</v>
      </c>
      <c r="AB175" s="480" t="s">
        <v>412</v>
      </c>
      <c r="AC175" s="477"/>
      <c r="AD175" s="480" t="s">
        <v>639</v>
      </c>
      <c r="AE175" s="480" t="s">
        <v>640</v>
      </c>
      <c r="AF175" s="482"/>
      <c r="AG175" s="480" t="str">
        <f>Fuente!AB174</f>
        <v>AGUAS DE BOLÍVAR</v>
      </c>
      <c r="AH175" s="81"/>
      <c r="AI175" s="81"/>
      <c r="AJ175" s="81"/>
    </row>
    <row r="176" spans="1:36" ht="47.25" x14ac:dyDescent="0.2">
      <c r="A176" s="76">
        <v>1</v>
      </c>
      <c r="B176" s="350" t="s">
        <v>1746</v>
      </c>
      <c r="C176" s="351" t="s">
        <v>651</v>
      </c>
      <c r="D176" s="350" t="s">
        <v>652</v>
      </c>
      <c r="E176" s="351" t="s">
        <v>653</v>
      </c>
      <c r="F176" s="350" t="s">
        <v>654</v>
      </c>
      <c r="G176" s="352"/>
      <c r="H176" s="352" t="s">
        <v>655</v>
      </c>
      <c r="I176" s="350" t="s">
        <v>656</v>
      </c>
      <c r="J176" s="484">
        <v>0.45</v>
      </c>
      <c r="K176" s="484">
        <v>0.55000000000000004</v>
      </c>
      <c r="L176" s="486"/>
      <c r="M176" s="350" t="s">
        <v>661</v>
      </c>
      <c r="N176" s="350" t="s">
        <v>662</v>
      </c>
      <c r="O176" s="76">
        <v>12</v>
      </c>
      <c r="P176" s="76">
        <v>20</v>
      </c>
      <c r="Q176" s="485">
        <f>Fuente!AT180</f>
        <v>1</v>
      </c>
      <c r="R176" s="485">
        <f>Fuente!AU180</f>
        <v>0</v>
      </c>
      <c r="S176" s="485">
        <f>Fuente!AV180</f>
        <v>0</v>
      </c>
      <c r="T176" s="485">
        <f>Fuente!AW180</f>
        <v>0</v>
      </c>
      <c r="U176" s="467">
        <f>Fuente!AM180</f>
        <v>0.05</v>
      </c>
      <c r="V176" s="485" t="str">
        <f>Fuente!AY180</f>
        <v>NP</v>
      </c>
      <c r="W176" s="485">
        <f>Fuente!AZ180</f>
        <v>0</v>
      </c>
      <c r="X176" s="485">
        <f>Fuente!BA180</f>
        <v>0</v>
      </c>
      <c r="Y176" s="485">
        <f>Fuente!BB180</f>
        <v>0</v>
      </c>
      <c r="Z176" s="485">
        <f>Fuente!BC180</f>
        <v>0</v>
      </c>
      <c r="AA176" s="467" t="str">
        <f>Fuente!BD180</f>
        <v>NP</v>
      </c>
      <c r="AB176" s="480" t="s">
        <v>412</v>
      </c>
      <c r="AC176" s="477"/>
      <c r="AD176" s="480" t="s">
        <v>639</v>
      </c>
      <c r="AE176" s="480" t="s">
        <v>640</v>
      </c>
      <c r="AF176" s="482"/>
      <c r="AG176" s="480" t="str">
        <f>Fuente!AB175</f>
        <v>AGUAS DE BOLÍVAR</v>
      </c>
      <c r="AH176" s="81"/>
      <c r="AI176" s="81"/>
      <c r="AJ176" s="81"/>
    </row>
    <row r="177" spans="1:36" ht="47.25" x14ac:dyDescent="0.2">
      <c r="A177" s="76">
        <v>1</v>
      </c>
      <c r="B177" s="350" t="s">
        <v>1746</v>
      </c>
      <c r="C177" s="351" t="s">
        <v>651</v>
      </c>
      <c r="D177" s="350" t="s">
        <v>652</v>
      </c>
      <c r="E177" s="351" t="s">
        <v>653</v>
      </c>
      <c r="F177" s="350" t="s">
        <v>654</v>
      </c>
      <c r="G177" s="352"/>
      <c r="H177" s="352" t="s">
        <v>655</v>
      </c>
      <c r="I177" s="350" t="s">
        <v>656</v>
      </c>
      <c r="J177" s="484">
        <v>0.45</v>
      </c>
      <c r="K177" s="484">
        <v>0.55000000000000004</v>
      </c>
      <c r="L177" s="486"/>
      <c r="M177" s="350" t="s">
        <v>664</v>
      </c>
      <c r="N177" s="350" t="s">
        <v>665</v>
      </c>
      <c r="O177" s="76">
        <v>0</v>
      </c>
      <c r="P177" s="76">
        <v>5</v>
      </c>
      <c r="Q177" s="485">
        <f>Fuente!AT181</f>
        <v>0</v>
      </c>
      <c r="R177" s="485">
        <f>Fuente!AU181</f>
        <v>0</v>
      </c>
      <c r="S177" s="485">
        <f>Fuente!AV181</f>
        <v>0</v>
      </c>
      <c r="T177" s="485">
        <f>Fuente!AW181</f>
        <v>0</v>
      </c>
      <c r="U177" s="467">
        <f>Fuente!AM181</f>
        <v>0</v>
      </c>
      <c r="V177" s="485">
        <f>Fuente!AY181</f>
        <v>1</v>
      </c>
      <c r="W177" s="485">
        <f>Fuente!AZ181</f>
        <v>0</v>
      </c>
      <c r="X177" s="485">
        <f>Fuente!BA181</f>
        <v>0</v>
      </c>
      <c r="Y177" s="485">
        <f>Fuente!BB181</f>
        <v>0</v>
      </c>
      <c r="Z177" s="485">
        <f>Fuente!BC181</f>
        <v>0</v>
      </c>
      <c r="AA177" s="467">
        <f>Fuente!BD181</f>
        <v>0</v>
      </c>
      <c r="AB177" s="480" t="s">
        <v>412</v>
      </c>
      <c r="AC177" s="477"/>
      <c r="AD177" s="480" t="s">
        <v>639</v>
      </c>
      <c r="AE177" s="480" t="s">
        <v>640</v>
      </c>
      <c r="AF177" s="482"/>
      <c r="AG177" s="480" t="str">
        <f>Fuente!AB176</f>
        <v>AGUAS DE BOLÍVAR</v>
      </c>
      <c r="AH177" s="81"/>
      <c r="AI177" s="81"/>
      <c r="AJ177" s="81"/>
    </row>
    <row r="178" spans="1:36" ht="47.25" x14ac:dyDescent="0.2">
      <c r="A178" s="76">
        <v>1</v>
      </c>
      <c r="B178" s="350" t="s">
        <v>1746</v>
      </c>
      <c r="C178" s="351" t="s">
        <v>651</v>
      </c>
      <c r="D178" s="350" t="s">
        <v>652</v>
      </c>
      <c r="E178" s="351" t="s">
        <v>653</v>
      </c>
      <c r="F178" s="350" t="s">
        <v>654</v>
      </c>
      <c r="G178" s="352"/>
      <c r="H178" s="352" t="s">
        <v>655</v>
      </c>
      <c r="I178" s="350" t="s">
        <v>656</v>
      </c>
      <c r="J178" s="484">
        <v>0.45</v>
      </c>
      <c r="K178" s="484">
        <v>0.55000000000000004</v>
      </c>
      <c r="L178" s="486"/>
      <c r="M178" s="350" t="s">
        <v>666</v>
      </c>
      <c r="N178" s="350" t="s">
        <v>667</v>
      </c>
      <c r="O178" s="76">
        <v>0</v>
      </c>
      <c r="P178" s="76">
        <v>10</v>
      </c>
      <c r="Q178" s="485">
        <f>Fuente!AT182</f>
        <v>0</v>
      </c>
      <c r="R178" s="485">
        <f>Fuente!AU182</f>
        <v>0</v>
      </c>
      <c r="S178" s="485">
        <f>Fuente!AV182</f>
        <v>0</v>
      </c>
      <c r="T178" s="485">
        <f>Fuente!AW182</f>
        <v>0</v>
      </c>
      <c r="U178" s="467">
        <f>Fuente!AM182</f>
        <v>0</v>
      </c>
      <c r="V178" s="485" t="str">
        <f>Fuente!AY182</f>
        <v>NP</v>
      </c>
      <c r="W178" s="485">
        <f>Fuente!AZ182</f>
        <v>0</v>
      </c>
      <c r="X178" s="485">
        <f>Fuente!BA182</f>
        <v>0</v>
      </c>
      <c r="Y178" s="485">
        <f>Fuente!BB182</f>
        <v>0</v>
      </c>
      <c r="Z178" s="485">
        <f>Fuente!BC182</f>
        <v>0</v>
      </c>
      <c r="AA178" s="467" t="str">
        <f>Fuente!BD182</f>
        <v>NP</v>
      </c>
      <c r="AB178" s="480" t="s">
        <v>412</v>
      </c>
      <c r="AC178" s="477"/>
      <c r="AD178" s="480" t="s">
        <v>639</v>
      </c>
      <c r="AE178" s="480" t="s">
        <v>640</v>
      </c>
      <c r="AF178" s="482"/>
      <c r="AG178" s="480" t="str">
        <f>Fuente!AB177</f>
        <v>AGUAS DE BOLÍVAR</v>
      </c>
      <c r="AH178" s="81"/>
      <c r="AI178" s="81"/>
      <c r="AJ178" s="81"/>
    </row>
    <row r="179" spans="1:36" ht="47.25" x14ac:dyDescent="0.2">
      <c r="A179" s="76">
        <v>1</v>
      </c>
      <c r="B179" s="350" t="s">
        <v>1746</v>
      </c>
      <c r="C179" s="351" t="s">
        <v>651</v>
      </c>
      <c r="D179" s="350" t="s">
        <v>652</v>
      </c>
      <c r="E179" s="351" t="s">
        <v>668</v>
      </c>
      <c r="F179" s="350" t="s">
        <v>669</v>
      </c>
      <c r="G179" s="352"/>
      <c r="H179" s="352" t="s">
        <v>670</v>
      </c>
      <c r="I179" s="350" t="s">
        <v>670</v>
      </c>
      <c r="J179" s="76">
        <v>4</v>
      </c>
      <c r="K179" s="76">
        <v>4</v>
      </c>
      <c r="L179" s="76"/>
      <c r="M179" s="350" t="s">
        <v>671</v>
      </c>
      <c r="N179" s="350" t="s">
        <v>672</v>
      </c>
      <c r="O179" s="76">
        <v>204</v>
      </c>
      <c r="P179" s="76">
        <v>250</v>
      </c>
      <c r="Q179" s="485">
        <f>Fuente!AT183</f>
        <v>413</v>
      </c>
      <c r="R179" s="485">
        <f>Fuente!AU183</f>
        <v>0</v>
      </c>
      <c r="S179" s="485">
        <f>Fuente!AV183</f>
        <v>0</v>
      </c>
      <c r="T179" s="485">
        <f>Fuente!AW183</f>
        <v>0</v>
      </c>
      <c r="U179" s="467">
        <f>Fuente!AM183</f>
        <v>0.876</v>
      </c>
      <c r="V179" s="485">
        <f>Fuente!AY183</f>
        <v>219</v>
      </c>
      <c r="W179" s="485">
        <f>Fuente!AZ183</f>
        <v>194</v>
      </c>
      <c r="X179" s="485">
        <f>Fuente!BA183</f>
        <v>0</v>
      </c>
      <c r="Y179" s="485">
        <f>Fuente!BB183</f>
        <v>0</v>
      </c>
      <c r="Z179" s="485">
        <f>Fuente!BC183</f>
        <v>0</v>
      </c>
      <c r="AA179" s="467">
        <f>Fuente!BD183</f>
        <v>0.88584474885844744</v>
      </c>
      <c r="AB179" s="480" t="s">
        <v>412</v>
      </c>
      <c r="AC179" s="477"/>
      <c r="AD179" s="480" t="s">
        <v>639</v>
      </c>
      <c r="AE179" s="480" t="s">
        <v>640</v>
      </c>
      <c r="AF179" s="482"/>
      <c r="AG179" s="480" t="str">
        <f>Fuente!AB178</f>
        <v>AGUAS DE BOLÍVAR</v>
      </c>
      <c r="AH179" s="81"/>
      <c r="AI179" s="81"/>
      <c r="AJ179" s="81"/>
    </row>
    <row r="180" spans="1:36" ht="47.25" x14ac:dyDescent="0.2">
      <c r="A180" s="76">
        <v>1</v>
      </c>
      <c r="B180" s="350" t="s">
        <v>1746</v>
      </c>
      <c r="C180" s="351" t="s">
        <v>651</v>
      </c>
      <c r="D180" s="350" t="s">
        <v>652</v>
      </c>
      <c r="E180" s="351" t="s">
        <v>668</v>
      </c>
      <c r="F180" s="350" t="s">
        <v>669</v>
      </c>
      <c r="G180" s="352"/>
      <c r="H180" s="352" t="s">
        <v>670</v>
      </c>
      <c r="I180" s="350" t="s">
        <v>670</v>
      </c>
      <c r="J180" s="76">
        <v>4</v>
      </c>
      <c r="K180" s="76">
        <v>4</v>
      </c>
      <c r="L180" s="76"/>
      <c r="M180" s="350" t="s">
        <v>673</v>
      </c>
      <c r="N180" s="350" t="s">
        <v>674</v>
      </c>
      <c r="O180" s="76">
        <v>84</v>
      </c>
      <c r="P180" s="76">
        <v>56</v>
      </c>
      <c r="Q180" s="485">
        <f>Fuente!AT184</f>
        <v>0</v>
      </c>
      <c r="R180" s="485">
        <f>Fuente!AU184</f>
        <v>0</v>
      </c>
      <c r="S180" s="485">
        <f>Fuente!AV184</f>
        <v>0</v>
      </c>
      <c r="T180" s="485">
        <f>Fuente!AW184</f>
        <v>0</v>
      </c>
      <c r="U180" s="467">
        <f>Fuente!AM184</f>
        <v>0</v>
      </c>
      <c r="V180" s="485">
        <f>Fuente!AY184</f>
        <v>19</v>
      </c>
      <c r="W180" s="485">
        <f>Fuente!AZ184</f>
        <v>0</v>
      </c>
      <c r="X180" s="485">
        <f>Fuente!BA184</f>
        <v>0</v>
      </c>
      <c r="Y180" s="485">
        <f>Fuente!BB184</f>
        <v>0</v>
      </c>
      <c r="Z180" s="485">
        <f>Fuente!BC184</f>
        <v>0</v>
      </c>
      <c r="AA180" s="467">
        <f>Fuente!BD184</f>
        <v>0</v>
      </c>
      <c r="AB180" s="477" t="s">
        <v>412</v>
      </c>
      <c r="AC180" s="480"/>
      <c r="AD180" s="480" t="s">
        <v>659</v>
      </c>
      <c r="AE180" s="477" t="s">
        <v>613</v>
      </c>
      <c r="AF180" s="494" t="s">
        <v>660</v>
      </c>
      <c r="AG180" s="480" t="str">
        <f>Fuente!AB179</f>
        <v>IDERBOL/SESCRETARÍA DE INFRAESTRUCTURA</v>
      </c>
      <c r="AH180" s="81"/>
      <c r="AI180" s="81"/>
      <c r="AJ180" s="81"/>
    </row>
    <row r="181" spans="1:36" ht="47.25" x14ac:dyDescent="0.2">
      <c r="A181" s="76">
        <v>1</v>
      </c>
      <c r="B181" s="350" t="s">
        <v>1746</v>
      </c>
      <c r="C181" s="351" t="s">
        <v>651</v>
      </c>
      <c r="D181" s="350" t="s">
        <v>652</v>
      </c>
      <c r="E181" s="351" t="s">
        <v>668</v>
      </c>
      <c r="F181" s="350" t="s">
        <v>669</v>
      </c>
      <c r="G181" s="352"/>
      <c r="H181" s="352" t="s">
        <v>670</v>
      </c>
      <c r="I181" s="350" t="s">
        <v>670</v>
      </c>
      <c r="J181" s="76">
        <v>4</v>
      </c>
      <c r="K181" s="76">
        <v>4</v>
      </c>
      <c r="L181" s="76"/>
      <c r="M181" s="350" t="s">
        <v>675</v>
      </c>
      <c r="N181" s="350" t="s">
        <v>676</v>
      </c>
      <c r="O181" s="76">
        <v>57</v>
      </c>
      <c r="P181" s="76">
        <v>60</v>
      </c>
      <c r="Q181" s="485">
        <f>Fuente!AT185</f>
        <v>0</v>
      </c>
      <c r="R181" s="485">
        <f>Fuente!AU185</f>
        <v>0</v>
      </c>
      <c r="S181" s="485">
        <f>Fuente!AV185</f>
        <v>0</v>
      </c>
      <c r="T181" s="485">
        <f>Fuente!AW185</f>
        <v>0</v>
      </c>
      <c r="U181" s="467">
        <f>Fuente!AM185</f>
        <v>0</v>
      </c>
      <c r="V181" s="485" t="str">
        <f>Fuente!AY185</f>
        <v>NP</v>
      </c>
      <c r="W181" s="485">
        <f>Fuente!AZ185</f>
        <v>0</v>
      </c>
      <c r="X181" s="485">
        <f>Fuente!BA185</f>
        <v>0</v>
      </c>
      <c r="Y181" s="485">
        <f>Fuente!BB185</f>
        <v>0</v>
      </c>
      <c r="Z181" s="485">
        <f>Fuente!BC185</f>
        <v>0</v>
      </c>
      <c r="AA181" s="467" t="str">
        <f>Fuente!BD185</f>
        <v>NP</v>
      </c>
      <c r="AB181" s="477" t="s">
        <v>412</v>
      </c>
      <c r="AC181" s="480" t="s">
        <v>663</v>
      </c>
      <c r="AD181" s="480" t="s">
        <v>659</v>
      </c>
      <c r="AE181" s="477" t="s">
        <v>613</v>
      </c>
      <c r="AF181" s="494" t="s">
        <v>660</v>
      </c>
      <c r="AG181" s="480" t="str">
        <f>Fuente!AB180</f>
        <v>IDERBOL/SESCRETARÍA DE INFRAESTRUCTURA</v>
      </c>
      <c r="AH181" s="81"/>
      <c r="AI181" s="81"/>
      <c r="AJ181" s="81"/>
    </row>
    <row r="182" spans="1:36" ht="47.25" x14ac:dyDescent="0.2">
      <c r="A182" s="76">
        <v>1</v>
      </c>
      <c r="B182" s="350" t="s">
        <v>1746</v>
      </c>
      <c r="C182" s="351" t="s">
        <v>651</v>
      </c>
      <c r="D182" s="350" t="s">
        <v>652</v>
      </c>
      <c r="E182" s="351" t="s">
        <v>668</v>
      </c>
      <c r="F182" s="350" t="s">
        <v>669</v>
      </c>
      <c r="G182" s="352"/>
      <c r="H182" s="352" t="s">
        <v>670</v>
      </c>
      <c r="I182" s="350" t="s">
        <v>670</v>
      </c>
      <c r="J182" s="76">
        <v>4</v>
      </c>
      <c r="K182" s="76">
        <v>4</v>
      </c>
      <c r="L182" s="76"/>
      <c r="M182" s="350" t="s">
        <v>677</v>
      </c>
      <c r="N182" s="350" t="s">
        <v>678</v>
      </c>
      <c r="O182" s="76">
        <v>2</v>
      </c>
      <c r="P182" s="76">
        <v>5</v>
      </c>
      <c r="Q182" s="485">
        <f>Fuente!AT186</f>
        <v>5</v>
      </c>
      <c r="R182" s="485">
        <f>Fuente!AU186</f>
        <v>0</v>
      </c>
      <c r="S182" s="485">
        <f>Fuente!AV186</f>
        <v>0</v>
      </c>
      <c r="T182" s="485">
        <f>Fuente!AW186</f>
        <v>0</v>
      </c>
      <c r="U182" s="467">
        <f>Fuente!AM186</f>
        <v>1</v>
      </c>
      <c r="V182" s="485">
        <f>Fuente!AY186</f>
        <v>5</v>
      </c>
      <c r="W182" s="485">
        <f>Fuente!AZ186</f>
        <v>0</v>
      </c>
      <c r="X182" s="485">
        <f>Fuente!BA186</f>
        <v>0</v>
      </c>
      <c r="Y182" s="485">
        <f>Fuente!BB186</f>
        <v>0</v>
      </c>
      <c r="Z182" s="485">
        <f>Fuente!BC186</f>
        <v>0</v>
      </c>
      <c r="AA182" s="467">
        <f>Fuente!BD186</f>
        <v>0</v>
      </c>
      <c r="AB182" s="477" t="s">
        <v>412</v>
      </c>
      <c r="AC182" s="480"/>
      <c r="AD182" s="480" t="s">
        <v>659</v>
      </c>
      <c r="AE182" s="477" t="s">
        <v>613</v>
      </c>
      <c r="AF182" s="494" t="s">
        <v>660</v>
      </c>
      <c r="AG182" s="480" t="str">
        <f>Fuente!AB181</f>
        <v>IDERBOL/SESCRETARÍA DE INFRAESTRUCTURA</v>
      </c>
      <c r="AH182" s="81"/>
      <c r="AI182" s="81"/>
      <c r="AJ182" s="81"/>
    </row>
    <row r="183" spans="1:36" ht="47.25" x14ac:dyDescent="0.2">
      <c r="A183" s="76">
        <v>1</v>
      </c>
      <c r="B183" s="350" t="s">
        <v>1746</v>
      </c>
      <c r="C183" s="351" t="s">
        <v>651</v>
      </c>
      <c r="D183" s="350" t="s">
        <v>652</v>
      </c>
      <c r="E183" s="351" t="s">
        <v>668</v>
      </c>
      <c r="F183" s="350" t="s">
        <v>669</v>
      </c>
      <c r="G183" s="352"/>
      <c r="H183" s="352" t="s">
        <v>670</v>
      </c>
      <c r="I183" s="350" t="s">
        <v>670</v>
      </c>
      <c r="J183" s="76">
        <v>4</v>
      </c>
      <c r="K183" s="76">
        <v>4</v>
      </c>
      <c r="L183" s="353"/>
      <c r="M183" s="350" t="s">
        <v>680</v>
      </c>
      <c r="N183" s="350" t="s">
        <v>681</v>
      </c>
      <c r="O183" s="76">
        <v>79</v>
      </c>
      <c r="P183" s="76">
        <v>68</v>
      </c>
      <c r="Q183" s="485">
        <f>Fuente!AT187</f>
        <v>5</v>
      </c>
      <c r="R183" s="485">
        <f>Fuente!AU187</f>
        <v>0</v>
      </c>
      <c r="S183" s="485">
        <f>Fuente!AV187</f>
        <v>0</v>
      </c>
      <c r="T183" s="485">
        <f>Fuente!AW187</f>
        <v>0</v>
      </c>
      <c r="U183" s="467">
        <f>Fuente!AM187</f>
        <v>7.3529411764705885E-2</v>
      </c>
      <c r="V183" s="485">
        <f>Fuente!AY187</f>
        <v>22</v>
      </c>
      <c r="W183" s="485">
        <f>Fuente!AZ187</f>
        <v>0</v>
      </c>
      <c r="X183" s="485">
        <f>Fuente!BA187</f>
        <v>0</v>
      </c>
      <c r="Y183" s="485">
        <f>Fuente!BB187</f>
        <v>0</v>
      </c>
      <c r="Z183" s="485">
        <f>Fuente!BC187</f>
        <v>0</v>
      </c>
      <c r="AA183" s="467">
        <f>Fuente!BD187</f>
        <v>0</v>
      </c>
      <c r="AB183" s="477" t="s">
        <v>412</v>
      </c>
      <c r="AC183" s="480"/>
      <c r="AD183" s="480" t="s">
        <v>659</v>
      </c>
      <c r="AE183" s="477" t="s">
        <v>613</v>
      </c>
      <c r="AF183" s="494" t="s">
        <v>660</v>
      </c>
      <c r="AG183" s="480" t="str">
        <f>Fuente!AB182</f>
        <v>IDERBOL/SESCRETARÍA DE INFRAESTRUCTURA</v>
      </c>
      <c r="AH183" s="81"/>
      <c r="AI183" s="81"/>
      <c r="AJ183" s="81"/>
    </row>
    <row r="184" spans="1:36" ht="47.25" x14ac:dyDescent="0.2">
      <c r="A184" s="76">
        <v>1</v>
      </c>
      <c r="B184" s="350" t="s">
        <v>1746</v>
      </c>
      <c r="C184" s="351" t="s">
        <v>651</v>
      </c>
      <c r="D184" s="350" t="s">
        <v>652</v>
      </c>
      <c r="E184" s="351" t="s">
        <v>668</v>
      </c>
      <c r="F184" s="350" t="s">
        <v>669</v>
      </c>
      <c r="G184" s="352"/>
      <c r="H184" s="352" t="s">
        <v>670</v>
      </c>
      <c r="I184" s="350" t="s">
        <v>670</v>
      </c>
      <c r="J184" s="76">
        <v>4</v>
      </c>
      <c r="K184" s="76">
        <v>4</v>
      </c>
      <c r="L184" s="353"/>
      <c r="M184" s="350" t="s">
        <v>683</v>
      </c>
      <c r="N184" s="350" t="s">
        <v>684</v>
      </c>
      <c r="O184" s="76">
        <v>322</v>
      </c>
      <c r="P184" s="76">
        <v>480</v>
      </c>
      <c r="Q184" s="485">
        <f>Fuente!AT188</f>
        <v>505</v>
      </c>
      <c r="R184" s="485">
        <f>Fuente!AU188</f>
        <v>0</v>
      </c>
      <c r="S184" s="485">
        <f>Fuente!AV188</f>
        <v>0</v>
      </c>
      <c r="T184" s="485">
        <f>Fuente!AW188</f>
        <v>0</v>
      </c>
      <c r="U184" s="467">
        <f>Fuente!AM188</f>
        <v>1</v>
      </c>
      <c r="V184" s="485">
        <f>Fuente!AY188</f>
        <v>505</v>
      </c>
      <c r="W184" s="485">
        <f>Fuente!AZ188</f>
        <v>0</v>
      </c>
      <c r="X184" s="485">
        <f>Fuente!BA188</f>
        <v>0</v>
      </c>
      <c r="Y184" s="485">
        <f>Fuente!BB188</f>
        <v>0</v>
      </c>
      <c r="Z184" s="485">
        <f>Fuente!BC188</f>
        <v>0</v>
      </c>
      <c r="AA184" s="467">
        <f>Fuente!BD188</f>
        <v>0</v>
      </c>
      <c r="AB184" s="477" t="s">
        <v>412</v>
      </c>
      <c r="AC184" s="477"/>
      <c r="AD184" s="480" t="s">
        <v>659</v>
      </c>
      <c r="AE184" s="477" t="s">
        <v>613</v>
      </c>
      <c r="AF184" s="494" t="s">
        <v>660</v>
      </c>
      <c r="AG184" s="480" t="str">
        <f>Fuente!AB183</f>
        <v>IDERBOL/SECRETARÍA PRIVADA</v>
      </c>
      <c r="AH184" s="81"/>
      <c r="AI184" s="81"/>
      <c r="AJ184" s="81"/>
    </row>
    <row r="185" spans="1:36" ht="63" x14ac:dyDescent="0.2">
      <c r="A185" s="76">
        <v>1</v>
      </c>
      <c r="B185" s="350" t="s">
        <v>1746</v>
      </c>
      <c r="C185" s="351" t="s">
        <v>651</v>
      </c>
      <c r="D185" s="350" t="s">
        <v>652</v>
      </c>
      <c r="E185" s="351" t="s">
        <v>668</v>
      </c>
      <c r="F185" s="350" t="s">
        <v>669</v>
      </c>
      <c r="G185" s="352"/>
      <c r="H185" s="352" t="s">
        <v>670</v>
      </c>
      <c r="I185" s="350" t="s">
        <v>670</v>
      </c>
      <c r="J185" s="76">
        <v>4</v>
      </c>
      <c r="K185" s="76">
        <v>4</v>
      </c>
      <c r="L185" s="353"/>
      <c r="M185" s="350" t="s">
        <v>685</v>
      </c>
      <c r="N185" s="350" t="s">
        <v>685</v>
      </c>
      <c r="O185" s="76">
        <v>1</v>
      </c>
      <c r="P185" s="76">
        <v>1</v>
      </c>
      <c r="Q185" s="485">
        <f>Fuente!AT189</f>
        <v>0.5</v>
      </c>
      <c r="R185" s="485">
        <f>Fuente!AU189</f>
        <v>0</v>
      </c>
      <c r="S185" s="485">
        <f>Fuente!AV189</f>
        <v>0</v>
      </c>
      <c r="T185" s="485">
        <f>Fuente!AW189</f>
        <v>0</v>
      </c>
      <c r="U185" s="467">
        <f>Fuente!AM189</f>
        <v>1</v>
      </c>
      <c r="V185" s="485">
        <f>Fuente!AY189</f>
        <v>1</v>
      </c>
      <c r="W185" s="485">
        <f>Fuente!AZ189</f>
        <v>1</v>
      </c>
      <c r="X185" s="485">
        <f>Fuente!BA189</f>
        <v>0</v>
      </c>
      <c r="Y185" s="485">
        <f>Fuente!BB189</f>
        <v>0</v>
      </c>
      <c r="Z185" s="485">
        <f>Fuente!BC189</f>
        <v>0</v>
      </c>
      <c r="AA185" s="467">
        <f>Fuente!BD189</f>
        <v>1</v>
      </c>
      <c r="AB185" s="477" t="s">
        <v>633</v>
      </c>
      <c r="AC185" s="477"/>
      <c r="AD185" s="480" t="s">
        <v>659</v>
      </c>
      <c r="AE185" s="477" t="s">
        <v>613</v>
      </c>
      <c r="AF185" s="494" t="s">
        <v>660</v>
      </c>
      <c r="AG185" s="480" t="str">
        <f>Fuente!AB184</f>
        <v>IDERBOL/SECRETARÍA PRIVADA</v>
      </c>
      <c r="AH185" s="81"/>
      <c r="AI185" s="81"/>
      <c r="AJ185" s="81"/>
    </row>
    <row r="186" spans="1:36" ht="47.25" x14ac:dyDescent="0.2">
      <c r="A186" s="76">
        <v>1</v>
      </c>
      <c r="B186" s="350" t="s">
        <v>1746</v>
      </c>
      <c r="C186" s="351" t="s">
        <v>651</v>
      </c>
      <c r="D186" s="350" t="s">
        <v>652</v>
      </c>
      <c r="E186" s="351" t="s">
        <v>668</v>
      </c>
      <c r="F186" s="350" t="s">
        <v>669</v>
      </c>
      <c r="G186" s="352"/>
      <c r="H186" s="352" t="s">
        <v>670</v>
      </c>
      <c r="I186" s="350" t="s">
        <v>670</v>
      </c>
      <c r="J186" s="76">
        <v>4</v>
      </c>
      <c r="K186" s="76">
        <v>4</v>
      </c>
      <c r="L186" s="76"/>
      <c r="M186" s="350" t="s">
        <v>686</v>
      </c>
      <c r="N186" s="350" t="s">
        <v>687</v>
      </c>
      <c r="O186" s="76">
        <v>17</v>
      </c>
      <c r="P186" s="76">
        <v>21</v>
      </c>
      <c r="Q186" s="485">
        <f>Fuente!AT190</f>
        <v>5</v>
      </c>
      <c r="R186" s="485">
        <f>Fuente!AU190</f>
        <v>0</v>
      </c>
      <c r="S186" s="485">
        <f>Fuente!AV190</f>
        <v>0</v>
      </c>
      <c r="T186" s="485">
        <f>Fuente!AW190</f>
        <v>0</v>
      </c>
      <c r="U186" s="467">
        <f>Fuente!AM190</f>
        <v>0.23809523809523808</v>
      </c>
      <c r="V186" s="485">
        <f>Fuente!AY190</f>
        <v>13</v>
      </c>
      <c r="W186" s="485">
        <f>Fuente!AZ190</f>
        <v>0</v>
      </c>
      <c r="X186" s="485">
        <f>Fuente!BA190</f>
        <v>0</v>
      </c>
      <c r="Y186" s="485">
        <f>Fuente!BB190</f>
        <v>0</v>
      </c>
      <c r="Z186" s="485">
        <f>Fuente!BC190</f>
        <v>0</v>
      </c>
      <c r="AA186" s="467">
        <f>Fuente!BD190</f>
        <v>0</v>
      </c>
      <c r="AB186" s="477" t="s">
        <v>412</v>
      </c>
      <c r="AC186" s="477"/>
      <c r="AD186" s="480" t="s">
        <v>659</v>
      </c>
      <c r="AE186" s="477" t="s">
        <v>613</v>
      </c>
      <c r="AF186" s="494" t="s">
        <v>660</v>
      </c>
      <c r="AG186" s="480" t="str">
        <f>Fuente!AB185</f>
        <v>IDERBOL/SECRETARÍA PRIVADA</v>
      </c>
      <c r="AH186" s="81"/>
      <c r="AI186" s="81"/>
      <c r="AJ186" s="81"/>
    </row>
    <row r="187" spans="1:36" ht="47.25" x14ac:dyDescent="0.2">
      <c r="A187" s="76">
        <v>1</v>
      </c>
      <c r="B187" s="350" t="s">
        <v>1746</v>
      </c>
      <c r="C187" s="351" t="s">
        <v>651</v>
      </c>
      <c r="D187" s="350" t="s">
        <v>652</v>
      </c>
      <c r="E187" s="351" t="s">
        <v>668</v>
      </c>
      <c r="F187" s="350" t="s">
        <v>669</v>
      </c>
      <c r="G187" s="352"/>
      <c r="H187" s="352" t="s">
        <v>670</v>
      </c>
      <c r="I187" s="350" t="s">
        <v>670</v>
      </c>
      <c r="J187" s="76">
        <v>4</v>
      </c>
      <c r="K187" s="76">
        <v>4</v>
      </c>
      <c r="L187" s="76"/>
      <c r="M187" s="350" t="s">
        <v>688</v>
      </c>
      <c r="N187" s="350" t="s">
        <v>689</v>
      </c>
      <c r="O187" s="76">
        <v>57</v>
      </c>
      <c r="P187" s="76">
        <v>63</v>
      </c>
      <c r="Q187" s="485">
        <f>Fuente!AT191</f>
        <v>48</v>
      </c>
      <c r="R187" s="485">
        <f>Fuente!AU191</f>
        <v>0</v>
      </c>
      <c r="S187" s="485">
        <f>Fuente!AV191</f>
        <v>0</v>
      </c>
      <c r="T187" s="485">
        <f>Fuente!AW191</f>
        <v>0</v>
      </c>
      <c r="U187" s="467">
        <f>Fuente!AM191</f>
        <v>0.5714285714285714</v>
      </c>
      <c r="V187" s="485">
        <f>Fuente!AY191</f>
        <v>46</v>
      </c>
      <c r="W187" s="485">
        <f>Fuente!AZ191</f>
        <v>12</v>
      </c>
      <c r="X187" s="485">
        <f>Fuente!BA191</f>
        <v>0</v>
      </c>
      <c r="Y187" s="485">
        <f>Fuente!BB191</f>
        <v>0</v>
      </c>
      <c r="Z187" s="485">
        <f>Fuente!BC191</f>
        <v>0</v>
      </c>
      <c r="AA187" s="467">
        <f>Fuente!BD191</f>
        <v>0.2608695652173913</v>
      </c>
      <c r="AB187" s="477" t="s">
        <v>412</v>
      </c>
      <c r="AC187" s="477" t="s">
        <v>679</v>
      </c>
      <c r="AD187" s="480" t="s">
        <v>659</v>
      </c>
      <c r="AE187" s="477" t="s">
        <v>613</v>
      </c>
      <c r="AF187" s="494" t="s">
        <v>660</v>
      </c>
      <c r="AG187" s="480" t="str">
        <f>Fuente!AB186</f>
        <v>IDERBOL/SECRETARÍA PRIVADA</v>
      </c>
      <c r="AH187" s="81"/>
      <c r="AI187" s="81"/>
      <c r="AJ187" s="81"/>
    </row>
    <row r="188" spans="1:36" ht="47.25" x14ac:dyDescent="0.2">
      <c r="A188" s="76">
        <v>1</v>
      </c>
      <c r="B188" s="350" t="s">
        <v>1746</v>
      </c>
      <c r="C188" s="351" t="s">
        <v>651</v>
      </c>
      <c r="D188" s="350" t="s">
        <v>652</v>
      </c>
      <c r="E188" s="351" t="s">
        <v>668</v>
      </c>
      <c r="F188" s="350" t="s">
        <v>669</v>
      </c>
      <c r="G188" s="352"/>
      <c r="H188" s="352" t="s">
        <v>670</v>
      </c>
      <c r="I188" s="350" t="s">
        <v>670</v>
      </c>
      <c r="J188" s="76">
        <v>4</v>
      </c>
      <c r="K188" s="76">
        <v>4</v>
      </c>
      <c r="L188" s="353"/>
      <c r="M188" s="350" t="s">
        <v>690</v>
      </c>
      <c r="N188" s="350" t="s">
        <v>691</v>
      </c>
      <c r="O188" s="76">
        <v>50</v>
      </c>
      <c r="P188" s="76">
        <v>60</v>
      </c>
      <c r="Q188" s="485">
        <f>Fuente!AT192</f>
        <v>24</v>
      </c>
      <c r="R188" s="485">
        <f>Fuente!AU192</f>
        <v>0</v>
      </c>
      <c r="S188" s="485">
        <f>Fuente!AV192</f>
        <v>0</v>
      </c>
      <c r="T188" s="485">
        <f>Fuente!AW192</f>
        <v>0</v>
      </c>
      <c r="U188" s="467">
        <f>Fuente!AM192</f>
        <v>0.2</v>
      </c>
      <c r="V188" s="485">
        <f>Fuente!AY192</f>
        <v>12</v>
      </c>
      <c r="W188" s="485">
        <f>Fuente!AZ192</f>
        <v>12</v>
      </c>
      <c r="X188" s="485">
        <f>Fuente!BA192</f>
        <v>0</v>
      </c>
      <c r="Y188" s="485">
        <f>Fuente!BB192</f>
        <v>0</v>
      </c>
      <c r="Z188" s="485">
        <f>Fuente!BC192</f>
        <v>0</v>
      </c>
      <c r="AA188" s="467">
        <f>Fuente!BD192</f>
        <v>1</v>
      </c>
      <c r="AB188" s="477" t="s">
        <v>633</v>
      </c>
      <c r="AC188" s="477" t="s">
        <v>679</v>
      </c>
      <c r="AD188" s="480" t="s">
        <v>659</v>
      </c>
      <c r="AE188" s="477" t="s">
        <v>613</v>
      </c>
      <c r="AF188" s="494" t="s">
        <v>660</v>
      </c>
      <c r="AG188" s="480" t="str">
        <f>Fuente!AB187</f>
        <v>IDERBOL</v>
      </c>
      <c r="AH188" s="81"/>
      <c r="AI188" s="81"/>
      <c r="AJ188" s="81"/>
    </row>
    <row r="189" spans="1:36" ht="47.25" x14ac:dyDescent="0.2">
      <c r="A189" s="76">
        <v>1</v>
      </c>
      <c r="B189" s="350" t="s">
        <v>1746</v>
      </c>
      <c r="C189" s="351" t="s">
        <v>651</v>
      </c>
      <c r="D189" s="350" t="s">
        <v>652</v>
      </c>
      <c r="E189" s="351" t="s">
        <v>668</v>
      </c>
      <c r="F189" s="350" t="s">
        <v>669</v>
      </c>
      <c r="G189" s="352"/>
      <c r="H189" s="352" t="s">
        <v>670</v>
      </c>
      <c r="I189" s="350" t="s">
        <v>670</v>
      </c>
      <c r="J189" s="76">
        <v>4</v>
      </c>
      <c r="K189" s="76">
        <v>4</v>
      </c>
      <c r="L189" s="76"/>
      <c r="M189" s="350" t="s">
        <v>692</v>
      </c>
      <c r="N189" s="350" t="s">
        <v>693</v>
      </c>
      <c r="O189" s="76">
        <v>10</v>
      </c>
      <c r="P189" s="76">
        <v>14</v>
      </c>
      <c r="Q189" s="485">
        <f>Fuente!AT193</f>
        <v>17</v>
      </c>
      <c r="R189" s="485">
        <f>Fuente!AU193</f>
        <v>0</v>
      </c>
      <c r="S189" s="485">
        <f>Fuente!AV193</f>
        <v>0</v>
      </c>
      <c r="T189" s="485">
        <f>Fuente!AW193</f>
        <v>0</v>
      </c>
      <c r="U189" s="467">
        <f>Fuente!AM193</f>
        <v>0.42857142857142855</v>
      </c>
      <c r="V189" s="485">
        <f>Fuente!AY193</f>
        <v>7</v>
      </c>
      <c r="W189" s="485">
        <f>Fuente!AZ193</f>
        <v>11</v>
      </c>
      <c r="X189" s="485">
        <f>Fuente!BA193</f>
        <v>0</v>
      </c>
      <c r="Y189" s="485">
        <f>Fuente!BB193</f>
        <v>0</v>
      </c>
      <c r="Z189" s="485">
        <f>Fuente!BC193</f>
        <v>0</v>
      </c>
      <c r="AA189" s="467">
        <f>Fuente!BD193</f>
        <v>1</v>
      </c>
      <c r="AB189" s="477" t="s">
        <v>412</v>
      </c>
      <c r="AC189" s="477" t="s">
        <v>679</v>
      </c>
      <c r="AD189" s="480" t="s">
        <v>659</v>
      </c>
      <c r="AE189" s="477" t="s">
        <v>613</v>
      </c>
      <c r="AF189" s="494" t="s">
        <v>660</v>
      </c>
      <c r="AG189" s="480" t="str">
        <f>Fuente!AB188</f>
        <v>IDERBOL</v>
      </c>
      <c r="AH189" s="81"/>
      <c r="AI189" s="81"/>
      <c r="AJ189" s="81"/>
    </row>
    <row r="190" spans="1:36" ht="47.25" x14ac:dyDescent="0.2">
      <c r="A190" s="76">
        <v>1</v>
      </c>
      <c r="B190" s="350" t="s">
        <v>1746</v>
      </c>
      <c r="C190" s="351" t="s">
        <v>651</v>
      </c>
      <c r="D190" s="350" t="s">
        <v>652</v>
      </c>
      <c r="E190" s="351" t="s">
        <v>668</v>
      </c>
      <c r="F190" s="350" t="s">
        <v>669</v>
      </c>
      <c r="G190" s="352"/>
      <c r="H190" s="352" t="s">
        <v>670</v>
      </c>
      <c r="I190" s="350" t="s">
        <v>670</v>
      </c>
      <c r="J190" s="76">
        <v>4</v>
      </c>
      <c r="K190" s="76">
        <v>4</v>
      </c>
      <c r="L190" s="76"/>
      <c r="M190" s="350" t="s">
        <v>694</v>
      </c>
      <c r="N190" s="350" t="s">
        <v>695</v>
      </c>
      <c r="O190" s="76">
        <v>33</v>
      </c>
      <c r="P190" s="76">
        <v>36</v>
      </c>
      <c r="Q190" s="485">
        <f>Fuente!AT194</f>
        <v>19</v>
      </c>
      <c r="R190" s="485">
        <f>Fuente!AU194</f>
        <v>0</v>
      </c>
      <c r="S190" s="485">
        <f>Fuente!AV194</f>
        <v>0</v>
      </c>
      <c r="T190" s="485">
        <f>Fuente!AW194</f>
        <v>0</v>
      </c>
      <c r="U190" s="467">
        <f>Fuente!AM194</f>
        <v>0.33333333333333331</v>
      </c>
      <c r="V190" s="485">
        <f>Fuente!AY194</f>
        <v>12</v>
      </c>
      <c r="W190" s="485">
        <f>Fuente!AZ194</f>
        <v>7</v>
      </c>
      <c r="X190" s="485">
        <f>Fuente!BA194</f>
        <v>0</v>
      </c>
      <c r="Y190" s="485">
        <f>Fuente!BB194</f>
        <v>0</v>
      </c>
      <c r="Z190" s="485">
        <f>Fuente!BC194</f>
        <v>0</v>
      </c>
      <c r="AA190" s="467">
        <f>Fuente!BD194</f>
        <v>0.58333333333333337</v>
      </c>
      <c r="AB190" s="477" t="s">
        <v>420</v>
      </c>
      <c r="AC190" s="477" t="s">
        <v>679</v>
      </c>
      <c r="AD190" s="480" t="s">
        <v>659</v>
      </c>
      <c r="AE190" s="477" t="s">
        <v>613</v>
      </c>
      <c r="AF190" s="494" t="s">
        <v>660</v>
      </c>
      <c r="AG190" s="480" t="str">
        <f>Fuente!AB189</f>
        <v>IDERBOL</v>
      </c>
      <c r="AH190" s="81"/>
      <c r="AI190" s="81"/>
      <c r="AJ190" s="81"/>
    </row>
    <row r="191" spans="1:36" ht="47.25" x14ac:dyDescent="0.2">
      <c r="A191" s="76">
        <v>1</v>
      </c>
      <c r="B191" s="350" t="s">
        <v>1746</v>
      </c>
      <c r="C191" s="351" t="s">
        <v>651</v>
      </c>
      <c r="D191" s="350" t="s">
        <v>652</v>
      </c>
      <c r="E191" s="351" t="s">
        <v>668</v>
      </c>
      <c r="F191" s="350" t="s">
        <v>669</v>
      </c>
      <c r="G191" s="352"/>
      <c r="H191" s="352" t="s">
        <v>670</v>
      </c>
      <c r="I191" s="350" t="s">
        <v>670</v>
      </c>
      <c r="J191" s="76">
        <v>4</v>
      </c>
      <c r="K191" s="76">
        <v>4</v>
      </c>
      <c r="L191" s="76"/>
      <c r="M191" s="350" t="s">
        <v>696</v>
      </c>
      <c r="N191" s="350" t="s">
        <v>697</v>
      </c>
      <c r="O191" s="76">
        <v>8</v>
      </c>
      <c r="P191" s="76">
        <v>15</v>
      </c>
      <c r="Q191" s="485">
        <f>Fuente!AT195</f>
        <v>14</v>
      </c>
      <c r="R191" s="485">
        <f>Fuente!AU195</f>
        <v>0</v>
      </c>
      <c r="S191" s="485">
        <f>Fuente!AV195</f>
        <v>0</v>
      </c>
      <c r="T191" s="485">
        <f>Fuente!AW195</f>
        <v>0</v>
      </c>
      <c r="U191" s="467">
        <f>Fuente!AM195</f>
        <v>0.93333333333333335</v>
      </c>
      <c r="V191" s="485">
        <f>Fuente!AY195</f>
        <v>4</v>
      </c>
      <c r="W191" s="485">
        <f>Fuente!AZ195</f>
        <v>0</v>
      </c>
      <c r="X191" s="485">
        <f>Fuente!BA195</f>
        <v>0</v>
      </c>
      <c r="Y191" s="485">
        <f>Fuente!BB195</f>
        <v>0</v>
      </c>
      <c r="Z191" s="485">
        <f>Fuente!BC195</f>
        <v>0</v>
      </c>
      <c r="AA191" s="467">
        <f>Fuente!BD195</f>
        <v>0</v>
      </c>
      <c r="AB191" s="477" t="s">
        <v>412</v>
      </c>
      <c r="AC191" s="477" t="s">
        <v>679</v>
      </c>
      <c r="AD191" s="480" t="s">
        <v>659</v>
      </c>
      <c r="AE191" s="477" t="s">
        <v>613</v>
      </c>
      <c r="AF191" s="494" t="s">
        <v>660</v>
      </c>
      <c r="AG191" s="480" t="str">
        <f>Fuente!AB190</f>
        <v>IDERBOL/SECRETARÍA PRIVADA</v>
      </c>
      <c r="AH191" s="81"/>
      <c r="AI191" s="81"/>
      <c r="AJ191" s="81"/>
    </row>
    <row r="192" spans="1:36" ht="63" x14ac:dyDescent="0.2">
      <c r="A192" s="76">
        <v>1</v>
      </c>
      <c r="B192" s="350" t="s">
        <v>1746</v>
      </c>
      <c r="C192" s="351" t="s">
        <v>651</v>
      </c>
      <c r="D192" s="350" t="s">
        <v>652</v>
      </c>
      <c r="E192" s="351" t="s">
        <v>698</v>
      </c>
      <c r="F192" s="350" t="s">
        <v>699</v>
      </c>
      <c r="G192" s="352"/>
      <c r="H192" s="352" t="s">
        <v>700</v>
      </c>
      <c r="I192" s="350" t="s">
        <v>701</v>
      </c>
      <c r="J192" s="484">
        <v>0.27</v>
      </c>
      <c r="K192" s="484">
        <v>0.35</v>
      </c>
      <c r="L192" s="486"/>
      <c r="M192" s="350" t="s">
        <v>702</v>
      </c>
      <c r="N192" s="350" t="s">
        <v>703</v>
      </c>
      <c r="O192" s="76">
        <v>864</v>
      </c>
      <c r="P192" s="76">
        <v>1920</v>
      </c>
      <c r="Q192" s="485">
        <f>Fuente!AT196</f>
        <v>1760</v>
      </c>
      <c r="R192" s="485">
        <f>Fuente!AU196</f>
        <v>0</v>
      </c>
      <c r="S192" s="485">
        <f>Fuente!AV196</f>
        <v>0</v>
      </c>
      <c r="T192" s="485">
        <f>Fuente!AW196</f>
        <v>0</v>
      </c>
      <c r="U192" s="467">
        <f>Fuente!AM196</f>
        <v>0.91666666666666663</v>
      </c>
      <c r="V192" s="485">
        <f>Fuente!AY196</f>
        <v>1920</v>
      </c>
      <c r="W192" s="485">
        <f>Fuente!AZ196</f>
        <v>0</v>
      </c>
      <c r="X192" s="485">
        <f>Fuente!BA196</f>
        <v>0</v>
      </c>
      <c r="Y192" s="485">
        <f>Fuente!BB196</f>
        <v>0</v>
      </c>
      <c r="Z192" s="485">
        <f>Fuente!BC196</f>
        <v>0</v>
      </c>
      <c r="AA192" s="467">
        <f>Fuente!BD196</f>
        <v>0</v>
      </c>
      <c r="AB192" s="477" t="s">
        <v>412</v>
      </c>
      <c r="AC192" s="477" t="s">
        <v>679</v>
      </c>
      <c r="AD192" s="480" t="s">
        <v>659</v>
      </c>
      <c r="AE192" s="477" t="s">
        <v>613</v>
      </c>
      <c r="AF192" s="494" t="s">
        <v>660</v>
      </c>
      <c r="AG192" s="480" t="str">
        <f>Fuente!AB191</f>
        <v>IDERBOL/SECRETARÍA PRIVADA</v>
      </c>
      <c r="AH192" s="81"/>
      <c r="AI192" s="81"/>
      <c r="AJ192" s="81"/>
    </row>
    <row r="193" spans="1:36" ht="63" x14ac:dyDescent="0.2">
      <c r="A193" s="76">
        <v>1</v>
      </c>
      <c r="B193" s="350" t="s">
        <v>1746</v>
      </c>
      <c r="C193" s="351" t="s">
        <v>651</v>
      </c>
      <c r="D193" s="350" t="s">
        <v>652</v>
      </c>
      <c r="E193" s="351" t="s">
        <v>698</v>
      </c>
      <c r="F193" s="350" t="s">
        <v>699</v>
      </c>
      <c r="G193" s="352"/>
      <c r="H193" s="352" t="s">
        <v>700</v>
      </c>
      <c r="I193" s="350" t="s">
        <v>701</v>
      </c>
      <c r="J193" s="484">
        <v>0.27</v>
      </c>
      <c r="K193" s="484">
        <v>0.35</v>
      </c>
      <c r="L193" s="486"/>
      <c r="M193" s="350" t="s">
        <v>705</v>
      </c>
      <c r="N193" s="350" t="s">
        <v>706</v>
      </c>
      <c r="O193" s="76">
        <v>480</v>
      </c>
      <c r="P193" s="76">
        <v>640</v>
      </c>
      <c r="Q193" s="485">
        <f>Fuente!AT197</f>
        <v>480</v>
      </c>
      <c r="R193" s="485">
        <f>Fuente!AU197</f>
        <v>0</v>
      </c>
      <c r="S193" s="485">
        <f>Fuente!AV197</f>
        <v>0</v>
      </c>
      <c r="T193" s="485">
        <f>Fuente!AW197</f>
        <v>0</v>
      </c>
      <c r="U193" s="467">
        <f>Fuente!AM197</f>
        <v>0.75</v>
      </c>
      <c r="V193" s="485">
        <f>Fuente!AY197</f>
        <v>480</v>
      </c>
      <c r="W193" s="485">
        <f>Fuente!AZ197</f>
        <v>0</v>
      </c>
      <c r="X193" s="485">
        <f>Fuente!BA197</f>
        <v>0</v>
      </c>
      <c r="Y193" s="485">
        <f>Fuente!BB197</f>
        <v>0</v>
      </c>
      <c r="Z193" s="485">
        <f>Fuente!BC197</f>
        <v>0</v>
      </c>
      <c r="AA193" s="467">
        <f>Fuente!BD197</f>
        <v>0</v>
      </c>
      <c r="AB193" s="477" t="s">
        <v>412</v>
      </c>
      <c r="AC193" s="477"/>
      <c r="AD193" s="480" t="s">
        <v>659</v>
      </c>
      <c r="AE193" s="477" t="s">
        <v>613</v>
      </c>
      <c r="AF193" s="494" t="s">
        <v>660</v>
      </c>
      <c r="AG193" s="480" t="str">
        <f>Fuente!AB192</f>
        <v>IDERBOL</v>
      </c>
      <c r="AH193" s="81"/>
      <c r="AI193" s="81"/>
      <c r="AJ193" s="81"/>
    </row>
    <row r="194" spans="1:36" ht="63" x14ac:dyDescent="0.2">
      <c r="A194" s="76">
        <v>1</v>
      </c>
      <c r="B194" s="350" t="s">
        <v>1746</v>
      </c>
      <c r="C194" s="351" t="s">
        <v>651</v>
      </c>
      <c r="D194" s="350" t="s">
        <v>652</v>
      </c>
      <c r="E194" s="351" t="s">
        <v>698</v>
      </c>
      <c r="F194" s="350" t="s">
        <v>699</v>
      </c>
      <c r="G194" s="352"/>
      <c r="H194" s="352" t="s">
        <v>707</v>
      </c>
      <c r="I194" s="350" t="s">
        <v>708</v>
      </c>
      <c r="J194" s="76">
        <v>203</v>
      </c>
      <c r="K194" s="76">
        <v>300</v>
      </c>
      <c r="L194" s="353"/>
      <c r="M194" s="350" t="s">
        <v>709</v>
      </c>
      <c r="N194" s="350" t="s">
        <v>710</v>
      </c>
      <c r="O194" s="76">
        <v>4</v>
      </c>
      <c r="P194" s="76">
        <v>4</v>
      </c>
      <c r="Q194" s="485">
        <f>Fuente!AT198</f>
        <v>0.25</v>
      </c>
      <c r="R194" s="485">
        <f>Fuente!AU198</f>
        <v>0</v>
      </c>
      <c r="S194" s="485">
        <f>Fuente!AV198</f>
        <v>0</v>
      </c>
      <c r="T194" s="485">
        <f>Fuente!AW198</f>
        <v>0</v>
      </c>
      <c r="U194" s="467">
        <f>Fuente!AM198</f>
        <v>0.25</v>
      </c>
      <c r="V194" s="485">
        <f>Fuente!AY198</f>
        <v>1</v>
      </c>
      <c r="W194" s="485">
        <f>Fuente!AZ198</f>
        <v>0</v>
      </c>
      <c r="X194" s="485">
        <f>Fuente!BA198</f>
        <v>0</v>
      </c>
      <c r="Y194" s="485">
        <f>Fuente!BB198</f>
        <v>0</v>
      </c>
      <c r="Z194" s="485">
        <f>Fuente!BC198</f>
        <v>0</v>
      </c>
      <c r="AA194" s="467">
        <f>Fuente!BD198</f>
        <v>0</v>
      </c>
      <c r="AB194" s="477" t="s">
        <v>412</v>
      </c>
      <c r="AC194" s="477"/>
      <c r="AD194" s="480" t="s">
        <v>659</v>
      </c>
      <c r="AE194" s="477" t="s">
        <v>613</v>
      </c>
      <c r="AF194" s="494" t="s">
        <v>660</v>
      </c>
      <c r="AG194" s="480" t="str">
        <f>Fuente!AB193</f>
        <v>IDERBOL/SECRETARÍA PRIVADA</v>
      </c>
      <c r="AH194" s="81"/>
      <c r="AI194" s="81"/>
      <c r="AJ194" s="81"/>
    </row>
    <row r="195" spans="1:36" ht="63" x14ac:dyDescent="0.2">
      <c r="A195" s="76">
        <v>1</v>
      </c>
      <c r="B195" s="350" t="s">
        <v>1746</v>
      </c>
      <c r="C195" s="351" t="s">
        <v>651</v>
      </c>
      <c r="D195" s="350" t="s">
        <v>652</v>
      </c>
      <c r="E195" s="351" t="s">
        <v>698</v>
      </c>
      <c r="F195" s="350" t="s">
        <v>699</v>
      </c>
      <c r="G195" s="352"/>
      <c r="H195" s="352" t="s">
        <v>707</v>
      </c>
      <c r="I195" s="350" t="s">
        <v>708</v>
      </c>
      <c r="J195" s="76">
        <v>203</v>
      </c>
      <c r="K195" s="76">
        <v>300</v>
      </c>
      <c r="L195" s="353"/>
      <c r="M195" s="350" t="s">
        <v>712</v>
      </c>
      <c r="N195" s="350" t="s">
        <v>713</v>
      </c>
      <c r="O195" s="76">
        <v>80000</v>
      </c>
      <c r="P195" s="76">
        <v>60000</v>
      </c>
      <c r="Q195" s="485">
        <f>Fuente!AT199</f>
        <v>12448</v>
      </c>
      <c r="R195" s="485">
        <f>Fuente!AU199</f>
        <v>0</v>
      </c>
      <c r="S195" s="485">
        <f>Fuente!AV199</f>
        <v>0</v>
      </c>
      <c r="T195" s="485">
        <f>Fuente!AW199</f>
        <v>0</v>
      </c>
      <c r="U195" s="467">
        <f>Fuente!AM199</f>
        <v>0.20746666666666666</v>
      </c>
      <c r="V195" s="485">
        <f>Fuente!AY199</f>
        <v>15000</v>
      </c>
      <c r="W195" s="485">
        <f>Fuente!AZ199</f>
        <v>0</v>
      </c>
      <c r="X195" s="485">
        <f>Fuente!BA199</f>
        <v>0</v>
      </c>
      <c r="Y195" s="485">
        <f>Fuente!BB199</f>
        <v>0</v>
      </c>
      <c r="Z195" s="485">
        <f>Fuente!BC199</f>
        <v>0</v>
      </c>
      <c r="AA195" s="467">
        <f>Fuente!BD199</f>
        <v>0</v>
      </c>
      <c r="AB195" s="477" t="s">
        <v>412</v>
      </c>
      <c r="AC195" s="477"/>
      <c r="AD195" s="480" t="s">
        <v>659</v>
      </c>
      <c r="AE195" s="477" t="s">
        <v>613</v>
      </c>
      <c r="AF195" s="494" t="s">
        <v>660</v>
      </c>
      <c r="AG195" s="480" t="str">
        <f>Fuente!AB194</f>
        <v>IDERBOL/SECRETARÍA PRIVADA</v>
      </c>
      <c r="AH195" s="81"/>
      <c r="AI195" s="81"/>
      <c r="AJ195" s="81"/>
    </row>
    <row r="196" spans="1:36" ht="78.75" x14ac:dyDescent="0.2">
      <c r="A196" s="76">
        <v>1</v>
      </c>
      <c r="B196" s="350" t="s">
        <v>1746</v>
      </c>
      <c r="C196" s="351" t="s">
        <v>651</v>
      </c>
      <c r="D196" s="350" t="s">
        <v>652</v>
      </c>
      <c r="E196" s="351" t="s">
        <v>714</v>
      </c>
      <c r="F196" s="350" t="s">
        <v>715</v>
      </c>
      <c r="G196" s="352"/>
      <c r="H196" s="352" t="s">
        <v>716</v>
      </c>
      <c r="I196" s="350" t="s">
        <v>717</v>
      </c>
      <c r="J196" s="484">
        <v>7.0000000000000007E-2</v>
      </c>
      <c r="K196" s="484">
        <v>0.22</v>
      </c>
      <c r="L196" s="486"/>
      <c r="M196" s="350" t="s">
        <v>718</v>
      </c>
      <c r="N196" s="350" t="s">
        <v>719</v>
      </c>
      <c r="O196" s="76">
        <v>2000</v>
      </c>
      <c r="P196" s="76">
        <v>2688</v>
      </c>
      <c r="Q196" s="485">
        <f>Fuente!AT200</f>
        <v>511</v>
      </c>
      <c r="R196" s="485">
        <f>Fuente!AU200</f>
        <v>0</v>
      </c>
      <c r="S196" s="485">
        <f>Fuente!AV200</f>
        <v>0</v>
      </c>
      <c r="T196" s="485">
        <f>Fuente!AW200</f>
        <v>0</v>
      </c>
      <c r="U196" s="467">
        <f>Fuente!AM200</f>
        <v>0.19010416666666666</v>
      </c>
      <c r="V196" s="485">
        <f>Fuente!AY200</f>
        <v>600</v>
      </c>
      <c r="W196" s="485">
        <f>Fuente!AZ200</f>
        <v>0</v>
      </c>
      <c r="X196" s="485">
        <f>Fuente!BA200</f>
        <v>0</v>
      </c>
      <c r="Y196" s="485">
        <f>Fuente!BB200</f>
        <v>0</v>
      </c>
      <c r="Z196" s="485">
        <f>Fuente!BC200</f>
        <v>0</v>
      </c>
      <c r="AA196" s="467">
        <f>Fuente!BD200</f>
        <v>0</v>
      </c>
      <c r="AB196" s="477" t="s">
        <v>412</v>
      </c>
      <c r="AC196" s="477"/>
      <c r="AD196" s="480" t="s">
        <v>659</v>
      </c>
      <c r="AE196" s="477" t="s">
        <v>613</v>
      </c>
      <c r="AF196" s="494" t="s">
        <v>660</v>
      </c>
      <c r="AG196" s="480" t="str">
        <f>Fuente!AB195</f>
        <v>IDERBOL/SECRETARÍA PRIVADA</v>
      </c>
      <c r="AH196" s="81"/>
      <c r="AI196" s="81"/>
      <c r="AJ196" s="81"/>
    </row>
    <row r="197" spans="1:36" ht="78.75" x14ac:dyDescent="0.2">
      <c r="A197" s="76">
        <v>1</v>
      </c>
      <c r="B197" s="350" t="s">
        <v>1746</v>
      </c>
      <c r="C197" s="351" t="s">
        <v>651</v>
      </c>
      <c r="D197" s="350" t="s">
        <v>652</v>
      </c>
      <c r="E197" s="351" t="s">
        <v>714</v>
      </c>
      <c r="F197" s="350" t="s">
        <v>715</v>
      </c>
      <c r="G197" s="352"/>
      <c r="H197" s="352" t="s">
        <v>716</v>
      </c>
      <c r="I197" s="350" t="s">
        <v>717</v>
      </c>
      <c r="J197" s="484">
        <v>7.0000000000000007E-2</v>
      </c>
      <c r="K197" s="484">
        <v>0.22</v>
      </c>
      <c r="L197" s="486"/>
      <c r="M197" s="350" t="s">
        <v>721</v>
      </c>
      <c r="N197" s="350" t="s">
        <v>722</v>
      </c>
      <c r="O197" s="76">
        <v>0</v>
      </c>
      <c r="P197" s="76">
        <v>4</v>
      </c>
      <c r="Q197" s="485">
        <f>Fuente!AT201</f>
        <v>3</v>
      </c>
      <c r="R197" s="485">
        <f>Fuente!AU201</f>
        <v>0</v>
      </c>
      <c r="S197" s="485">
        <f>Fuente!AV201</f>
        <v>0</v>
      </c>
      <c r="T197" s="485">
        <f>Fuente!AW201</f>
        <v>0</v>
      </c>
      <c r="U197" s="467">
        <f>Fuente!AM201</f>
        <v>0.75</v>
      </c>
      <c r="V197" s="485">
        <f>Fuente!AY201</f>
        <v>1</v>
      </c>
      <c r="W197" s="485">
        <f>Fuente!AZ201</f>
        <v>0</v>
      </c>
      <c r="X197" s="485">
        <f>Fuente!BA201</f>
        <v>0</v>
      </c>
      <c r="Y197" s="485">
        <f>Fuente!BB201</f>
        <v>0</v>
      </c>
      <c r="Z197" s="485">
        <f>Fuente!BC201</f>
        <v>0</v>
      </c>
      <c r="AA197" s="467">
        <f>Fuente!BD201</f>
        <v>0</v>
      </c>
      <c r="AB197" s="477" t="s">
        <v>412</v>
      </c>
      <c r="AC197" s="480" t="s">
        <v>704</v>
      </c>
      <c r="AD197" s="480" t="s">
        <v>659</v>
      </c>
      <c r="AE197" s="477" t="s">
        <v>613</v>
      </c>
      <c r="AF197" s="494" t="s">
        <v>660</v>
      </c>
      <c r="AG197" s="480" t="str">
        <f>Fuente!AB196</f>
        <v>IDERBOL</v>
      </c>
      <c r="AH197" s="81"/>
      <c r="AI197" s="81"/>
      <c r="AJ197" s="81"/>
    </row>
    <row r="198" spans="1:36" ht="78.75" x14ac:dyDescent="0.2">
      <c r="A198" s="76">
        <v>1</v>
      </c>
      <c r="B198" s="350" t="s">
        <v>1746</v>
      </c>
      <c r="C198" s="351" t="s">
        <v>651</v>
      </c>
      <c r="D198" s="350" t="s">
        <v>652</v>
      </c>
      <c r="E198" s="351" t="s">
        <v>714</v>
      </c>
      <c r="F198" s="350" t="s">
        <v>715</v>
      </c>
      <c r="G198" s="352"/>
      <c r="H198" s="352" t="s">
        <v>716</v>
      </c>
      <c r="I198" s="350" t="s">
        <v>717</v>
      </c>
      <c r="J198" s="484">
        <v>7.0000000000000007E-2</v>
      </c>
      <c r="K198" s="484">
        <v>0.22</v>
      </c>
      <c r="L198" s="486"/>
      <c r="M198" s="350" t="s">
        <v>723</v>
      </c>
      <c r="N198" s="350" t="s">
        <v>724</v>
      </c>
      <c r="O198" s="76">
        <v>20</v>
      </c>
      <c r="P198" s="76">
        <v>28</v>
      </c>
      <c r="Q198" s="485">
        <f>Fuente!AT202</f>
        <v>13</v>
      </c>
      <c r="R198" s="485">
        <f>Fuente!AU202</f>
        <v>0</v>
      </c>
      <c r="S198" s="485">
        <f>Fuente!AV202</f>
        <v>0</v>
      </c>
      <c r="T198" s="485">
        <f>Fuente!AW202</f>
        <v>0</v>
      </c>
      <c r="U198" s="467">
        <f>Fuente!AM202</f>
        <v>0.4642857142857143</v>
      </c>
      <c r="V198" s="485">
        <f>Fuente!AY202</f>
        <v>13</v>
      </c>
      <c r="W198" s="485">
        <f>Fuente!AZ202</f>
        <v>0</v>
      </c>
      <c r="X198" s="485">
        <f>Fuente!BA202</f>
        <v>0</v>
      </c>
      <c r="Y198" s="485">
        <f>Fuente!BB202</f>
        <v>0</v>
      </c>
      <c r="Z198" s="485">
        <f>Fuente!BC202</f>
        <v>0</v>
      </c>
      <c r="AA198" s="467">
        <f>Fuente!BD202</f>
        <v>0</v>
      </c>
      <c r="AB198" s="477" t="s">
        <v>412</v>
      </c>
      <c r="AC198" s="480" t="s">
        <v>704</v>
      </c>
      <c r="AD198" s="480" t="s">
        <v>659</v>
      </c>
      <c r="AE198" s="477" t="s">
        <v>613</v>
      </c>
      <c r="AF198" s="494" t="s">
        <v>660</v>
      </c>
      <c r="AG198" s="480" t="str">
        <f>Fuente!AB197</f>
        <v>IDERBOL</v>
      </c>
      <c r="AH198" s="81"/>
      <c r="AI198" s="81"/>
      <c r="AJ198" s="81"/>
    </row>
    <row r="199" spans="1:36" ht="78.75" x14ac:dyDescent="0.2">
      <c r="A199" s="76">
        <v>1</v>
      </c>
      <c r="B199" s="350" t="s">
        <v>1746</v>
      </c>
      <c r="C199" s="351" t="s">
        <v>651</v>
      </c>
      <c r="D199" s="350" t="s">
        <v>652</v>
      </c>
      <c r="E199" s="351" t="s">
        <v>725</v>
      </c>
      <c r="F199" s="350" t="s">
        <v>726</v>
      </c>
      <c r="G199" s="352"/>
      <c r="H199" s="352" t="s">
        <v>727</v>
      </c>
      <c r="I199" s="350" t="s">
        <v>728</v>
      </c>
      <c r="J199" s="484">
        <v>0.24</v>
      </c>
      <c r="K199" s="484">
        <v>0.56000000000000005</v>
      </c>
      <c r="L199" s="486"/>
      <c r="M199" s="350" t="s">
        <v>729</v>
      </c>
      <c r="N199" s="350" t="s">
        <v>730</v>
      </c>
      <c r="O199" s="76">
        <v>4</v>
      </c>
      <c r="P199" s="76">
        <v>4</v>
      </c>
      <c r="Q199" s="485">
        <f>Fuente!AT203</f>
        <v>0.25</v>
      </c>
      <c r="R199" s="485">
        <f>Fuente!AU203</f>
        <v>0</v>
      </c>
      <c r="S199" s="485">
        <f>Fuente!AV203</f>
        <v>0</v>
      </c>
      <c r="T199" s="485">
        <f>Fuente!AW203</f>
        <v>0</v>
      </c>
      <c r="U199" s="467">
        <f>Fuente!AM203</f>
        <v>0.25</v>
      </c>
      <c r="V199" s="485">
        <f>Fuente!AY203</f>
        <v>1</v>
      </c>
      <c r="W199" s="485">
        <f>Fuente!AZ203</f>
        <v>0</v>
      </c>
      <c r="X199" s="485">
        <f>Fuente!BA203</f>
        <v>0</v>
      </c>
      <c r="Y199" s="485">
        <f>Fuente!BB203</f>
        <v>0</v>
      </c>
      <c r="Z199" s="485">
        <f>Fuente!BC203</f>
        <v>0</v>
      </c>
      <c r="AA199" s="467">
        <f>Fuente!BD203</f>
        <v>0</v>
      </c>
      <c r="AB199" s="477" t="s">
        <v>420</v>
      </c>
      <c r="AC199" s="480" t="s">
        <v>711</v>
      </c>
      <c r="AD199" s="480" t="s">
        <v>659</v>
      </c>
      <c r="AE199" s="477" t="s">
        <v>613</v>
      </c>
      <c r="AF199" s="494" t="s">
        <v>660</v>
      </c>
      <c r="AG199" s="480" t="str">
        <f>Fuente!AB198</f>
        <v>IDERBOL</v>
      </c>
      <c r="AH199" s="81"/>
      <c r="AI199" s="81"/>
      <c r="AJ199" s="81"/>
    </row>
    <row r="200" spans="1:36" ht="78.75" x14ac:dyDescent="0.2">
      <c r="A200" s="76">
        <v>1</v>
      </c>
      <c r="B200" s="350" t="s">
        <v>1746</v>
      </c>
      <c r="C200" s="351" t="s">
        <v>651</v>
      </c>
      <c r="D200" s="350" t="s">
        <v>652</v>
      </c>
      <c r="E200" s="351" t="s">
        <v>725</v>
      </c>
      <c r="F200" s="350" t="s">
        <v>726</v>
      </c>
      <c r="G200" s="352"/>
      <c r="H200" s="352" t="s">
        <v>727</v>
      </c>
      <c r="I200" s="350" t="s">
        <v>728</v>
      </c>
      <c r="J200" s="484">
        <v>0.24</v>
      </c>
      <c r="K200" s="484">
        <v>0.56000000000000005</v>
      </c>
      <c r="L200" s="486"/>
      <c r="M200" s="350" t="s">
        <v>732</v>
      </c>
      <c r="N200" s="350" t="s">
        <v>733</v>
      </c>
      <c r="O200" s="76">
        <v>350</v>
      </c>
      <c r="P200" s="76">
        <v>500</v>
      </c>
      <c r="Q200" s="485">
        <f>Fuente!AT204</f>
        <v>434</v>
      </c>
      <c r="R200" s="485">
        <f>Fuente!AU204</f>
        <v>0</v>
      </c>
      <c r="S200" s="485">
        <f>Fuente!AV204</f>
        <v>0</v>
      </c>
      <c r="T200" s="485">
        <f>Fuente!AW204</f>
        <v>0</v>
      </c>
      <c r="U200" s="467">
        <f>Fuente!AM204</f>
        <v>0.86799999999999999</v>
      </c>
      <c r="V200" s="485">
        <f>Fuente!AY204</f>
        <v>434</v>
      </c>
      <c r="W200" s="485">
        <f>Fuente!AZ204</f>
        <v>0</v>
      </c>
      <c r="X200" s="485">
        <f>Fuente!BA204</f>
        <v>0</v>
      </c>
      <c r="Y200" s="485">
        <f>Fuente!BB204</f>
        <v>0</v>
      </c>
      <c r="Z200" s="485">
        <f>Fuente!BC204</f>
        <v>0</v>
      </c>
      <c r="AA200" s="467">
        <f>Fuente!BD204</f>
        <v>0</v>
      </c>
      <c r="AB200" s="477" t="s">
        <v>633</v>
      </c>
      <c r="AC200" s="480" t="s">
        <v>711</v>
      </c>
      <c r="AD200" s="480" t="s">
        <v>659</v>
      </c>
      <c r="AE200" s="477" t="s">
        <v>613</v>
      </c>
      <c r="AF200" s="494" t="s">
        <v>660</v>
      </c>
      <c r="AG200" s="480" t="str">
        <f>Fuente!AB199</f>
        <v>IDERBOL</v>
      </c>
      <c r="AH200" s="81"/>
      <c r="AI200" s="81"/>
      <c r="AJ200" s="81"/>
    </row>
    <row r="201" spans="1:36" ht="94.5" x14ac:dyDescent="0.2">
      <c r="A201" s="76">
        <v>1</v>
      </c>
      <c r="B201" s="350" t="s">
        <v>1746</v>
      </c>
      <c r="C201" s="351" t="s">
        <v>651</v>
      </c>
      <c r="D201" s="350" t="s">
        <v>652</v>
      </c>
      <c r="E201" s="351" t="s">
        <v>725</v>
      </c>
      <c r="F201" s="350" t="s">
        <v>726</v>
      </c>
      <c r="G201" s="352"/>
      <c r="H201" s="352" t="s">
        <v>727</v>
      </c>
      <c r="I201" s="350" t="s">
        <v>728</v>
      </c>
      <c r="J201" s="484">
        <v>0.24</v>
      </c>
      <c r="K201" s="484">
        <v>0.56000000000000005</v>
      </c>
      <c r="L201" s="486"/>
      <c r="M201" s="350" t="s">
        <v>734</v>
      </c>
      <c r="N201" s="350" t="s">
        <v>735</v>
      </c>
      <c r="O201" s="76">
        <v>8160</v>
      </c>
      <c r="P201" s="76">
        <v>20800</v>
      </c>
      <c r="Q201" s="485">
        <f>Fuente!AT205</f>
        <v>5721</v>
      </c>
      <c r="R201" s="485">
        <f>Fuente!AU205</f>
        <v>0</v>
      </c>
      <c r="S201" s="485">
        <f>Fuente!AV205</f>
        <v>0</v>
      </c>
      <c r="T201" s="485">
        <f>Fuente!AW205</f>
        <v>0</v>
      </c>
      <c r="U201" s="467">
        <f>Fuente!AM205</f>
        <v>0.27504807692307692</v>
      </c>
      <c r="V201" s="485">
        <f>Fuente!AY205</f>
        <v>7000</v>
      </c>
      <c r="W201" s="485">
        <f>Fuente!AZ205</f>
        <v>0</v>
      </c>
      <c r="X201" s="485">
        <f>Fuente!BA205</f>
        <v>0</v>
      </c>
      <c r="Y201" s="485">
        <f>Fuente!BB205</f>
        <v>0</v>
      </c>
      <c r="Z201" s="485">
        <f>Fuente!BC205</f>
        <v>0</v>
      </c>
      <c r="AA201" s="467">
        <f>Fuente!BD205</f>
        <v>0</v>
      </c>
      <c r="AB201" s="477" t="s">
        <v>412</v>
      </c>
      <c r="AC201" s="480" t="s">
        <v>720</v>
      </c>
      <c r="AD201" s="480" t="s">
        <v>659</v>
      </c>
      <c r="AE201" s="477" t="s">
        <v>613</v>
      </c>
      <c r="AF201" s="494" t="s">
        <v>660</v>
      </c>
      <c r="AG201" s="480" t="str">
        <f>Fuente!AB200</f>
        <v>IDERBOL</v>
      </c>
      <c r="AH201" s="81"/>
      <c r="AI201" s="81"/>
      <c r="AJ201" s="81"/>
    </row>
    <row r="202" spans="1:36" ht="78.75" x14ac:dyDescent="0.2">
      <c r="A202" s="76">
        <v>1</v>
      </c>
      <c r="B202" s="350" t="s">
        <v>1746</v>
      </c>
      <c r="C202" s="351" t="s">
        <v>651</v>
      </c>
      <c r="D202" s="350" t="s">
        <v>652</v>
      </c>
      <c r="E202" s="351" t="s">
        <v>725</v>
      </c>
      <c r="F202" s="350" t="s">
        <v>726</v>
      </c>
      <c r="G202" s="352"/>
      <c r="H202" s="352" t="s">
        <v>727</v>
      </c>
      <c r="I202" s="350" t="s">
        <v>728</v>
      </c>
      <c r="J202" s="484">
        <v>0.24</v>
      </c>
      <c r="K202" s="484">
        <v>0.56000000000000005</v>
      </c>
      <c r="L202" s="486"/>
      <c r="M202" s="350" t="s">
        <v>736</v>
      </c>
      <c r="N202" s="350" t="s">
        <v>737</v>
      </c>
      <c r="O202" s="76">
        <v>2100</v>
      </c>
      <c r="P202" s="76">
        <v>3200</v>
      </c>
      <c r="Q202" s="485">
        <f>Fuente!AT206</f>
        <v>1200</v>
      </c>
      <c r="R202" s="485">
        <f>Fuente!AU206</f>
        <v>0</v>
      </c>
      <c r="S202" s="485">
        <f>Fuente!AV206</f>
        <v>0</v>
      </c>
      <c r="T202" s="485">
        <f>Fuente!AW206</f>
        <v>0</v>
      </c>
      <c r="U202" s="467">
        <f>Fuente!AM206</f>
        <v>0.375</v>
      </c>
      <c r="V202" s="485">
        <f>Fuente!AY206</f>
        <v>1500</v>
      </c>
      <c r="W202" s="485">
        <f>Fuente!AZ206</f>
        <v>0</v>
      </c>
      <c r="X202" s="485">
        <f>Fuente!BA206</f>
        <v>0</v>
      </c>
      <c r="Y202" s="485">
        <f>Fuente!BB206</f>
        <v>0</v>
      </c>
      <c r="Z202" s="485">
        <f>Fuente!BC206</f>
        <v>0</v>
      </c>
      <c r="AA202" s="467">
        <f>Fuente!BD206</f>
        <v>0</v>
      </c>
      <c r="AB202" s="477" t="s">
        <v>412</v>
      </c>
      <c r="AC202" s="480"/>
      <c r="AD202" s="480" t="s">
        <v>659</v>
      </c>
      <c r="AE202" s="477" t="s">
        <v>613</v>
      </c>
      <c r="AF202" s="494" t="s">
        <v>660</v>
      </c>
      <c r="AG202" s="480" t="str">
        <f>Fuente!AB201</f>
        <v>IDERBOL</v>
      </c>
      <c r="AH202" s="81"/>
      <c r="AI202" s="81"/>
      <c r="AJ202" s="81"/>
    </row>
    <row r="203" spans="1:36" ht="78.75" x14ac:dyDescent="0.2">
      <c r="A203" s="76">
        <v>1</v>
      </c>
      <c r="B203" s="350" t="s">
        <v>1746</v>
      </c>
      <c r="C203" s="351" t="s">
        <v>651</v>
      </c>
      <c r="D203" s="350" t="s">
        <v>652</v>
      </c>
      <c r="E203" s="351" t="s">
        <v>725</v>
      </c>
      <c r="F203" s="350" t="s">
        <v>726</v>
      </c>
      <c r="G203" s="352"/>
      <c r="H203" s="352" t="s">
        <v>727</v>
      </c>
      <c r="I203" s="350" t="s">
        <v>728</v>
      </c>
      <c r="J203" s="484">
        <v>0.24</v>
      </c>
      <c r="K203" s="484">
        <v>0.56000000000000005</v>
      </c>
      <c r="L203" s="486"/>
      <c r="M203" s="350" t="s">
        <v>738</v>
      </c>
      <c r="N203" s="350" t="s">
        <v>739</v>
      </c>
      <c r="O203" s="76">
        <v>4</v>
      </c>
      <c r="P203" s="76">
        <v>8</v>
      </c>
      <c r="Q203" s="485">
        <f>Fuente!AT207</f>
        <v>4</v>
      </c>
      <c r="R203" s="485">
        <f>Fuente!AU207</f>
        <v>0</v>
      </c>
      <c r="S203" s="485">
        <f>Fuente!AV207</f>
        <v>0</v>
      </c>
      <c r="T203" s="485">
        <f>Fuente!AW207</f>
        <v>0</v>
      </c>
      <c r="U203" s="467">
        <f>Fuente!AM207</f>
        <v>0.5</v>
      </c>
      <c r="V203" s="485">
        <f>Fuente!AY207</f>
        <v>7</v>
      </c>
      <c r="W203" s="485">
        <f>Fuente!AZ207</f>
        <v>0</v>
      </c>
      <c r="X203" s="485">
        <f>Fuente!BA207</f>
        <v>0</v>
      </c>
      <c r="Y203" s="485">
        <f>Fuente!BB207</f>
        <v>0</v>
      </c>
      <c r="Z203" s="485">
        <f>Fuente!BC207</f>
        <v>0</v>
      </c>
      <c r="AA203" s="467">
        <f>Fuente!BD207</f>
        <v>0</v>
      </c>
      <c r="AB203" s="477" t="s">
        <v>412</v>
      </c>
      <c r="AC203" s="480" t="s">
        <v>720</v>
      </c>
      <c r="AD203" s="480" t="s">
        <v>659</v>
      </c>
      <c r="AE203" s="477" t="s">
        <v>613</v>
      </c>
      <c r="AF203" s="494" t="s">
        <v>660</v>
      </c>
      <c r="AG203" s="480" t="str">
        <f>Fuente!AB202</f>
        <v>IDERBOL</v>
      </c>
      <c r="AH203" s="81"/>
      <c r="AI203" s="81"/>
      <c r="AJ203" s="81"/>
    </row>
    <row r="204" spans="1:36" ht="78.75" x14ac:dyDescent="0.2">
      <c r="A204" s="76">
        <v>1</v>
      </c>
      <c r="B204" s="350" t="s">
        <v>1746</v>
      </c>
      <c r="C204" s="351" t="s">
        <v>651</v>
      </c>
      <c r="D204" s="350" t="s">
        <v>652</v>
      </c>
      <c r="E204" s="351" t="s">
        <v>725</v>
      </c>
      <c r="F204" s="350" t="s">
        <v>726</v>
      </c>
      <c r="G204" s="352"/>
      <c r="H204" s="352" t="s">
        <v>727</v>
      </c>
      <c r="I204" s="350" t="s">
        <v>728</v>
      </c>
      <c r="J204" s="484">
        <v>0.24</v>
      </c>
      <c r="K204" s="484">
        <v>0.56000000000000005</v>
      </c>
      <c r="L204" s="486"/>
      <c r="M204" s="350" t="s">
        <v>740</v>
      </c>
      <c r="N204" s="350" t="s">
        <v>741</v>
      </c>
      <c r="O204" s="76">
        <v>4</v>
      </c>
      <c r="P204" s="76">
        <v>8</v>
      </c>
      <c r="Q204" s="485">
        <f>Fuente!AT208</f>
        <v>1</v>
      </c>
      <c r="R204" s="485">
        <f>Fuente!AU208</f>
        <v>0</v>
      </c>
      <c r="S204" s="485">
        <f>Fuente!AV208</f>
        <v>0</v>
      </c>
      <c r="T204" s="485">
        <f>Fuente!AW208</f>
        <v>0</v>
      </c>
      <c r="U204" s="467">
        <f>Fuente!AM208</f>
        <v>0.125</v>
      </c>
      <c r="V204" s="485">
        <f>Fuente!AY208</f>
        <v>1</v>
      </c>
      <c r="W204" s="485">
        <f>Fuente!AZ208</f>
        <v>0</v>
      </c>
      <c r="X204" s="485">
        <f>Fuente!BA208</f>
        <v>0</v>
      </c>
      <c r="Y204" s="485">
        <f>Fuente!BB208</f>
        <v>0</v>
      </c>
      <c r="Z204" s="485">
        <f>Fuente!BC208</f>
        <v>0</v>
      </c>
      <c r="AA204" s="467">
        <f>Fuente!BD208</f>
        <v>0</v>
      </c>
      <c r="AB204" s="477" t="s">
        <v>420</v>
      </c>
      <c r="AC204" s="480" t="s">
        <v>731</v>
      </c>
      <c r="AD204" s="480" t="s">
        <v>659</v>
      </c>
      <c r="AE204" s="477" t="s">
        <v>613</v>
      </c>
      <c r="AF204" s="494" t="s">
        <v>660</v>
      </c>
      <c r="AG204" s="480" t="str">
        <f>Fuente!AB203</f>
        <v>IDERBOL</v>
      </c>
      <c r="AH204" s="81"/>
      <c r="AI204" s="81"/>
      <c r="AJ204" s="81"/>
    </row>
    <row r="205" spans="1:36" ht="94.5" x14ac:dyDescent="0.2">
      <c r="A205" s="76">
        <v>1</v>
      </c>
      <c r="B205" s="350" t="s">
        <v>1746</v>
      </c>
      <c r="C205" s="351" t="s">
        <v>651</v>
      </c>
      <c r="D205" s="350" t="s">
        <v>652</v>
      </c>
      <c r="E205" s="351" t="s">
        <v>742</v>
      </c>
      <c r="F205" s="350" t="s">
        <v>743</v>
      </c>
      <c r="G205" s="352"/>
      <c r="H205" s="352" t="s">
        <v>744</v>
      </c>
      <c r="I205" s="350" t="s">
        <v>745</v>
      </c>
      <c r="J205" s="484">
        <v>0.22</v>
      </c>
      <c r="K205" s="484">
        <v>0.44</v>
      </c>
      <c r="L205" s="486"/>
      <c r="M205" s="350" t="s">
        <v>746</v>
      </c>
      <c r="N205" s="350" t="s">
        <v>747</v>
      </c>
      <c r="O205" s="76">
        <v>160</v>
      </c>
      <c r="P205" s="76">
        <v>300</v>
      </c>
      <c r="Q205" s="485">
        <f>Fuente!AT209</f>
        <v>86</v>
      </c>
      <c r="R205" s="485">
        <f>Fuente!AU209</f>
        <v>0</v>
      </c>
      <c r="S205" s="485">
        <f>Fuente!AV209</f>
        <v>0</v>
      </c>
      <c r="T205" s="485">
        <f>Fuente!AW209</f>
        <v>0</v>
      </c>
      <c r="U205" s="467">
        <f>Fuente!AM209</f>
        <v>0.28666666666666668</v>
      </c>
      <c r="V205" s="485">
        <f>Fuente!AY209</f>
        <v>75</v>
      </c>
      <c r="W205" s="485">
        <f>Fuente!AZ209</f>
        <v>0</v>
      </c>
      <c r="X205" s="485">
        <f>Fuente!BA209</f>
        <v>0</v>
      </c>
      <c r="Y205" s="485">
        <f>Fuente!BB209</f>
        <v>0</v>
      </c>
      <c r="Z205" s="485">
        <f>Fuente!BC209</f>
        <v>0</v>
      </c>
      <c r="AA205" s="467">
        <f>Fuente!BD209</f>
        <v>0</v>
      </c>
      <c r="AB205" s="477" t="s">
        <v>412</v>
      </c>
      <c r="AC205" s="480" t="s">
        <v>731</v>
      </c>
      <c r="AD205" s="480" t="s">
        <v>659</v>
      </c>
      <c r="AE205" s="477" t="s">
        <v>613</v>
      </c>
      <c r="AF205" s="494" t="s">
        <v>660</v>
      </c>
      <c r="AG205" s="480" t="str">
        <f>Fuente!AB204</f>
        <v>IDERBOL</v>
      </c>
      <c r="AH205" s="81"/>
      <c r="AI205" s="81"/>
      <c r="AJ205" s="81"/>
    </row>
    <row r="206" spans="1:36" ht="94.5" x14ac:dyDescent="0.2">
      <c r="A206" s="76">
        <v>1</v>
      </c>
      <c r="B206" s="350" t="s">
        <v>1746</v>
      </c>
      <c r="C206" s="351" t="s">
        <v>651</v>
      </c>
      <c r="D206" s="350" t="s">
        <v>652</v>
      </c>
      <c r="E206" s="351" t="s">
        <v>742</v>
      </c>
      <c r="F206" s="350" t="s">
        <v>743</v>
      </c>
      <c r="G206" s="352"/>
      <c r="H206" s="352" t="s">
        <v>744</v>
      </c>
      <c r="I206" s="350" t="s">
        <v>745</v>
      </c>
      <c r="J206" s="484">
        <v>0.22</v>
      </c>
      <c r="K206" s="484">
        <v>0.44</v>
      </c>
      <c r="L206" s="486"/>
      <c r="M206" s="350" t="s">
        <v>749</v>
      </c>
      <c r="N206" s="350" t="s">
        <v>750</v>
      </c>
      <c r="O206" s="76">
        <v>144</v>
      </c>
      <c r="P206" s="76">
        <v>120</v>
      </c>
      <c r="Q206" s="485">
        <f>Fuente!AT210</f>
        <v>36</v>
      </c>
      <c r="R206" s="485">
        <f>Fuente!AU210</f>
        <v>0</v>
      </c>
      <c r="S206" s="485">
        <f>Fuente!AV210</f>
        <v>0</v>
      </c>
      <c r="T206" s="485">
        <f>Fuente!AW210</f>
        <v>0</v>
      </c>
      <c r="U206" s="467">
        <f>Fuente!AM210</f>
        <v>0.3</v>
      </c>
      <c r="V206" s="485">
        <f>Fuente!AY210</f>
        <v>35</v>
      </c>
      <c r="W206" s="485">
        <f>Fuente!AZ210</f>
        <v>0</v>
      </c>
      <c r="X206" s="485">
        <f>Fuente!BA210</f>
        <v>0</v>
      </c>
      <c r="Y206" s="485">
        <f>Fuente!BB210</f>
        <v>0</v>
      </c>
      <c r="Z206" s="485">
        <f>Fuente!BC210</f>
        <v>0</v>
      </c>
      <c r="AA206" s="467">
        <f>Fuente!BD210</f>
        <v>0</v>
      </c>
      <c r="AB206" s="477" t="s">
        <v>412</v>
      </c>
      <c r="AC206" s="480" t="s">
        <v>731</v>
      </c>
      <c r="AD206" s="480" t="s">
        <v>659</v>
      </c>
      <c r="AE206" s="477" t="s">
        <v>613</v>
      </c>
      <c r="AF206" s="494" t="s">
        <v>660</v>
      </c>
      <c r="AG206" s="480" t="str">
        <f>Fuente!AB205</f>
        <v>IDERBOL</v>
      </c>
      <c r="AH206" s="81"/>
      <c r="AI206" s="81"/>
      <c r="AJ206" s="81"/>
    </row>
    <row r="207" spans="1:36" ht="78.75" x14ac:dyDescent="0.2">
      <c r="A207" s="76">
        <v>1</v>
      </c>
      <c r="B207" s="350" t="s">
        <v>1746</v>
      </c>
      <c r="C207" s="351" t="s">
        <v>651</v>
      </c>
      <c r="D207" s="350" t="s">
        <v>652</v>
      </c>
      <c r="E207" s="351" t="s">
        <v>742</v>
      </c>
      <c r="F207" s="350" t="s">
        <v>743</v>
      </c>
      <c r="G207" s="352"/>
      <c r="H207" s="352" t="s">
        <v>744</v>
      </c>
      <c r="I207" s="350" t="s">
        <v>745</v>
      </c>
      <c r="J207" s="484">
        <v>0.22</v>
      </c>
      <c r="K207" s="484">
        <v>0.44</v>
      </c>
      <c r="L207" s="486"/>
      <c r="M207" s="350" t="s">
        <v>751</v>
      </c>
      <c r="N207" s="350" t="s">
        <v>752</v>
      </c>
      <c r="O207" s="76">
        <v>4</v>
      </c>
      <c r="P207" s="76">
        <v>4</v>
      </c>
      <c r="Q207" s="485">
        <f>Fuente!AT211</f>
        <v>0.5</v>
      </c>
      <c r="R207" s="485">
        <f>Fuente!AU211</f>
        <v>0</v>
      </c>
      <c r="S207" s="485">
        <f>Fuente!AV211</f>
        <v>0</v>
      </c>
      <c r="T207" s="485">
        <f>Fuente!AW211</f>
        <v>0</v>
      </c>
      <c r="U207" s="467">
        <f>Fuente!AM211</f>
        <v>0.25</v>
      </c>
      <c r="V207" s="485">
        <f>Fuente!AY211</f>
        <v>1</v>
      </c>
      <c r="W207" s="485">
        <f>Fuente!AZ211</f>
        <v>1</v>
      </c>
      <c r="X207" s="485">
        <f>Fuente!BA211</f>
        <v>0</v>
      </c>
      <c r="Y207" s="485">
        <f>Fuente!BB211</f>
        <v>0</v>
      </c>
      <c r="Z207" s="485">
        <f>Fuente!BC211</f>
        <v>0</v>
      </c>
      <c r="AA207" s="467">
        <f>Fuente!BD211</f>
        <v>1</v>
      </c>
      <c r="AB207" s="477" t="s">
        <v>412</v>
      </c>
      <c r="AC207" s="480" t="s">
        <v>731</v>
      </c>
      <c r="AD207" s="480" t="s">
        <v>659</v>
      </c>
      <c r="AE207" s="477" t="s">
        <v>613</v>
      </c>
      <c r="AF207" s="494" t="s">
        <v>660</v>
      </c>
      <c r="AG207" s="480" t="str">
        <f>Fuente!AB206</f>
        <v>IDERBOL</v>
      </c>
      <c r="AH207" s="81"/>
      <c r="AI207" s="81"/>
      <c r="AJ207" s="81"/>
    </row>
    <row r="208" spans="1:36" ht="78.75" x14ac:dyDescent="0.2">
      <c r="A208" s="76">
        <v>1</v>
      </c>
      <c r="B208" s="350" t="s">
        <v>1746</v>
      </c>
      <c r="C208" s="351" t="s">
        <v>651</v>
      </c>
      <c r="D208" s="350" t="s">
        <v>652</v>
      </c>
      <c r="E208" s="351" t="s">
        <v>742</v>
      </c>
      <c r="F208" s="350" t="s">
        <v>743</v>
      </c>
      <c r="G208" s="352"/>
      <c r="H208" s="352" t="s">
        <v>744</v>
      </c>
      <c r="I208" s="350" t="s">
        <v>745</v>
      </c>
      <c r="J208" s="484">
        <v>0.22</v>
      </c>
      <c r="K208" s="484">
        <v>0.44</v>
      </c>
      <c r="L208" s="486"/>
      <c r="M208" s="350" t="s">
        <v>753</v>
      </c>
      <c r="N208" s="350" t="s">
        <v>754</v>
      </c>
      <c r="O208" s="76">
        <v>8</v>
      </c>
      <c r="P208" s="76">
        <v>8</v>
      </c>
      <c r="Q208" s="485">
        <f>Fuente!AT212</f>
        <v>0</v>
      </c>
      <c r="R208" s="485">
        <f>Fuente!AU212</f>
        <v>0</v>
      </c>
      <c r="S208" s="485">
        <f>Fuente!AV212</f>
        <v>0</v>
      </c>
      <c r="T208" s="485">
        <f>Fuente!AW212</f>
        <v>0</v>
      </c>
      <c r="U208" s="467">
        <f>Fuente!AM212</f>
        <v>0</v>
      </c>
      <c r="V208" s="485">
        <f>Fuente!AY212</f>
        <v>2</v>
      </c>
      <c r="W208" s="485">
        <f>Fuente!AZ212</f>
        <v>0</v>
      </c>
      <c r="X208" s="485">
        <f>Fuente!BA212</f>
        <v>0</v>
      </c>
      <c r="Y208" s="485">
        <f>Fuente!BB212</f>
        <v>0</v>
      </c>
      <c r="Z208" s="485">
        <f>Fuente!BC212</f>
        <v>0</v>
      </c>
      <c r="AA208" s="467">
        <f>Fuente!BD212</f>
        <v>0</v>
      </c>
      <c r="AB208" s="477" t="s">
        <v>412</v>
      </c>
      <c r="AC208" s="480" t="s">
        <v>731</v>
      </c>
      <c r="AD208" s="480" t="s">
        <v>659</v>
      </c>
      <c r="AE208" s="477" t="s">
        <v>613</v>
      </c>
      <c r="AF208" s="494" t="s">
        <v>660</v>
      </c>
      <c r="AG208" s="480" t="str">
        <f>Fuente!AB207</f>
        <v>IDERBOL</v>
      </c>
      <c r="AH208" s="81"/>
      <c r="AI208" s="81"/>
      <c r="AJ208" s="81"/>
    </row>
    <row r="209" spans="1:36" ht="78.75" x14ac:dyDescent="0.2">
      <c r="A209" s="76">
        <v>1</v>
      </c>
      <c r="B209" s="350" t="s">
        <v>1746</v>
      </c>
      <c r="C209" s="351" t="s">
        <v>651</v>
      </c>
      <c r="D209" s="350" t="s">
        <v>652</v>
      </c>
      <c r="E209" s="351" t="s">
        <v>742</v>
      </c>
      <c r="F209" s="350" t="s">
        <v>743</v>
      </c>
      <c r="G209" s="352"/>
      <c r="H209" s="352" t="s">
        <v>744</v>
      </c>
      <c r="I209" s="350" t="s">
        <v>745</v>
      </c>
      <c r="J209" s="484">
        <v>0.22</v>
      </c>
      <c r="K209" s="484">
        <v>0.44</v>
      </c>
      <c r="L209" s="486"/>
      <c r="M209" s="350" t="s">
        <v>755</v>
      </c>
      <c r="N209" s="350" t="s">
        <v>756</v>
      </c>
      <c r="O209" s="76">
        <v>8</v>
      </c>
      <c r="P209" s="76">
        <v>8</v>
      </c>
      <c r="Q209" s="485">
        <f>Fuente!AT213</f>
        <v>0.5</v>
      </c>
      <c r="R209" s="485">
        <f>Fuente!AU213</f>
        <v>0</v>
      </c>
      <c r="S209" s="485">
        <f>Fuente!AV213</f>
        <v>0</v>
      </c>
      <c r="T209" s="485">
        <f>Fuente!AW213</f>
        <v>0</v>
      </c>
      <c r="U209" s="467">
        <f>Fuente!AM213</f>
        <v>0.25</v>
      </c>
      <c r="V209" s="485">
        <f>Fuente!AY213</f>
        <v>2</v>
      </c>
      <c r="W209" s="485">
        <f>Fuente!AZ213</f>
        <v>0</v>
      </c>
      <c r="X209" s="485">
        <f>Fuente!BA213</f>
        <v>0</v>
      </c>
      <c r="Y209" s="485">
        <f>Fuente!BB213</f>
        <v>0</v>
      </c>
      <c r="Z209" s="485">
        <f>Fuente!BC213</f>
        <v>0</v>
      </c>
      <c r="AA209" s="467">
        <f>Fuente!BD213</f>
        <v>0</v>
      </c>
      <c r="AB209" s="477" t="s">
        <v>412</v>
      </c>
      <c r="AC209" s="480" t="s">
        <v>731</v>
      </c>
      <c r="AD209" s="480" t="s">
        <v>659</v>
      </c>
      <c r="AE209" s="477" t="s">
        <v>613</v>
      </c>
      <c r="AF209" s="494" t="s">
        <v>660</v>
      </c>
      <c r="AG209" s="480" t="str">
        <f>Fuente!AB208</f>
        <v>IDERBOL</v>
      </c>
      <c r="AH209" s="81"/>
      <c r="AI209" s="81"/>
      <c r="AJ209" s="81"/>
    </row>
    <row r="210" spans="1:36" ht="141.75" x14ac:dyDescent="0.2">
      <c r="A210" s="76">
        <v>1</v>
      </c>
      <c r="B210" s="350" t="s">
        <v>1746</v>
      </c>
      <c r="C210" s="351" t="s">
        <v>651</v>
      </c>
      <c r="D210" s="350" t="s">
        <v>652</v>
      </c>
      <c r="E210" s="351" t="s">
        <v>742</v>
      </c>
      <c r="F210" s="350" t="s">
        <v>743</v>
      </c>
      <c r="G210" s="352"/>
      <c r="H210" s="352" t="s">
        <v>744</v>
      </c>
      <c r="I210" s="350" t="s">
        <v>745</v>
      </c>
      <c r="J210" s="484">
        <v>0.22</v>
      </c>
      <c r="K210" s="484">
        <v>0.44</v>
      </c>
      <c r="L210" s="486"/>
      <c r="M210" s="350" t="s">
        <v>757</v>
      </c>
      <c r="N210" s="350" t="s">
        <v>758</v>
      </c>
      <c r="O210" s="76">
        <v>6660</v>
      </c>
      <c r="P210" s="76">
        <v>16444</v>
      </c>
      <c r="Q210" s="485">
        <f>Fuente!AT214</f>
        <v>13696</v>
      </c>
      <c r="R210" s="485">
        <f>Fuente!AU214</f>
        <v>0</v>
      </c>
      <c r="S210" s="485">
        <f>Fuente!AV214</f>
        <v>0</v>
      </c>
      <c r="T210" s="485">
        <f>Fuente!AW214</f>
        <v>0</v>
      </c>
      <c r="U210" s="467">
        <f>Fuente!AM214</f>
        <v>0.83288737533446855</v>
      </c>
      <c r="V210" s="485">
        <f>Fuente!AY214</f>
        <v>16444</v>
      </c>
      <c r="W210" s="485">
        <f>Fuente!AZ214</f>
        <v>0</v>
      </c>
      <c r="X210" s="485">
        <f>Fuente!BA214</f>
        <v>0</v>
      </c>
      <c r="Y210" s="485">
        <f>Fuente!BB214</f>
        <v>0</v>
      </c>
      <c r="Z210" s="485">
        <f>Fuente!BC214</f>
        <v>0</v>
      </c>
      <c r="AA210" s="467">
        <f>Fuente!BD214</f>
        <v>0</v>
      </c>
      <c r="AB210" s="477" t="s">
        <v>412</v>
      </c>
      <c r="AC210" s="480" t="s">
        <v>748</v>
      </c>
      <c r="AD210" s="480" t="s">
        <v>659</v>
      </c>
      <c r="AE210" s="477" t="s">
        <v>613</v>
      </c>
      <c r="AF210" s="494" t="s">
        <v>660</v>
      </c>
      <c r="AG210" s="480" t="str">
        <f>Fuente!AB209</f>
        <v>IDERBOL</v>
      </c>
      <c r="AH210" s="81"/>
      <c r="AI210" s="81"/>
      <c r="AJ210" s="81"/>
    </row>
    <row r="211" spans="1:36" ht="63" x14ac:dyDescent="0.2">
      <c r="A211" s="76">
        <v>1</v>
      </c>
      <c r="B211" s="350" t="s">
        <v>1746</v>
      </c>
      <c r="C211" s="351" t="s">
        <v>759</v>
      </c>
      <c r="D211" s="350" t="s">
        <v>760</v>
      </c>
      <c r="E211" s="351" t="s">
        <v>761</v>
      </c>
      <c r="F211" s="350" t="s">
        <v>762</v>
      </c>
      <c r="G211" s="352"/>
      <c r="H211" s="351" t="s">
        <v>763</v>
      </c>
      <c r="I211" s="350" t="s">
        <v>764</v>
      </c>
      <c r="J211" s="76">
        <v>46</v>
      </c>
      <c r="K211" s="76">
        <v>46</v>
      </c>
      <c r="L211" s="76"/>
      <c r="M211" s="350" t="s">
        <v>765</v>
      </c>
      <c r="N211" s="350" t="s">
        <v>766</v>
      </c>
      <c r="O211" s="76">
        <v>46</v>
      </c>
      <c r="P211" s="491">
        <v>0.8</v>
      </c>
      <c r="Q211" s="485">
        <f>Fuente!AT215</f>
        <v>8.7499999999999994E-2</v>
      </c>
      <c r="R211" s="485">
        <f>Fuente!AU215</f>
        <v>0</v>
      </c>
      <c r="S211" s="485">
        <f>Fuente!AV215</f>
        <v>0</v>
      </c>
      <c r="T211" s="485">
        <f>Fuente!AW215</f>
        <v>0</v>
      </c>
      <c r="U211" s="467">
        <f>Fuente!AM215</f>
        <v>0.43749999999999994</v>
      </c>
      <c r="V211" s="485">
        <f>Fuente!AY215</f>
        <v>10</v>
      </c>
      <c r="W211" s="485">
        <f>Fuente!AZ215</f>
        <v>0</v>
      </c>
      <c r="X211" s="485">
        <f>Fuente!BA215</f>
        <v>0</v>
      </c>
      <c r="Y211" s="485">
        <f>Fuente!BB215</f>
        <v>0</v>
      </c>
      <c r="Z211" s="485">
        <f>Fuente!BC215</f>
        <v>0</v>
      </c>
      <c r="AA211" s="467">
        <f>Fuente!BD215</f>
        <v>0</v>
      </c>
      <c r="AB211" s="477" t="s">
        <v>633</v>
      </c>
      <c r="AC211" s="480" t="s">
        <v>748</v>
      </c>
      <c r="AD211" s="480" t="s">
        <v>659</v>
      </c>
      <c r="AE211" s="477" t="s">
        <v>613</v>
      </c>
      <c r="AF211" s="494" t="s">
        <v>660</v>
      </c>
      <c r="AG211" s="480" t="str">
        <f>Fuente!AB210</f>
        <v>IDERBOL</v>
      </c>
      <c r="AH211" s="81"/>
      <c r="AI211" s="81"/>
      <c r="AJ211" s="81"/>
    </row>
    <row r="212" spans="1:36" ht="63" x14ac:dyDescent="0.2">
      <c r="A212" s="76">
        <v>1</v>
      </c>
      <c r="B212" s="350" t="s">
        <v>1746</v>
      </c>
      <c r="C212" s="351" t="s">
        <v>759</v>
      </c>
      <c r="D212" s="350" t="s">
        <v>760</v>
      </c>
      <c r="E212" s="351" t="s">
        <v>761</v>
      </c>
      <c r="F212" s="350" t="s">
        <v>762</v>
      </c>
      <c r="G212" s="352"/>
      <c r="H212" s="351" t="s">
        <v>769</v>
      </c>
      <c r="I212" s="350" t="s">
        <v>770</v>
      </c>
      <c r="J212" s="76">
        <v>0</v>
      </c>
      <c r="K212" s="76">
        <v>1</v>
      </c>
      <c r="L212" s="76"/>
      <c r="M212" s="350" t="s">
        <v>771</v>
      </c>
      <c r="N212" s="350" t="s">
        <v>772</v>
      </c>
      <c r="O212" s="76">
        <v>0</v>
      </c>
      <c r="P212" s="351">
        <v>1</v>
      </c>
      <c r="Q212" s="485">
        <f>Fuente!AT216</f>
        <v>0</v>
      </c>
      <c r="R212" s="485">
        <f>Fuente!AU216</f>
        <v>0</v>
      </c>
      <c r="S212" s="485">
        <f>Fuente!AV216</f>
        <v>0</v>
      </c>
      <c r="T212" s="485">
        <f>Fuente!AW216</f>
        <v>0</v>
      </c>
      <c r="U212" s="467">
        <f>Fuente!AM216</f>
        <v>0</v>
      </c>
      <c r="V212" s="485">
        <f>Fuente!AY216</f>
        <v>1</v>
      </c>
      <c r="W212" s="485">
        <f>Fuente!AZ216</f>
        <v>0</v>
      </c>
      <c r="X212" s="485">
        <f>Fuente!BA216</f>
        <v>0</v>
      </c>
      <c r="Y212" s="485">
        <f>Fuente!BB216</f>
        <v>0</v>
      </c>
      <c r="Z212" s="485">
        <f>Fuente!BC216</f>
        <v>0</v>
      </c>
      <c r="AA212" s="467">
        <f>Fuente!BD216</f>
        <v>0</v>
      </c>
      <c r="AB212" s="477" t="s">
        <v>420</v>
      </c>
      <c r="AC212" s="480" t="s">
        <v>748</v>
      </c>
      <c r="AD212" s="480" t="s">
        <v>659</v>
      </c>
      <c r="AE212" s="477" t="s">
        <v>613</v>
      </c>
      <c r="AF212" s="494" t="s">
        <v>660</v>
      </c>
      <c r="AG212" s="480" t="str">
        <f>Fuente!AB211</f>
        <v>IDERBOL</v>
      </c>
      <c r="AH212" s="81"/>
      <c r="AI212" s="81"/>
      <c r="AJ212" s="81"/>
    </row>
    <row r="213" spans="1:36" ht="78.75" x14ac:dyDescent="0.2">
      <c r="A213" s="76">
        <v>1</v>
      </c>
      <c r="B213" s="350" t="s">
        <v>1746</v>
      </c>
      <c r="C213" s="351" t="s">
        <v>759</v>
      </c>
      <c r="D213" s="350" t="s">
        <v>760</v>
      </c>
      <c r="E213" s="351" t="s">
        <v>761</v>
      </c>
      <c r="F213" s="350" t="s">
        <v>762</v>
      </c>
      <c r="G213" s="352"/>
      <c r="H213" s="351" t="s">
        <v>773</v>
      </c>
      <c r="I213" s="350" t="s">
        <v>774</v>
      </c>
      <c r="J213" s="76">
        <v>9</v>
      </c>
      <c r="K213" s="76">
        <v>4</v>
      </c>
      <c r="L213" s="76"/>
      <c r="M213" s="350" t="s">
        <v>775</v>
      </c>
      <c r="N213" s="350" t="s">
        <v>776</v>
      </c>
      <c r="O213" s="76">
        <v>2</v>
      </c>
      <c r="P213" s="351">
        <v>1</v>
      </c>
      <c r="Q213" s="485">
        <f>Fuente!AT217</f>
        <v>0</v>
      </c>
      <c r="R213" s="485">
        <f>Fuente!AU217</f>
        <v>0</v>
      </c>
      <c r="S213" s="485">
        <f>Fuente!AV217</f>
        <v>0</v>
      </c>
      <c r="T213" s="485">
        <f>Fuente!AW217</f>
        <v>0</v>
      </c>
      <c r="U213" s="467">
        <f>Fuente!AM217</f>
        <v>0</v>
      </c>
      <c r="V213" s="485" t="str">
        <f>Fuente!AY217</f>
        <v>NP</v>
      </c>
      <c r="W213" s="485">
        <f>Fuente!AZ217</f>
        <v>0</v>
      </c>
      <c r="X213" s="485">
        <f>Fuente!BA217</f>
        <v>0</v>
      </c>
      <c r="Y213" s="485">
        <f>Fuente!BB217</f>
        <v>0</v>
      </c>
      <c r="Z213" s="485">
        <f>Fuente!BC217</f>
        <v>0</v>
      </c>
      <c r="AA213" s="467" t="str">
        <f>Fuente!BD217</f>
        <v>NP</v>
      </c>
      <c r="AB213" s="477" t="s">
        <v>420</v>
      </c>
      <c r="AC213" s="480" t="s">
        <v>748</v>
      </c>
      <c r="AD213" s="480" t="s">
        <v>659</v>
      </c>
      <c r="AE213" s="477" t="s">
        <v>613</v>
      </c>
      <c r="AF213" s="494" t="s">
        <v>660</v>
      </c>
      <c r="AG213" s="480" t="str">
        <f>Fuente!AB212</f>
        <v>IDERBOL</v>
      </c>
      <c r="AH213" s="81"/>
      <c r="AI213" s="81"/>
      <c r="AJ213" s="81"/>
    </row>
    <row r="214" spans="1:36" ht="63" x14ac:dyDescent="0.2">
      <c r="A214" s="76">
        <v>1</v>
      </c>
      <c r="B214" s="350" t="s">
        <v>1746</v>
      </c>
      <c r="C214" s="351" t="s">
        <v>759</v>
      </c>
      <c r="D214" s="350" t="s">
        <v>760</v>
      </c>
      <c r="E214" s="351" t="s">
        <v>761</v>
      </c>
      <c r="F214" s="350" t="s">
        <v>762</v>
      </c>
      <c r="G214" s="352"/>
      <c r="H214" s="352" t="s">
        <v>777</v>
      </c>
      <c r="I214" s="350" t="s">
        <v>778</v>
      </c>
      <c r="J214" s="484">
        <v>1</v>
      </c>
      <c r="K214" s="484">
        <v>1</v>
      </c>
      <c r="L214" s="484"/>
      <c r="M214" s="350" t="s">
        <v>779</v>
      </c>
      <c r="N214" s="350" t="s">
        <v>780</v>
      </c>
      <c r="O214" s="76">
        <v>0</v>
      </c>
      <c r="P214" s="351">
        <v>1</v>
      </c>
      <c r="Q214" s="485">
        <f>Fuente!AT218</f>
        <v>0.25</v>
      </c>
      <c r="R214" s="485">
        <f>Fuente!AU218</f>
        <v>0</v>
      </c>
      <c r="S214" s="485">
        <f>Fuente!AV218</f>
        <v>0</v>
      </c>
      <c r="T214" s="485">
        <f>Fuente!AW218</f>
        <v>0</v>
      </c>
      <c r="U214" s="467">
        <f>Fuente!AM218</f>
        <v>0.8</v>
      </c>
      <c r="V214" s="485">
        <f>Fuente!AY218</f>
        <v>0.2</v>
      </c>
      <c r="W214" s="485">
        <f>Fuente!AZ218</f>
        <v>0.2</v>
      </c>
      <c r="X214" s="485">
        <f>Fuente!BA218</f>
        <v>0</v>
      </c>
      <c r="Y214" s="485">
        <f>Fuente!BB218</f>
        <v>0</v>
      </c>
      <c r="Z214" s="485">
        <f>Fuente!BC218</f>
        <v>0</v>
      </c>
      <c r="AA214" s="467">
        <f>Fuente!BD218</f>
        <v>1</v>
      </c>
      <c r="AB214" s="477" t="s">
        <v>420</v>
      </c>
      <c r="AC214" s="480"/>
      <c r="AD214" s="480" t="s">
        <v>659</v>
      </c>
      <c r="AE214" s="477" t="s">
        <v>613</v>
      </c>
      <c r="AF214" s="494" t="s">
        <v>660</v>
      </c>
      <c r="AG214" s="480" t="str">
        <f>Fuente!AB213</f>
        <v>IDERBOL</v>
      </c>
      <c r="AH214" s="81"/>
      <c r="AI214" s="81"/>
      <c r="AJ214" s="81"/>
    </row>
    <row r="215" spans="1:36" ht="63" x14ac:dyDescent="0.2">
      <c r="A215" s="76">
        <v>1</v>
      </c>
      <c r="B215" s="350" t="s">
        <v>1746</v>
      </c>
      <c r="C215" s="351" t="s">
        <v>759</v>
      </c>
      <c r="D215" s="350" t="s">
        <v>760</v>
      </c>
      <c r="E215" s="351" t="s">
        <v>761</v>
      </c>
      <c r="F215" s="350" t="s">
        <v>762</v>
      </c>
      <c r="G215" s="352"/>
      <c r="H215" s="352" t="s">
        <v>781</v>
      </c>
      <c r="I215" s="350" t="s">
        <v>782</v>
      </c>
      <c r="J215" s="76">
        <v>4</v>
      </c>
      <c r="K215" s="76">
        <v>20</v>
      </c>
      <c r="L215" s="189"/>
      <c r="M215" s="350" t="s">
        <v>783</v>
      </c>
      <c r="N215" s="350" t="s">
        <v>784</v>
      </c>
      <c r="O215" s="76">
        <v>4</v>
      </c>
      <c r="P215" s="351">
        <v>20</v>
      </c>
      <c r="Q215" s="485">
        <f>Fuente!AT219</f>
        <v>13</v>
      </c>
      <c r="R215" s="485">
        <f>Fuente!AU219</f>
        <v>0</v>
      </c>
      <c r="S215" s="485">
        <f>Fuente!AV219</f>
        <v>0</v>
      </c>
      <c r="T215" s="485">
        <f>Fuente!AW219</f>
        <v>0</v>
      </c>
      <c r="U215" s="467">
        <f>Fuente!AM219</f>
        <v>0.6</v>
      </c>
      <c r="V215" s="485">
        <f>Fuente!AY219</f>
        <v>4</v>
      </c>
      <c r="W215" s="485">
        <f>Fuente!AZ219</f>
        <v>1</v>
      </c>
      <c r="X215" s="485">
        <f>Fuente!BA219</f>
        <v>0</v>
      </c>
      <c r="Y215" s="485">
        <f>Fuente!BB219</f>
        <v>0</v>
      </c>
      <c r="Z215" s="485">
        <f>Fuente!BC219</f>
        <v>0</v>
      </c>
      <c r="AA215" s="467">
        <f>Fuente!BD219</f>
        <v>0.25</v>
      </c>
      <c r="AB215" s="477" t="s">
        <v>412</v>
      </c>
      <c r="AC215" s="480" t="s">
        <v>748</v>
      </c>
      <c r="AD215" s="480" t="s">
        <v>659</v>
      </c>
      <c r="AE215" s="477" t="s">
        <v>613</v>
      </c>
      <c r="AF215" s="494" t="s">
        <v>660</v>
      </c>
      <c r="AG215" s="480" t="str">
        <f>Fuente!AB214</f>
        <v>IDERBOL</v>
      </c>
      <c r="AH215" s="81"/>
      <c r="AI215" s="81"/>
      <c r="AJ215" s="81"/>
    </row>
    <row r="216" spans="1:36" ht="47.25" x14ac:dyDescent="0.2">
      <c r="A216" s="76">
        <v>1</v>
      </c>
      <c r="B216" s="350" t="s">
        <v>1746</v>
      </c>
      <c r="C216" s="351" t="s">
        <v>759</v>
      </c>
      <c r="D216" s="350" t="s">
        <v>760</v>
      </c>
      <c r="E216" s="351" t="s">
        <v>761</v>
      </c>
      <c r="F216" s="350" t="s">
        <v>762</v>
      </c>
      <c r="G216" s="352"/>
      <c r="H216" s="351" t="s">
        <v>785</v>
      </c>
      <c r="I216" s="350" t="s">
        <v>786</v>
      </c>
      <c r="J216" s="484">
        <v>0.5</v>
      </c>
      <c r="K216" s="484">
        <v>1</v>
      </c>
      <c r="L216" s="484"/>
      <c r="M216" s="350" t="s">
        <v>787</v>
      </c>
      <c r="N216" s="350" t="s">
        <v>788</v>
      </c>
      <c r="O216" s="76">
        <v>1</v>
      </c>
      <c r="P216" s="351">
        <v>2</v>
      </c>
      <c r="Q216" s="485">
        <f>Fuente!AT220</f>
        <v>0.96000000000000008</v>
      </c>
      <c r="R216" s="485">
        <f>Fuente!AU220</f>
        <v>0</v>
      </c>
      <c r="S216" s="485">
        <f>Fuente!AV220</f>
        <v>0</v>
      </c>
      <c r="T216" s="485">
        <f>Fuente!AW220</f>
        <v>0</v>
      </c>
      <c r="U216" s="467">
        <f>Fuente!AM220</f>
        <v>0.4</v>
      </c>
      <c r="V216" s="485">
        <f>Fuente!AY220</f>
        <v>0.2</v>
      </c>
      <c r="W216" s="485">
        <f>Fuente!AZ220</f>
        <v>0.16</v>
      </c>
      <c r="X216" s="485">
        <f>Fuente!BA220</f>
        <v>0</v>
      </c>
      <c r="Y216" s="485">
        <f>Fuente!BB220</f>
        <v>0</v>
      </c>
      <c r="Z216" s="485">
        <f>Fuente!BC220</f>
        <v>0</v>
      </c>
      <c r="AA216" s="467">
        <f>Fuente!BD220</f>
        <v>0.79999999999999993</v>
      </c>
      <c r="AB216" s="480" t="s">
        <v>78</v>
      </c>
      <c r="AC216" s="477"/>
      <c r="AD216" s="477" t="s">
        <v>767</v>
      </c>
      <c r="AE216" s="477" t="s">
        <v>625</v>
      </c>
      <c r="AF216" s="482">
        <v>11</v>
      </c>
      <c r="AG216" s="480" t="str">
        <f>Fuente!AB215</f>
        <v>ICULTUR</v>
      </c>
      <c r="AH216" s="81"/>
      <c r="AI216" s="81"/>
      <c r="AJ216" s="81"/>
    </row>
    <row r="217" spans="1:36" ht="47.25" x14ac:dyDescent="0.2">
      <c r="A217" s="76">
        <v>1</v>
      </c>
      <c r="B217" s="350" t="s">
        <v>1746</v>
      </c>
      <c r="C217" s="351" t="s">
        <v>759</v>
      </c>
      <c r="D217" s="350" t="s">
        <v>760</v>
      </c>
      <c r="E217" s="351" t="s">
        <v>789</v>
      </c>
      <c r="F217" s="350" t="s">
        <v>790</v>
      </c>
      <c r="G217" s="352"/>
      <c r="H217" s="351" t="s">
        <v>791</v>
      </c>
      <c r="I217" s="350" t="s">
        <v>792</v>
      </c>
      <c r="J217" s="76">
        <v>6</v>
      </c>
      <c r="K217" s="76">
        <v>6</v>
      </c>
      <c r="L217" s="76"/>
      <c r="M217" s="350" t="s">
        <v>793</v>
      </c>
      <c r="N217" s="350" t="s">
        <v>794</v>
      </c>
      <c r="O217" s="351">
        <v>6</v>
      </c>
      <c r="P217" s="351">
        <v>6</v>
      </c>
      <c r="Q217" s="485">
        <f>Fuente!AT221</f>
        <v>2.25</v>
      </c>
      <c r="R217" s="485">
        <f>Fuente!AU221</f>
        <v>0</v>
      </c>
      <c r="S217" s="485">
        <f>Fuente!AV221</f>
        <v>0</v>
      </c>
      <c r="T217" s="485">
        <f>Fuente!AW221</f>
        <v>0</v>
      </c>
      <c r="U217" s="467">
        <f>Fuente!AM221</f>
        <v>1</v>
      </c>
      <c r="V217" s="485">
        <f>Fuente!AY221</f>
        <v>6</v>
      </c>
      <c r="W217" s="485">
        <f>Fuente!AZ221</f>
        <v>3</v>
      </c>
      <c r="X217" s="485">
        <f>Fuente!BA221</f>
        <v>0</v>
      </c>
      <c r="Y217" s="485">
        <f>Fuente!BB221</f>
        <v>0</v>
      </c>
      <c r="Z217" s="485">
        <f>Fuente!BC221</f>
        <v>0</v>
      </c>
      <c r="AA217" s="467">
        <f>Fuente!BD221</f>
        <v>0.5</v>
      </c>
      <c r="AB217" s="477" t="s">
        <v>49</v>
      </c>
      <c r="AC217" s="477"/>
      <c r="AD217" s="477" t="s">
        <v>767</v>
      </c>
      <c r="AE217" s="480" t="s">
        <v>625</v>
      </c>
      <c r="AF217" s="482">
        <v>11</v>
      </c>
      <c r="AG217" s="480" t="str">
        <f>Fuente!AB216</f>
        <v>ICULTUR</v>
      </c>
      <c r="AH217" s="81"/>
      <c r="AI217" s="81"/>
      <c r="AJ217" s="81"/>
    </row>
    <row r="218" spans="1:36" ht="47.25" x14ac:dyDescent="0.2">
      <c r="A218" s="76">
        <v>1</v>
      </c>
      <c r="B218" s="350" t="s">
        <v>1746</v>
      </c>
      <c r="C218" s="351" t="s">
        <v>759</v>
      </c>
      <c r="D218" s="350" t="s">
        <v>760</v>
      </c>
      <c r="E218" s="351" t="s">
        <v>789</v>
      </c>
      <c r="F218" s="350" t="s">
        <v>790</v>
      </c>
      <c r="G218" s="352"/>
      <c r="H218" s="351" t="s">
        <v>795</v>
      </c>
      <c r="I218" s="350" t="s">
        <v>796</v>
      </c>
      <c r="J218" s="76">
        <v>6</v>
      </c>
      <c r="K218" s="76">
        <v>1</v>
      </c>
      <c r="L218" s="76"/>
      <c r="M218" s="350" t="s">
        <v>797</v>
      </c>
      <c r="N218" s="350" t="s">
        <v>796</v>
      </c>
      <c r="O218" s="76">
        <v>6</v>
      </c>
      <c r="P218" s="351">
        <v>1</v>
      </c>
      <c r="Q218" s="485">
        <f>Fuente!AT222</f>
        <v>0</v>
      </c>
      <c r="R218" s="485">
        <f>Fuente!AU222</f>
        <v>0</v>
      </c>
      <c r="S218" s="485">
        <f>Fuente!AV222</f>
        <v>0</v>
      </c>
      <c r="T218" s="485">
        <f>Fuente!AW222</f>
        <v>0</v>
      </c>
      <c r="U218" s="467">
        <f>Fuente!AM222</f>
        <v>0</v>
      </c>
      <c r="V218" s="485" t="str">
        <f>Fuente!AY222</f>
        <v>NP</v>
      </c>
      <c r="W218" s="485">
        <f>Fuente!AZ222</f>
        <v>0</v>
      </c>
      <c r="X218" s="485">
        <f>Fuente!BA222</f>
        <v>0</v>
      </c>
      <c r="Y218" s="485">
        <f>Fuente!BB222</f>
        <v>0</v>
      </c>
      <c r="Z218" s="485">
        <f>Fuente!BC222</f>
        <v>0</v>
      </c>
      <c r="AA218" s="467" t="str">
        <f>Fuente!BD222</f>
        <v>NP</v>
      </c>
      <c r="AB218" s="480" t="s">
        <v>49</v>
      </c>
      <c r="AC218" s="477"/>
      <c r="AD218" s="477" t="s">
        <v>767</v>
      </c>
      <c r="AE218" s="477" t="s">
        <v>625</v>
      </c>
      <c r="AF218" s="482">
        <v>11</v>
      </c>
      <c r="AG218" s="480" t="str">
        <f>Fuente!AB217</f>
        <v>ICULTUR</v>
      </c>
      <c r="AH218" s="81"/>
      <c r="AI218" s="81"/>
      <c r="AJ218" s="81"/>
    </row>
    <row r="219" spans="1:36" ht="110.25" x14ac:dyDescent="0.2">
      <c r="A219" s="76">
        <v>1</v>
      </c>
      <c r="B219" s="350" t="s">
        <v>1746</v>
      </c>
      <c r="C219" s="351" t="s">
        <v>759</v>
      </c>
      <c r="D219" s="350" t="s">
        <v>760</v>
      </c>
      <c r="E219" s="351" t="s">
        <v>789</v>
      </c>
      <c r="F219" s="350" t="s">
        <v>790</v>
      </c>
      <c r="G219" s="352"/>
      <c r="H219" s="351" t="s">
        <v>798</v>
      </c>
      <c r="I219" s="350" t="s">
        <v>799</v>
      </c>
      <c r="J219" s="76" t="s">
        <v>55</v>
      </c>
      <c r="K219" s="76">
        <v>6</v>
      </c>
      <c r="L219" s="189"/>
      <c r="M219" s="350" t="s">
        <v>800</v>
      </c>
      <c r="N219" s="350" t="s">
        <v>799</v>
      </c>
      <c r="O219" s="76">
        <v>1</v>
      </c>
      <c r="P219" s="351">
        <v>6</v>
      </c>
      <c r="Q219" s="485">
        <f>Fuente!AT223</f>
        <v>0</v>
      </c>
      <c r="R219" s="485">
        <f>Fuente!AU223</f>
        <v>0</v>
      </c>
      <c r="S219" s="485">
        <f>Fuente!AV223</f>
        <v>0</v>
      </c>
      <c r="T219" s="485">
        <f>Fuente!AW223</f>
        <v>0</v>
      </c>
      <c r="U219" s="467">
        <f>Fuente!AM223</f>
        <v>0</v>
      </c>
      <c r="V219" s="485">
        <f>Fuente!AY223</f>
        <v>1</v>
      </c>
      <c r="W219" s="485">
        <f>Fuente!AZ223</f>
        <v>0</v>
      </c>
      <c r="X219" s="485">
        <f>Fuente!BA223</f>
        <v>0</v>
      </c>
      <c r="Y219" s="485">
        <f>Fuente!BB223</f>
        <v>0</v>
      </c>
      <c r="Z219" s="485">
        <f>Fuente!BC223</f>
        <v>0</v>
      </c>
      <c r="AA219" s="467">
        <f>Fuente!BD223</f>
        <v>0</v>
      </c>
      <c r="AB219" s="477" t="s">
        <v>78</v>
      </c>
      <c r="AC219" s="477"/>
      <c r="AD219" s="477" t="s">
        <v>767</v>
      </c>
      <c r="AE219" s="477" t="s">
        <v>625</v>
      </c>
      <c r="AF219" s="482">
        <v>11</v>
      </c>
      <c r="AG219" s="480" t="str">
        <f>Fuente!AB218</f>
        <v>ICULTUR</v>
      </c>
      <c r="AH219" s="81"/>
      <c r="AI219" s="81"/>
      <c r="AJ219" s="81"/>
    </row>
    <row r="220" spans="1:36" ht="110.25" x14ac:dyDescent="0.2">
      <c r="A220" s="76">
        <v>1</v>
      </c>
      <c r="B220" s="350" t="s">
        <v>1746</v>
      </c>
      <c r="C220" s="351" t="s">
        <v>759</v>
      </c>
      <c r="D220" s="350" t="s">
        <v>760</v>
      </c>
      <c r="E220" s="351" t="s">
        <v>789</v>
      </c>
      <c r="F220" s="350" t="s">
        <v>790</v>
      </c>
      <c r="G220" s="352"/>
      <c r="H220" s="352" t="s">
        <v>801</v>
      </c>
      <c r="I220" s="350" t="s">
        <v>802</v>
      </c>
      <c r="J220" s="76">
        <v>1</v>
      </c>
      <c r="K220" s="76">
        <v>3</v>
      </c>
      <c r="L220" s="189"/>
      <c r="M220" s="350" t="s">
        <v>803</v>
      </c>
      <c r="N220" s="350" t="s">
        <v>804</v>
      </c>
      <c r="O220" s="351">
        <v>1</v>
      </c>
      <c r="P220" s="351">
        <v>3</v>
      </c>
      <c r="Q220" s="485">
        <f>Fuente!AT224</f>
        <v>3</v>
      </c>
      <c r="R220" s="485">
        <f>Fuente!AU224</f>
        <v>0</v>
      </c>
      <c r="S220" s="485">
        <f>Fuente!AV224</f>
        <v>0</v>
      </c>
      <c r="T220" s="485">
        <f>Fuente!AW224</f>
        <v>0</v>
      </c>
      <c r="U220" s="467">
        <f>Fuente!AM224</f>
        <v>0.66666666666666663</v>
      </c>
      <c r="V220" s="485">
        <f>Fuente!AY224</f>
        <v>1</v>
      </c>
      <c r="W220" s="485">
        <f>Fuente!AZ224</f>
        <v>1</v>
      </c>
      <c r="X220" s="485">
        <f>Fuente!BA224</f>
        <v>0</v>
      </c>
      <c r="Y220" s="485">
        <f>Fuente!BB224</f>
        <v>0</v>
      </c>
      <c r="Z220" s="485">
        <f>Fuente!BC224</f>
        <v>0</v>
      </c>
      <c r="AA220" s="467">
        <f>Fuente!BD224</f>
        <v>1</v>
      </c>
      <c r="AB220" s="477" t="s">
        <v>49</v>
      </c>
      <c r="AC220" s="477"/>
      <c r="AD220" s="477" t="s">
        <v>767</v>
      </c>
      <c r="AE220" s="477" t="s">
        <v>625</v>
      </c>
      <c r="AF220" s="482">
        <v>11</v>
      </c>
      <c r="AG220" s="480" t="str">
        <f>Fuente!AB219</f>
        <v>ICULTUR</v>
      </c>
      <c r="AH220" s="81"/>
      <c r="AI220" s="81"/>
      <c r="AJ220" s="81"/>
    </row>
    <row r="221" spans="1:36" ht="78.75" x14ac:dyDescent="0.2">
      <c r="A221" s="76">
        <v>1</v>
      </c>
      <c r="B221" s="350" t="s">
        <v>1746</v>
      </c>
      <c r="C221" s="351" t="s">
        <v>759</v>
      </c>
      <c r="D221" s="350" t="s">
        <v>760</v>
      </c>
      <c r="E221" s="351" t="s">
        <v>789</v>
      </c>
      <c r="F221" s="350" t="s">
        <v>790</v>
      </c>
      <c r="G221" s="352"/>
      <c r="H221" s="352" t="s">
        <v>805</v>
      </c>
      <c r="I221" s="350" t="s">
        <v>806</v>
      </c>
      <c r="J221" s="76">
        <v>7</v>
      </c>
      <c r="K221" s="76">
        <v>8</v>
      </c>
      <c r="L221" s="189"/>
      <c r="M221" s="350" t="s">
        <v>807</v>
      </c>
      <c r="N221" s="350" t="s">
        <v>808</v>
      </c>
      <c r="O221" s="351">
        <v>7</v>
      </c>
      <c r="P221" s="351">
        <v>1</v>
      </c>
      <c r="Q221" s="485">
        <f>Fuente!AT225</f>
        <v>0</v>
      </c>
      <c r="R221" s="485">
        <f>Fuente!AU225</f>
        <v>0</v>
      </c>
      <c r="S221" s="485">
        <f>Fuente!AV225</f>
        <v>0</v>
      </c>
      <c r="T221" s="485">
        <f>Fuente!AW225</f>
        <v>0</v>
      </c>
      <c r="U221" s="467">
        <f>Fuente!AM225</f>
        <v>0</v>
      </c>
      <c r="V221" s="485">
        <f>Fuente!AY225</f>
        <v>2</v>
      </c>
      <c r="W221" s="485">
        <f>Fuente!AZ225</f>
        <v>0</v>
      </c>
      <c r="X221" s="485">
        <f>Fuente!BA225</f>
        <v>0</v>
      </c>
      <c r="Y221" s="485">
        <f>Fuente!BB225</f>
        <v>0</v>
      </c>
      <c r="Z221" s="485">
        <f>Fuente!BC225</f>
        <v>0</v>
      </c>
      <c r="AA221" s="467">
        <f>Fuente!BD225</f>
        <v>0</v>
      </c>
      <c r="AB221" s="477" t="s">
        <v>49</v>
      </c>
      <c r="AC221" s="477"/>
      <c r="AD221" s="477" t="s">
        <v>767</v>
      </c>
      <c r="AE221" s="477" t="s">
        <v>625</v>
      </c>
      <c r="AF221" s="482">
        <v>11</v>
      </c>
      <c r="AG221" s="480" t="str">
        <f>Fuente!AB220</f>
        <v>ICULTUR</v>
      </c>
      <c r="AH221" s="81"/>
      <c r="AI221" s="81"/>
      <c r="AJ221" s="81"/>
    </row>
    <row r="222" spans="1:36" ht="47.25" x14ac:dyDescent="0.2">
      <c r="A222" s="76">
        <v>1</v>
      </c>
      <c r="B222" s="350" t="s">
        <v>1746</v>
      </c>
      <c r="C222" s="351" t="s">
        <v>759</v>
      </c>
      <c r="D222" s="350" t="s">
        <v>760</v>
      </c>
      <c r="E222" s="351" t="s">
        <v>789</v>
      </c>
      <c r="F222" s="350" t="s">
        <v>790</v>
      </c>
      <c r="G222" s="352"/>
      <c r="H222" s="351" t="s">
        <v>809</v>
      </c>
      <c r="I222" s="350" t="s">
        <v>810</v>
      </c>
      <c r="J222" s="76" t="s">
        <v>55</v>
      </c>
      <c r="K222" s="76">
        <v>46</v>
      </c>
      <c r="L222" s="76"/>
      <c r="M222" s="350" t="s">
        <v>811</v>
      </c>
      <c r="N222" s="350" t="s">
        <v>812</v>
      </c>
      <c r="O222" s="76" t="s">
        <v>55</v>
      </c>
      <c r="P222" s="351">
        <v>46</v>
      </c>
      <c r="Q222" s="485">
        <f>Fuente!AT226</f>
        <v>35</v>
      </c>
      <c r="R222" s="485">
        <f>Fuente!AU226</f>
        <v>0</v>
      </c>
      <c r="S222" s="485">
        <f>Fuente!AV226</f>
        <v>0</v>
      </c>
      <c r="T222" s="485">
        <f>Fuente!AW226</f>
        <v>0</v>
      </c>
      <c r="U222" s="467">
        <f>Fuente!AM226</f>
        <v>0.54347826086956519</v>
      </c>
      <c r="V222" s="485">
        <f>Fuente!AY226</f>
        <v>10</v>
      </c>
      <c r="W222" s="485">
        <f>Fuente!AZ226</f>
        <v>10</v>
      </c>
      <c r="X222" s="485">
        <f>Fuente!BA226</f>
        <v>0</v>
      </c>
      <c r="Y222" s="485">
        <f>Fuente!BB226</f>
        <v>0</v>
      </c>
      <c r="Z222" s="485">
        <f>Fuente!BC226</f>
        <v>0</v>
      </c>
      <c r="AA222" s="467">
        <f>Fuente!BD226</f>
        <v>1</v>
      </c>
      <c r="AB222" s="480" t="s">
        <v>78</v>
      </c>
      <c r="AC222" s="477"/>
      <c r="AD222" s="477" t="s">
        <v>767</v>
      </c>
      <c r="AE222" s="477" t="s">
        <v>625</v>
      </c>
      <c r="AF222" s="482">
        <v>11</v>
      </c>
      <c r="AG222" s="480" t="str">
        <f>Fuente!AB221</f>
        <v>ICULTUR</v>
      </c>
      <c r="AH222" s="81"/>
      <c r="AI222" s="81"/>
      <c r="AJ222" s="81"/>
    </row>
    <row r="223" spans="1:36" ht="63" x14ac:dyDescent="0.2">
      <c r="A223" s="76">
        <v>1</v>
      </c>
      <c r="B223" s="350" t="s">
        <v>1746</v>
      </c>
      <c r="C223" s="351" t="s">
        <v>759</v>
      </c>
      <c r="D223" s="350" t="s">
        <v>760</v>
      </c>
      <c r="E223" s="351" t="s">
        <v>789</v>
      </c>
      <c r="F223" s="350" t="s">
        <v>790</v>
      </c>
      <c r="G223" s="352"/>
      <c r="H223" s="351" t="s">
        <v>813</v>
      </c>
      <c r="I223" s="350" t="s">
        <v>814</v>
      </c>
      <c r="J223" s="76">
        <v>1000</v>
      </c>
      <c r="K223" s="76">
        <v>1500</v>
      </c>
      <c r="L223" s="76"/>
      <c r="M223" s="350" t="s">
        <v>815</v>
      </c>
      <c r="N223" s="350" t="s">
        <v>816</v>
      </c>
      <c r="O223" s="308">
        <v>1000</v>
      </c>
      <c r="P223" s="351">
        <v>1500</v>
      </c>
      <c r="Q223" s="485">
        <f>Fuente!AT227</f>
        <v>138</v>
      </c>
      <c r="R223" s="485">
        <f>Fuente!AU227</f>
        <v>0</v>
      </c>
      <c r="S223" s="485">
        <f>Fuente!AV227</f>
        <v>0</v>
      </c>
      <c r="T223" s="485">
        <f>Fuente!AW227</f>
        <v>0</v>
      </c>
      <c r="U223" s="467">
        <f>Fuente!AM227</f>
        <v>0</v>
      </c>
      <c r="V223" s="485">
        <f>Fuente!AY227</f>
        <v>138</v>
      </c>
      <c r="W223" s="485">
        <f>Fuente!AZ227</f>
        <v>138</v>
      </c>
      <c r="X223" s="485">
        <f>Fuente!BA227</f>
        <v>0</v>
      </c>
      <c r="Y223" s="485">
        <f>Fuente!BB227</f>
        <v>0</v>
      </c>
      <c r="Z223" s="485">
        <f>Fuente!BC227</f>
        <v>0</v>
      </c>
      <c r="AA223" s="467">
        <f>Fuente!BD227</f>
        <v>1</v>
      </c>
      <c r="AB223" s="477" t="s">
        <v>49</v>
      </c>
      <c r="AC223" s="477"/>
      <c r="AD223" s="477" t="s">
        <v>767</v>
      </c>
      <c r="AE223" s="477" t="s">
        <v>625</v>
      </c>
      <c r="AF223" s="482">
        <v>11</v>
      </c>
      <c r="AG223" s="480" t="str">
        <f>Fuente!AB222</f>
        <v>ICULTUR</v>
      </c>
      <c r="AH223" s="81"/>
      <c r="AI223" s="81"/>
      <c r="AJ223" s="81"/>
    </row>
    <row r="224" spans="1:36" ht="78.75" x14ac:dyDescent="0.2">
      <c r="A224" s="76">
        <v>1</v>
      </c>
      <c r="B224" s="350" t="s">
        <v>1746</v>
      </c>
      <c r="C224" s="351" t="s">
        <v>759</v>
      </c>
      <c r="D224" s="350" t="s">
        <v>760</v>
      </c>
      <c r="E224" s="351" t="s">
        <v>789</v>
      </c>
      <c r="F224" s="350" t="s">
        <v>790</v>
      </c>
      <c r="G224" s="352"/>
      <c r="H224" s="352" t="s">
        <v>817</v>
      </c>
      <c r="I224" s="350" t="s">
        <v>818</v>
      </c>
      <c r="J224" s="76">
        <v>15</v>
      </c>
      <c r="K224" s="76">
        <v>20</v>
      </c>
      <c r="L224" s="76"/>
      <c r="M224" s="350" t="s">
        <v>819</v>
      </c>
      <c r="N224" s="350" t="s">
        <v>820</v>
      </c>
      <c r="O224" s="351">
        <v>15</v>
      </c>
      <c r="P224" s="351">
        <v>20</v>
      </c>
      <c r="Q224" s="485">
        <f>Fuente!AT228</f>
        <v>7</v>
      </c>
      <c r="R224" s="485">
        <f>Fuente!AU228</f>
        <v>0</v>
      </c>
      <c r="S224" s="485">
        <f>Fuente!AV228</f>
        <v>0</v>
      </c>
      <c r="T224" s="485">
        <f>Fuente!AW228</f>
        <v>0</v>
      </c>
      <c r="U224" s="467">
        <f>Fuente!AM228</f>
        <v>0.25</v>
      </c>
      <c r="V224" s="485">
        <f>Fuente!AY228</f>
        <v>5</v>
      </c>
      <c r="W224" s="485">
        <f>Fuente!AZ228</f>
        <v>2</v>
      </c>
      <c r="X224" s="485">
        <f>Fuente!BA228</f>
        <v>0</v>
      </c>
      <c r="Y224" s="485">
        <f>Fuente!BB228</f>
        <v>0</v>
      </c>
      <c r="Z224" s="485">
        <f>Fuente!BC228</f>
        <v>0</v>
      </c>
      <c r="AA224" s="467">
        <f>Fuente!BD228</f>
        <v>0.4</v>
      </c>
      <c r="AB224" s="477" t="s">
        <v>49</v>
      </c>
      <c r="AC224" s="477"/>
      <c r="AD224" s="477" t="s">
        <v>767</v>
      </c>
      <c r="AE224" s="477" t="s">
        <v>625</v>
      </c>
      <c r="AF224" s="482">
        <v>11</v>
      </c>
      <c r="AG224" s="480" t="str">
        <f>Fuente!AB223</f>
        <v>ICULTUR</v>
      </c>
      <c r="AH224" s="81"/>
      <c r="AI224" s="81"/>
      <c r="AJ224" s="81"/>
    </row>
    <row r="225" spans="1:36" ht="47.25" x14ac:dyDescent="0.2">
      <c r="A225" s="76">
        <v>1</v>
      </c>
      <c r="B225" s="350" t="s">
        <v>1746</v>
      </c>
      <c r="C225" s="351" t="s">
        <v>759</v>
      </c>
      <c r="D225" s="350" t="s">
        <v>760</v>
      </c>
      <c r="E225" s="351" t="s">
        <v>789</v>
      </c>
      <c r="F225" s="350" t="s">
        <v>790</v>
      </c>
      <c r="G225" s="352"/>
      <c r="H225" s="352" t="s">
        <v>817</v>
      </c>
      <c r="I225" s="350"/>
      <c r="J225" s="76"/>
      <c r="K225" s="76"/>
      <c r="L225" s="76"/>
      <c r="M225" s="492" t="s">
        <v>1999</v>
      </c>
      <c r="N225" s="350" t="s">
        <v>2016</v>
      </c>
      <c r="O225" s="351">
        <v>1</v>
      </c>
      <c r="P225" s="351">
        <v>45</v>
      </c>
      <c r="Q225" s="485">
        <f>Fuente!AT229</f>
        <v>16</v>
      </c>
      <c r="R225" s="485">
        <f>Fuente!AU229</f>
        <v>0</v>
      </c>
      <c r="S225" s="485">
        <f>Fuente!AV229</f>
        <v>0</v>
      </c>
      <c r="T225" s="485">
        <f>Fuente!AW229</f>
        <v>0</v>
      </c>
      <c r="U225" s="467">
        <f>Fuente!AM229</f>
        <v>0.1111111111111111</v>
      </c>
      <c r="V225" s="485">
        <f>Fuente!AY229</f>
        <v>11</v>
      </c>
      <c r="W225" s="485">
        <f>Fuente!AZ229</f>
        <v>11</v>
      </c>
      <c r="X225" s="485">
        <f>Fuente!BA229</f>
        <v>0</v>
      </c>
      <c r="Y225" s="485">
        <f>Fuente!BB229</f>
        <v>0</v>
      </c>
      <c r="Z225" s="485">
        <f>Fuente!BC229</f>
        <v>0</v>
      </c>
      <c r="AA225" s="467">
        <f>Fuente!BD229</f>
        <v>1</v>
      </c>
      <c r="AB225" s="477" t="s">
        <v>49</v>
      </c>
      <c r="AC225" s="477"/>
      <c r="AD225" s="477" t="s">
        <v>767</v>
      </c>
      <c r="AE225" s="477" t="s">
        <v>625</v>
      </c>
      <c r="AF225" s="482">
        <v>11</v>
      </c>
      <c r="AG225" s="480" t="str">
        <f>Fuente!AB224</f>
        <v>ICULTUR</v>
      </c>
      <c r="AH225" s="81"/>
      <c r="AI225" s="81"/>
      <c r="AJ225" s="81"/>
    </row>
    <row r="226" spans="1:36" ht="63" x14ac:dyDescent="0.2">
      <c r="A226" s="76">
        <v>1</v>
      </c>
      <c r="B226" s="350" t="s">
        <v>1746</v>
      </c>
      <c r="C226" s="351" t="s">
        <v>759</v>
      </c>
      <c r="D226" s="350" t="s">
        <v>760</v>
      </c>
      <c r="E226" s="351" t="s">
        <v>789</v>
      </c>
      <c r="F226" s="350" t="s">
        <v>790</v>
      </c>
      <c r="G226" s="352"/>
      <c r="H226" s="351" t="s">
        <v>821</v>
      </c>
      <c r="I226" s="350" t="s">
        <v>822</v>
      </c>
      <c r="J226" s="76">
        <v>140</v>
      </c>
      <c r="K226" s="76">
        <v>250</v>
      </c>
      <c r="L226" s="76"/>
      <c r="M226" s="350" t="s">
        <v>821</v>
      </c>
      <c r="N226" s="350" t="s">
        <v>823</v>
      </c>
      <c r="O226" s="76">
        <v>140</v>
      </c>
      <c r="P226" s="351">
        <v>250</v>
      </c>
      <c r="Q226" s="485">
        <f>Fuente!AT230</f>
        <v>352</v>
      </c>
      <c r="R226" s="485">
        <f>Fuente!AU230</f>
        <v>0</v>
      </c>
      <c r="S226" s="485">
        <f>Fuente!AV230</f>
        <v>0</v>
      </c>
      <c r="T226" s="485">
        <f>Fuente!AW230</f>
        <v>0</v>
      </c>
      <c r="U226" s="467">
        <f>Fuente!AM230</f>
        <v>1</v>
      </c>
      <c r="V226" s="485">
        <f>Fuente!AY230</f>
        <v>102</v>
      </c>
      <c r="W226" s="485">
        <f>Fuente!AZ230</f>
        <v>102</v>
      </c>
      <c r="X226" s="485">
        <f>Fuente!BA230</f>
        <v>0</v>
      </c>
      <c r="Y226" s="485">
        <f>Fuente!BB230</f>
        <v>0</v>
      </c>
      <c r="Z226" s="485">
        <f>Fuente!BC230</f>
        <v>0</v>
      </c>
      <c r="AA226" s="467">
        <f>Fuente!BD230</f>
        <v>1</v>
      </c>
      <c r="AB226" s="477" t="s">
        <v>49</v>
      </c>
      <c r="AC226" s="477"/>
      <c r="AD226" s="477" t="s">
        <v>767</v>
      </c>
      <c r="AE226" s="477" t="s">
        <v>625</v>
      </c>
      <c r="AF226" s="482">
        <v>11</v>
      </c>
      <c r="AG226" s="480" t="str">
        <f>Fuente!AB225</f>
        <v>ICULTUR</v>
      </c>
      <c r="AH226" s="81"/>
      <c r="AI226" s="81"/>
      <c r="AJ226" s="81"/>
    </row>
    <row r="227" spans="1:36" ht="78.75" x14ac:dyDescent="0.2">
      <c r="A227" s="76">
        <v>1</v>
      </c>
      <c r="B227" s="350" t="s">
        <v>1746</v>
      </c>
      <c r="C227" s="351" t="s">
        <v>759</v>
      </c>
      <c r="D227" s="350" t="s">
        <v>760</v>
      </c>
      <c r="E227" s="351" t="s">
        <v>789</v>
      </c>
      <c r="F227" s="350" t="s">
        <v>790</v>
      </c>
      <c r="G227" s="352"/>
      <c r="H227" s="351" t="s">
        <v>824</v>
      </c>
      <c r="I227" s="350" t="s">
        <v>825</v>
      </c>
      <c r="J227" s="351" t="s">
        <v>55</v>
      </c>
      <c r="K227" s="351">
        <v>200</v>
      </c>
      <c r="L227" s="351"/>
      <c r="M227" s="350" t="s">
        <v>826</v>
      </c>
      <c r="N227" s="350" t="s">
        <v>827</v>
      </c>
      <c r="O227" s="351" t="s">
        <v>55</v>
      </c>
      <c r="P227" s="351">
        <v>200</v>
      </c>
      <c r="Q227" s="485">
        <f>Fuente!AT231</f>
        <v>200</v>
      </c>
      <c r="R227" s="485">
        <f>Fuente!AU231</f>
        <v>0</v>
      </c>
      <c r="S227" s="485">
        <f>Fuente!AV231</f>
        <v>0</v>
      </c>
      <c r="T227" s="485">
        <f>Fuente!AW231</f>
        <v>0</v>
      </c>
      <c r="U227" s="467">
        <f>Fuente!AM231</f>
        <v>1</v>
      </c>
      <c r="V227" s="485">
        <f>Fuente!AY231</f>
        <v>15</v>
      </c>
      <c r="W227" s="485">
        <f>Fuente!AZ231</f>
        <v>0</v>
      </c>
      <c r="X227" s="485">
        <f>Fuente!BA231</f>
        <v>0</v>
      </c>
      <c r="Y227" s="485">
        <f>Fuente!BB231</f>
        <v>0</v>
      </c>
      <c r="Z227" s="485">
        <f>Fuente!BC231</f>
        <v>0</v>
      </c>
      <c r="AA227" s="467">
        <f>Fuente!BD231</f>
        <v>0</v>
      </c>
      <c r="AB227" s="477" t="s">
        <v>49</v>
      </c>
      <c r="AC227" s="477"/>
      <c r="AD227" s="477" t="s">
        <v>767</v>
      </c>
      <c r="AE227" s="477" t="s">
        <v>625</v>
      </c>
      <c r="AF227" s="482">
        <v>11</v>
      </c>
      <c r="AG227" s="480" t="str">
        <f>Fuente!AB226</f>
        <v>ICULTUR</v>
      </c>
      <c r="AH227" s="81"/>
      <c r="AI227" s="81"/>
      <c r="AJ227" s="81"/>
    </row>
    <row r="228" spans="1:36" ht="94.5" x14ac:dyDescent="0.2">
      <c r="A228" s="76">
        <v>1</v>
      </c>
      <c r="B228" s="350" t="s">
        <v>1746</v>
      </c>
      <c r="C228" s="351" t="s">
        <v>759</v>
      </c>
      <c r="D228" s="350" t="s">
        <v>760</v>
      </c>
      <c r="E228" s="351" t="s">
        <v>789</v>
      </c>
      <c r="F228" s="350" t="s">
        <v>790</v>
      </c>
      <c r="G228" s="352"/>
      <c r="H228" s="351" t="s">
        <v>828</v>
      </c>
      <c r="I228" s="350" t="s">
        <v>829</v>
      </c>
      <c r="J228" s="76" t="s">
        <v>55</v>
      </c>
      <c r="K228" s="76">
        <v>4500</v>
      </c>
      <c r="L228" s="76"/>
      <c r="M228" s="350" t="s">
        <v>830</v>
      </c>
      <c r="N228" s="350" t="s">
        <v>831</v>
      </c>
      <c r="O228" s="351" t="s">
        <v>55</v>
      </c>
      <c r="P228" s="351">
        <v>4500</v>
      </c>
      <c r="Q228" s="485">
        <f>Fuente!AT232</f>
        <v>4500</v>
      </c>
      <c r="R228" s="485">
        <f>Fuente!AU232</f>
        <v>0</v>
      </c>
      <c r="S228" s="485">
        <f>Fuente!AV232</f>
        <v>0</v>
      </c>
      <c r="T228" s="485">
        <f>Fuente!AW232</f>
        <v>0</v>
      </c>
      <c r="U228" s="467">
        <f>Fuente!AM232</f>
        <v>1</v>
      </c>
      <c r="V228" s="485" t="str">
        <f>Fuente!AY232</f>
        <v>NP</v>
      </c>
      <c r="W228" s="485">
        <f>Fuente!AZ232</f>
        <v>0</v>
      </c>
      <c r="X228" s="485">
        <f>Fuente!BA232</f>
        <v>0</v>
      </c>
      <c r="Y228" s="485">
        <f>Fuente!BB232</f>
        <v>0</v>
      </c>
      <c r="Z228" s="485">
        <f>Fuente!BC232</f>
        <v>0</v>
      </c>
      <c r="AA228" s="467" t="str">
        <f>Fuente!BD232</f>
        <v>NP</v>
      </c>
      <c r="AB228" s="477" t="s">
        <v>49</v>
      </c>
      <c r="AC228" s="477"/>
      <c r="AD228" s="477" t="s">
        <v>767</v>
      </c>
      <c r="AE228" s="477" t="s">
        <v>625</v>
      </c>
      <c r="AF228" s="482">
        <v>11</v>
      </c>
      <c r="AG228" s="480" t="str">
        <f>Fuente!AB227</f>
        <v>ICULTUR</v>
      </c>
      <c r="AH228" s="81"/>
      <c r="AI228" s="81"/>
      <c r="AJ228" s="81"/>
    </row>
    <row r="229" spans="1:36" ht="94.5" x14ac:dyDescent="0.2">
      <c r="A229" s="76">
        <v>2</v>
      </c>
      <c r="B229" s="350" t="s">
        <v>1747</v>
      </c>
      <c r="C229" s="351" t="s">
        <v>832</v>
      </c>
      <c r="D229" s="350" t="s">
        <v>833</v>
      </c>
      <c r="E229" s="351" t="s">
        <v>834</v>
      </c>
      <c r="F229" s="350" t="s">
        <v>835</v>
      </c>
      <c r="G229" s="352"/>
      <c r="H229" s="350" t="s">
        <v>836</v>
      </c>
      <c r="I229" s="350" t="s">
        <v>837</v>
      </c>
      <c r="J229" s="76" t="s">
        <v>838</v>
      </c>
      <c r="K229" s="351" t="s">
        <v>839</v>
      </c>
      <c r="L229" s="350"/>
      <c r="M229" s="350" t="s">
        <v>840</v>
      </c>
      <c r="N229" s="350" t="s">
        <v>841</v>
      </c>
      <c r="O229" s="76" t="s">
        <v>55</v>
      </c>
      <c r="P229" s="76">
        <v>60</v>
      </c>
      <c r="Q229" s="485">
        <f>Fuente!AT233</f>
        <v>18</v>
      </c>
      <c r="R229" s="485">
        <f>Fuente!AU233</f>
        <v>0</v>
      </c>
      <c r="S229" s="485">
        <f>Fuente!AV233</f>
        <v>0</v>
      </c>
      <c r="T229" s="485">
        <f>Fuente!AW233</f>
        <v>0</v>
      </c>
      <c r="U229" s="467">
        <f>Fuente!AM233</f>
        <v>0.18333333333333332</v>
      </c>
      <c r="V229" s="485">
        <f>Fuente!AY233</f>
        <v>15</v>
      </c>
      <c r="W229" s="485">
        <f>Fuente!AZ233</f>
        <v>7</v>
      </c>
      <c r="X229" s="485">
        <f>Fuente!BA233</f>
        <v>0</v>
      </c>
      <c r="Y229" s="485">
        <f>Fuente!BB233</f>
        <v>0</v>
      </c>
      <c r="Z229" s="485">
        <f>Fuente!BC233</f>
        <v>0</v>
      </c>
      <c r="AA229" s="467">
        <f>Fuente!BD233</f>
        <v>0.46666666666666667</v>
      </c>
      <c r="AB229" s="477" t="s">
        <v>49</v>
      </c>
      <c r="AC229" s="477"/>
      <c r="AD229" s="477" t="s">
        <v>767</v>
      </c>
      <c r="AE229" s="477" t="s">
        <v>625</v>
      </c>
      <c r="AF229" s="482">
        <v>11</v>
      </c>
      <c r="AG229" s="480" t="str">
        <f>Fuente!AB228</f>
        <v>ICULTUR Y SECRETARIA PRIVADA</v>
      </c>
      <c r="AH229" s="81"/>
      <c r="AI229" s="81"/>
      <c r="AJ229" s="81"/>
    </row>
    <row r="230" spans="1:36" ht="94.5" x14ac:dyDescent="0.2">
      <c r="A230" s="76">
        <v>2</v>
      </c>
      <c r="B230" s="350" t="s">
        <v>1747</v>
      </c>
      <c r="C230" s="351" t="s">
        <v>832</v>
      </c>
      <c r="D230" s="350" t="s">
        <v>833</v>
      </c>
      <c r="E230" s="351" t="s">
        <v>834</v>
      </c>
      <c r="F230" s="350" t="s">
        <v>835</v>
      </c>
      <c r="G230" s="352"/>
      <c r="H230" s="350" t="s">
        <v>836</v>
      </c>
      <c r="I230" s="350" t="s">
        <v>837</v>
      </c>
      <c r="J230" s="76" t="s">
        <v>838</v>
      </c>
      <c r="K230" s="351" t="s">
        <v>839</v>
      </c>
      <c r="L230" s="350"/>
      <c r="M230" s="350" t="s">
        <v>845</v>
      </c>
      <c r="N230" s="350" t="s">
        <v>846</v>
      </c>
      <c r="O230" s="76" t="s">
        <v>55</v>
      </c>
      <c r="P230" s="76">
        <v>5</v>
      </c>
      <c r="Q230" s="485">
        <f>Fuente!AT234</f>
        <v>4</v>
      </c>
      <c r="R230" s="485">
        <f>Fuente!AU234</f>
        <v>0</v>
      </c>
      <c r="S230" s="485">
        <f>Fuente!AV234</f>
        <v>0</v>
      </c>
      <c r="T230" s="485">
        <f>Fuente!AW234</f>
        <v>0</v>
      </c>
      <c r="U230" s="467">
        <f>Fuente!AM234</f>
        <v>0.8</v>
      </c>
      <c r="V230" s="485">
        <f>Fuente!AY234</f>
        <v>1</v>
      </c>
      <c r="W230" s="485">
        <f>Fuente!AZ234</f>
        <v>0</v>
      </c>
      <c r="X230" s="485">
        <f>Fuente!BA234</f>
        <v>0</v>
      </c>
      <c r="Y230" s="485">
        <f>Fuente!BB234</f>
        <v>0</v>
      </c>
      <c r="Z230" s="485">
        <f>Fuente!BC234</f>
        <v>0</v>
      </c>
      <c r="AA230" s="467">
        <f>Fuente!BD234</f>
        <v>0</v>
      </c>
      <c r="AB230" s="477" t="s">
        <v>49</v>
      </c>
      <c r="AC230" s="477"/>
      <c r="AD230" s="477" t="s">
        <v>767</v>
      </c>
      <c r="AE230" s="477" t="s">
        <v>625</v>
      </c>
      <c r="AF230" s="482">
        <v>11</v>
      </c>
      <c r="AG230" s="480" t="str">
        <f>Fuente!AB230</f>
        <v>ICULTUR</v>
      </c>
      <c r="AH230" s="81"/>
      <c r="AI230" s="81"/>
      <c r="AJ230" s="81"/>
    </row>
    <row r="231" spans="1:36" ht="94.5" x14ac:dyDescent="0.2">
      <c r="A231" s="76">
        <v>2</v>
      </c>
      <c r="B231" s="350" t="s">
        <v>1747</v>
      </c>
      <c r="C231" s="351" t="s">
        <v>832</v>
      </c>
      <c r="D231" s="350" t="s">
        <v>833</v>
      </c>
      <c r="E231" s="351" t="s">
        <v>834</v>
      </c>
      <c r="F231" s="350" t="s">
        <v>835</v>
      </c>
      <c r="G231" s="352"/>
      <c r="H231" s="350" t="s">
        <v>836</v>
      </c>
      <c r="I231" s="350" t="s">
        <v>837</v>
      </c>
      <c r="J231" s="76" t="s">
        <v>838</v>
      </c>
      <c r="K231" s="351" t="s">
        <v>839</v>
      </c>
      <c r="L231" s="350"/>
      <c r="M231" s="350" t="s">
        <v>848</v>
      </c>
      <c r="N231" s="350" t="s">
        <v>849</v>
      </c>
      <c r="O231" s="76" t="s">
        <v>55</v>
      </c>
      <c r="P231" s="76">
        <v>12</v>
      </c>
      <c r="Q231" s="485">
        <f>Fuente!AT235</f>
        <v>10</v>
      </c>
      <c r="R231" s="485">
        <f>Fuente!AU235</f>
        <v>0</v>
      </c>
      <c r="S231" s="485">
        <f>Fuente!AV235</f>
        <v>0</v>
      </c>
      <c r="T231" s="485">
        <f>Fuente!AW235</f>
        <v>0</v>
      </c>
      <c r="U231" s="467">
        <f>Fuente!AM235</f>
        <v>0.33333333333333331</v>
      </c>
      <c r="V231" s="485">
        <f>Fuente!AY235</f>
        <v>6</v>
      </c>
      <c r="W231" s="485">
        <f>Fuente!AZ235</f>
        <v>6</v>
      </c>
      <c r="X231" s="485">
        <f>Fuente!BA235</f>
        <v>0</v>
      </c>
      <c r="Y231" s="485">
        <f>Fuente!BB235</f>
        <v>0</v>
      </c>
      <c r="Z231" s="485">
        <f>Fuente!BC235</f>
        <v>0</v>
      </c>
      <c r="AA231" s="467">
        <f>Fuente!BD235</f>
        <v>1</v>
      </c>
      <c r="AB231" s="480" t="s">
        <v>49</v>
      </c>
      <c r="AC231" s="477"/>
      <c r="AD231" s="480" t="s">
        <v>767</v>
      </c>
      <c r="AE231" s="480" t="s">
        <v>625</v>
      </c>
      <c r="AF231" s="494">
        <v>11</v>
      </c>
      <c r="AG231" s="480" t="str">
        <f>Fuente!AB231</f>
        <v>ICULTUR</v>
      </c>
      <c r="AH231" s="81"/>
      <c r="AI231" s="81"/>
      <c r="AJ231" s="81"/>
    </row>
    <row r="232" spans="1:36" ht="126" x14ac:dyDescent="0.2">
      <c r="A232" s="76">
        <v>2</v>
      </c>
      <c r="B232" s="350" t="s">
        <v>1747</v>
      </c>
      <c r="C232" s="351" t="s">
        <v>832</v>
      </c>
      <c r="D232" s="350" t="s">
        <v>833</v>
      </c>
      <c r="E232" s="351" t="s">
        <v>851</v>
      </c>
      <c r="F232" s="350" t="s">
        <v>852</v>
      </c>
      <c r="G232" s="352"/>
      <c r="H232" s="350" t="s">
        <v>836</v>
      </c>
      <c r="I232" s="350" t="s">
        <v>853</v>
      </c>
      <c r="J232" s="76" t="s">
        <v>55</v>
      </c>
      <c r="K232" s="76" t="s">
        <v>854</v>
      </c>
      <c r="L232" s="353"/>
      <c r="M232" s="350" t="s">
        <v>1941</v>
      </c>
      <c r="N232" s="350" t="s">
        <v>855</v>
      </c>
      <c r="O232" s="76" t="s">
        <v>55</v>
      </c>
      <c r="P232" s="76">
        <v>10</v>
      </c>
      <c r="Q232" s="485">
        <f>Fuente!AT236</f>
        <v>4</v>
      </c>
      <c r="R232" s="485">
        <f>Fuente!AU236</f>
        <v>0</v>
      </c>
      <c r="S232" s="485">
        <f>Fuente!AV236</f>
        <v>0</v>
      </c>
      <c r="T232" s="485">
        <f>Fuente!AW236</f>
        <v>0</v>
      </c>
      <c r="U232" s="467">
        <f>Fuente!AM236</f>
        <v>0.3</v>
      </c>
      <c r="V232" s="485">
        <f>Fuente!AY236</f>
        <v>2</v>
      </c>
      <c r="W232" s="485">
        <f>Fuente!AZ236</f>
        <v>1</v>
      </c>
      <c r="X232" s="485">
        <f>Fuente!BA236</f>
        <v>0</v>
      </c>
      <c r="Y232" s="485">
        <f>Fuente!BB236</f>
        <v>0</v>
      </c>
      <c r="Z232" s="485">
        <f>Fuente!BC236</f>
        <v>0</v>
      </c>
      <c r="AA232" s="467">
        <f>Fuente!BD236</f>
        <v>0.5</v>
      </c>
      <c r="AB232" s="477" t="s">
        <v>49</v>
      </c>
      <c r="AC232" s="477"/>
      <c r="AD232" s="477" t="s">
        <v>767</v>
      </c>
      <c r="AE232" s="477" t="s">
        <v>625</v>
      </c>
      <c r="AF232" s="482">
        <v>11</v>
      </c>
      <c r="AG232" s="480" t="str">
        <f>Fuente!AB232</f>
        <v>ICULTUR</v>
      </c>
      <c r="AH232" s="81"/>
      <c r="AI232" s="81"/>
      <c r="AJ232" s="81"/>
    </row>
    <row r="233" spans="1:36" ht="135" x14ac:dyDescent="0.2">
      <c r="A233" s="76">
        <v>2</v>
      </c>
      <c r="B233" s="350" t="s">
        <v>1747</v>
      </c>
      <c r="C233" s="351" t="s">
        <v>858</v>
      </c>
      <c r="D233" s="350" t="s">
        <v>859</v>
      </c>
      <c r="E233" s="351" t="s">
        <v>860</v>
      </c>
      <c r="F233" s="350" t="s">
        <v>861</v>
      </c>
      <c r="G233" s="352"/>
      <c r="H233" s="352" t="s">
        <v>862</v>
      </c>
      <c r="I233" s="350" t="s">
        <v>862</v>
      </c>
      <c r="J233" s="351" t="s">
        <v>863</v>
      </c>
      <c r="K233" s="351" t="s">
        <v>864</v>
      </c>
      <c r="L233" s="350"/>
      <c r="M233" s="350" t="s">
        <v>865</v>
      </c>
      <c r="N233" s="350" t="s">
        <v>865</v>
      </c>
      <c r="O233" s="351">
        <v>7</v>
      </c>
      <c r="P233" s="351">
        <v>14</v>
      </c>
      <c r="Q233" s="485">
        <f>Fuente!AT237</f>
        <v>1</v>
      </c>
      <c r="R233" s="485">
        <f>Fuente!AU237</f>
        <v>0</v>
      </c>
      <c r="S233" s="485">
        <f>Fuente!AV237</f>
        <v>0</v>
      </c>
      <c r="T233" s="485">
        <f>Fuente!AW237</f>
        <v>0</v>
      </c>
      <c r="U233" s="467">
        <f>Fuente!AM237</f>
        <v>7.1428571428571425E-2</v>
      </c>
      <c r="V233" s="485">
        <f>Fuente!AY237</f>
        <v>3</v>
      </c>
      <c r="W233" s="485">
        <f>Fuente!AZ237</f>
        <v>0</v>
      </c>
      <c r="X233" s="485">
        <f>Fuente!BA237</f>
        <v>0</v>
      </c>
      <c r="Y233" s="485">
        <f>Fuente!BB237</f>
        <v>0</v>
      </c>
      <c r="Z233" s="485">
        <f>Fuente!BC237</f>
        <v>0</v>
      </c>
      <c r="AA233" s="467">
        <f>Fuente!BD237</f>
        <v>0</v>
      </c>
      <c r="AB233" s="477" t="s">
        <v>49</v>
      </c>
      <c r="AC233" s="480" t="s">
        <v>842</v>
      </c>
      <c r="AD233" s="96" t="s">
        <v>843</v>
      </c>
      <c r="AE233" s="477">
        <v>24</v>
      </c>
      <c r="AF233" s="494" t="s">
        <v>844</v>
      </c>
      <c r="AG233" s="480" t="str">
        <f>Fuente!AB233</f>
        <v>SECRETARÍA DE INFRAESTRUCTURA</v>
      </c>
      <c r="AH233" s="81"/>
      <c r="AI233" s="81"/>
      <c r="AJ233" s="81"/>
    </row>
    <row r="234" spans="1:36" ht="135" x14ac:dyDescent="0.2">
      <c r="A234" s="76">
        <v>2</v>
      </c>
      <c r="B234" s="350" t="s">
        <v>1747</v>
      </c>
      <c r="C234" s="351" t="s">
        <v>858</v>
      </c>
      <c r="D234" s="350" t="s">
        <v>859</v>
      </c>
      <c r="E234" s="351" t="s">
        <v>860</v>
      </c>
      <c r="F234" s="350" t="s">
        <v>861</v>
      </c>
      <c r="G234" s="352"/>
      <c r="H234" s="352" t="s">
        <v>862</v>
      </c>
      <c r="I234" s="350" t="s">
        <v>862</v>
      </c>
      <c r="J234" s="351" t="s">
        <v>863</v>
      </c>
      <c r="K234" s="351" t="s">
        <v>864</v>
      </c>
      <c r="L234" s="350"/>
      <c r="M234" s="350" t="s">
        <v>866</v>
      </c>
      <c r="N234" s="350" t="s">
        <v>866</v>
      </c>
      <c r="O234" s="351">
        <v>2</v>
      </c>
      <c r="P234" s="351">
        <v>10</v>
      </c>
      <c r="Q234" s="485">
        <f>Fuente!AT238</f>
        <v>1</v>
      </c>
      <c r="R234" s="485">
        <f>Fuente!AU238</f>
        <v>0</v>
      </c>
      <c r="S234" s="485">
        <f>Fuente!AV238</f>
        <v>0</v>
      </c>
      <c r="T234" s="485">
        <f>Fuente!AW238</f>
        <v>0</v>
      </c>
      <c r="U234" s="467">
        <f>Fuente!AM238</f>
        <v>0.1</v>
      </c>
      <c r="V234" s="485">
        <f>Fuente!AY238</f>
        <v>2</v>
      </c>
      <c r="W234" s="485">
        <f>Fuente!AZ238</f>
        <v>0</v>
      </c>
      <c r="X234" s="485">
        <f>Fuente!BA238</f>
        <v>0</v>
      </c>
      <c r="Y234" s="485">
        <f>Fuente!BB238</f>
        <v>0</v>
      </c>
      <c r="Z234" s="485">
        <f>Fuente!BC238</f>
        <v>0</v>
      </c>
      <c r="AA234" s="467">
        <f>Fuente!BD238</f>
        <v>0</v>
      </c>
      <c r="AB234" s="477" t="s">
        <v>49</v>
      </c>
      <c r="AC234" s="480" t="s">
        <v>847</v>
      </c>
      <c r="AD234" s="96" t="s">
        <v>843</v>
      </c>
      <c r="AE234" s="477">
        <v>24</v>
      </c>
      <c r="AF234" s="494" t="s">
        <v>844</v>
      </c>
      <c r="AG234" s="480" t="str">
        <f>Fuente!AB234</f>
        <v>SECRETARÍA DE INFRAESTRUCTURA</v>
      </c>
      <c r="AH234" s="81"/>
      <c r="AI234" s="81"/>
      <c r="AJ234" s="81"/>
    </row>
    <row r="235" spans="1:36" ht="135" x14ac:dyDescent="0.2">
      <c r="A235" s="76">
        <v>2</v>
      </c>
      <c r="B235" s="350" t="s">
        <v>1747</v>
      </c>
      <c r="C235" s="351" t="s">
        <v>858</v>
      </c>
      <c r="D235" s="350" t="s">
        <v>859</v>
      </c>
      <c r="E235" s="351" t="s">
        <v>860</v>
      </c>
      <c r="F235" s="350" t="s">
        <v>861</v>
      </c>
      <c r="G235" s="352"/>
      <c r="H235" s="352" t="s">
        <v>862</v>
      </c>
      <c r="I235" s="350" t="s">
        <v>862</v>
      </c>
      <c r="J235" s="351" t="s">
        <v>863</v>
      </c>
      <c r="K235" s="351" t="s">
        <v>864</v>
      </c>
      <c r="L235" s="350"/>
      <c r="M235" s="350" t="s">
        <v>867</v>
      </c>
      <c r="N235" s="350" t="s">
        <v>867</v>
      </c>
      <c r="O235" s="351" t="s">
        <v>868</v>
      </c>
      <c r="P235" s="308">
        <v>1</v>
      </c>
      <c r="Q235" s="485">
        <f>Fuente!AT239</f>
        <v>1</v>
      </c>
      <c r="R235" s="485">
        <f>Fuente!AU239</f>
        <v>0</v>
      </c>
      <c r="S235" s="485">
        <f>Fuente!AV239</f>
        <v>0</v>
      </c>
      <c r="T235" s="485">
        <f>Fuente!AW239</f>
        <v>0</v>
      </c>
      <c r="U235" s="467">
        <f>Fuente!AM239</f>
        <v>0</v>
      </c>
      <c r="V235" s="485">
        <f>Fuente!AY239</f>
        <v>1</v>
      </c>
      <c r="W235" s="485">
        <f>Fuente!AZ239</f>
        <v>1</v>
      </c>
      <c r="X235" s="485">
        <f>Fuente!BA239</f>
        <v>0</v>
      </c>
      <c r="Y235" s="485">
        <f>Fuente!BB239</f>
        <v>0</v>
      </c>
      <c r="Z235" s="485">
        <f>Fuente!BC239</f>
        <v>0</v>
      </c>
      <c r="AA235" s="467">
        <f>Fuente!BD239</f>
        <v>1</v>
      </c>
      <c r="AB235" s="477" t="s">
        <v>49</v>
      </c>
      <c r="AC235" s="480" t="s">
        <v>850</v>
      </c>
      <c r="AD235" s="96" t="s">
        <v>843</v>
      </c>
      <c r="AE235" s="477">
        <v>24</v>
      </c>
      <c r="AF235" s="494" t="s">
        <v>844</v>
      </c>
      <c r="AG235" s="480" t="str">
        <f>Fuente!AB235</f>
        <v>SECRETARÍA DE INFRAESTRUCTURA</v>
      </c>
      <c r="AH235" s="81"/>
      <c r="AI235" s="81"/>
      <c r="AJ235" s="81"/>
    </row>
    <row r="236" spans="1:36" ht="120" x14ac:dyDescent="0.2">
      <c r="A236" s="76">
        <v>2</v>
      </c>
      <c r="B236" s="350" t="s">
        <v>1747</v>
      </c>
      <c r="C236" s="351" t="s">
        <v>858</v>
      </c>
      <c r="D236" s="350" t="s">
        <v>859</v>
      </c>
      <c r="E236" s="351" t="s">
        <v>860</v>
      </c>
      <c r="F236" s="350" t="s">
        <v>861</v>
      </c>
      <c r="G236" s="352"/>
      <c r="H236" s="352" t="s">
        <v>862</v>
      </c>
      <c r="I236" s="350" t="s">
        <v>862</v>
      </c>
      <c r="J236" s="351" t="s">
        <v>863</v>
      </c>
      <c r="K236" s="351" t="s">
        <v>864</v>
      </c>
      <c r="L236" s="350"/>
      <c r="M236" s="350" t="s">
        <v>869</v>
      </c>
      <c r="N236" s="350" t="s">
        <v>869</v>
      </c>
      <c r="O236" s="351" t="s">
        <v>868</v>
      </c>
      <c r="P236" s="351">
        <v>1</v>
      </c>
      <c r="Q236" s="485">
        <f>Fuente!AT240</f>
        <v>1</v>
      </c>
      <c r="R236" s="485">
        <f>Fuente!AU240</f>
        <v>0</v>
      </c>
      <c r="S236" s="485">
        <f>Fuente!AV240</f>
        <v>0</v>
      </c>
      <c r="T236" s="485">
        <f>Fuente!AW240</f>
        <v>0</v>
      </c>
      <c r="U236" s="467">
        <f>Fuente!AM240</f>
        <v>1</v>
      </c>
      <c r="V236" s="485" t="str">
        <f>Fuente!AY240</f>
        <v>NP</v>
      </c>
      <c r="W236" s="485">
        <f>Fuente!AZ240</f>
        <v>0</v>
      </c>
      <c r="X236" s="485">
        <f>Fuente!BA240</f>
        <v>0</v>
      </c>
      <c r="Y236" s="485">
        <f>Fuente!BB240</f>
        <v>0</v>
      </c>
      <c r="Z236" s="485">
        <f>Fuente!BC240</f>
        <v>0</v>
      </c>
      <c r="AA236" s="467" t="str">
        <f>Fuente!BD240</f>
        <v>NP</v>
      </c>
      <c r="AB236" s="477" t="s">
        <v>49</v>
      </c>
      <c r="AC236" s="480" t="s">
        <v>856</v>
      </c>
      <c r="AD236" s="477" t="s">
        <v>843</v>
      </c>
      <c r="AE236" s="477">
        <v>24</v>
      </c>
      <c r="AF236" s="494" t="s">
        <v>857</v>
      </c>
      <c r="AG236" s="480" t="str">
        <f>Fuente!AB236</f>
        <v>SECRETARÍA DE INFRAESTRUCTURA</v>
      </c>
      <c r="AH236" s="81"/>
      <c r="AI236" s="81"/>
      <c r="AJ236" s="81"/>
    </row>
    <row r="237" spans="1:36" ht="94.5" x14ac:dyDescent="0.2">
      <c r="A237" s="76">
        <v>2</v>
      </c>
      <c r="B237" s="350" t="s">
        <v>1747</v>
      </c>
      <c r="C237" s="351" t="s">
        <v>858</v>
      </c>
      <c r="D237" s="350" t="s">
        <v>859</v>
      </c>
      <c r="E237" s="351" t="s">
        <v>860</v>
      </c>
      <c r="F237" s="350" t="s">
        <v>861</v>
      </c>
      <c r="G237" s="352"/>
      <c r="H237" s="352" t="s">
        <v>862</v>
      </c>
      <c r="I237" s="350" t="s">
        <v>862</v>
      </c>
      <c r="J237" s="351" t="s">
        <v>863</v>
      </c>
      <c r="K237" s="351" t="s">
        <v>864</v>
      </c>
      <c r="L237" s="350"/>
      <c r="M237" s="350" t="s">
        <v>870</v>
      </c>
      <c r="N237" s="350" t="s">
        <v>870</v>
      </c>
      <c r="O237" s="351" t="s">
        <v>868</v>
      </c>
      <c r="P237" s="308">
        <v>4</v>
      </c>
      <c r="Q237" s="485">
        <f>Fuente!AT241</f>
        <v>0</v>
      </c>
      <c r="R237" s="485">
        <f>Fuente!AU241</f>
        <v>0</v>
      </c>
      <c r="S237" s="485">
        <f>Fuente!AV241</f>
        <v>0</v>
      </c>
      <c r="T237" s="485">
        <f>Fuente!AW241</f>
        <v>0</v>
      </c>
      <c r="U237" s="467">
        <f>Fuente!AM241</f>
        <v>0</v>
      </c>
      <c r="V237" s="485">
        <f>Fuente!AY241</f>
        <v>1</v>
      </c>
      <c r="W237" s="485">
        <f>Fuente!AZ241</f>
        <v>0</v>
      </c>
      <c r="X237" s="485">
        <f>Fuente!BA241</f>
        <v>0</v>
      </c>
      <c r="Y237" s="485">
        <f>Fuente!BB241</f>
        <v>0</v>
      </c>
      <c r="Z237" s="485">
        <f>Fuente!BC241</f>
        <v>0</v>
      </c>
      <c r="AA237" s="467">
        <f>Fuente!BD241</f>
        <v>0</v>
      </c>
      <c r="AB237" s="480" t="s">
        <v>49</v>
      </c>
      <c r="AC237" s="480"/>
      <c r="AD237" s="480"/>
      <c r="AE237" s="480"/>
      <c r="AF237" s="482"/>
      <c r="AG237" s="480" t="str">
        <f>Fuente!AB237</f>
        <v>SECRETARÍA DE  MOVILIDAD</v>
      </c>
      <c r="AH237" s="81"/>
      <c r="AI237" s="81"/>
      <c r="AJ237" s="81"/>
    </row>
    <row r="238" spans="1:36" ht="31.5" x14ac:dyDescent="0.2">
      <c r="A238" s="76">
        <v>2</v>
      </c>
      <c r="B238" s="350" t="s">
        <v>1747</v>
      </c>
      <c r="C238" s="351" t="s">
        <v>858</v>
      </c>
      <c r="D238" s="350" t="s">
        <v>859</v>
      </c>
      <c r="E238" s="351" t="s">
        <v>871</v>
      </c>
      <c r="F238" s="350" t="s">
        <v>872</v>
      </c>
      <c r="G238" s="352"/>
      <c r="H238" s="352" t="s">
        <v>873</v>
      </c>
      <c r="I238" s="350" t="s">
        <v>873</v>
      </c>
      <c r="J238" s="351">
        <v>0</v>
      </c>
      <c r="K238" s="351">
        <v>1</v>
      </c>
      <c r="L238" s="350"/>
      <c r="M238" s="350" t="s">
        <v>874</v>
      </c>
      <c r="N238" s="350" t="s">
        <v>874</v>
      </c>
      <c r="O238" s="351" t="s">
        <v>868</v>
      </c>
      <c r="P238" s="308">
        <v>1</v>
      </c>
      <c r="Q238" s="485">
        <f>Fuente!AT242</f>
        <v>0</v>
      </c>
      <c r="R238" s="485">
        <f>Fuente!AU242</f>
        <v>0</v>
      </c>
      <c r="S238" s="485">
        <f>Fuente!AV242</f>
        <v>0</v>
      </c>
      <c r="T238" s="485">
        <f>Fuente!AW242</f>
        <v>0</v>
      </c>
      <c r="U238" s="467">
        <f>Fuente!AM242</f>
        <v>0</v>
      </c>
      <c r="V238" s="485">
        <f>Fuente!AY242</f>
        <v>1</v>
      </c>
      <c r="W238" s="485">
        <f>Fuente!AZ242</f>
        <v>0</v>
      </c>
      <c r="X238" s="485">
        <f>Fuente!BA242</f>
        <v>0</v>
      </c>
      <c r="Y238" s="485">
        <f>Fuente!BB242</f>
        <v>0</v>
      </c>
      <c r="Z238" s="485">
        <f>Fuente!BC242</f>
        <v>0</v>
      </c>
      <c r="AA238" s="467">
        <f>Fuente!BD242</f>
        <v>0</v>
      </c>
      <c r="AB238" s="487" t="s">
        <v>49</v>
      </c>
      <c r="AC238" s="480"/>
      <c r="AD238" s="480"/>
      <c r="AE238" s="480"/>
      <c r="AF238" s="482"/>
      <c r="AG238" s="480" t="str">
        <f>Fuente!AB238</f>
        <v>SECRETARÍA DE  MOVILIDAD</v>
      </c>
      <c r="AH238" s="81"/>
      <c r="AI238" s="81"/>
      <c r="AJ238" s="81"/>
    </row>
    <row r="239" spans="1:36" ht="31.5" x14ac:dyDescent="0.2">
      <c r="A239" s="76">
        <v>2</v>
      </c>
      <c r="B239" s="350" t="s">
        <v>1747</v>
      </c>
      <c r="C239" s="351" t="s">
        <v>858</v>
      </c>
      <c r="D239" s="350" t="s">
        <v>859</v>
      </c>
      <c r="E239" s="351" t="s">
        <v>871</v>
      </c>
      <c r="F239" s="350" t="s">
        <v>872</v>
      </c>
      <c r="G239" s="352"/>
      <c r="H239" s="352" t="s">
        <v>873</v>
      </c>
      <c r="I239" s="350" t="s">
        <v>873</v>
      </c>
      <c r="J239" s="351">
        <v>2</v>
      </c>
      <c r="K239" s="351">
        <v>1</v>
      </c>
      <c r="L239" s="350"/>
      <c r="M239" s="350" t="s">
        <v>875</v>
      </c>
      <c r="N239" s="350" t="s">
        <v>875</v>
      </c>
      <c r="O239" s="308">
        <v>2</v>
      </c>
      <c r="P239" s="308">
        <v>1</v>
      </c>
      <c r="Q239" s="485">
        <f>Fuente!AT243</f>
        <v>0</v>
      </c>
      <c r="R239" s="485">
        <f>Fuente!AU243</f>
        <v>0</v>
      </c>
      <c r="S239" s="485">
        <f>Fuente!AV243</f>
        <v>0</v>
      </c>
      <c r="T239" s="485">
        <f>Fuente!AW243</f>
        <v>0</v>
      </c>
      <c r="U239" s="467">
        <f>Fuente!AM243</f>
        <v>0</v>
      </c>
      <c r="V239" s="485" t="str">
        <f>Fuente!AY243</f>
        <v>NP</v>
      </c>
      <c r="W239" s="485">
        <f>Fuente!AZ243</f>
        <v>0</v>
      </c>
      <c r="X239" s="485">
        <f>Fuente!BA243</f>
        <v>0</v>
      </c>
      <c r="Y239" s="485">
        <f>Fuente!BB243</f>
        <v>0</v>
      </c>
      <c r="Z239" s="485">
        <f>Fuente!BC243</f>
        <v>0</v>
      </c>
      <c r="AA239" s="467" t="str">
        <f>Fuente!BD243</f>
        <v>NP</v>
      </c>
      <c r="AB239" s="487" t="s">
        <v>49</v>
      </c>
      <c r="AC239" s="480"/>
      <c r="AD239" s="477"/>
      <c r="AE239" s="480"/>
      <c r="AF239" s="482"/>
      <c r="AG239" s="480" t="str">
        <f>Fuente!AB239</f>
        <v>SECRETARÍA DE  MOVILIDAD</v>
      </c>
      <c r="AH239" s="81"/>
      <c r="AI239" s="81"/>
      <c r="AJ239" s="81"/>
    </row>
    <row r="240" spans="1:36" ht="78.75" x14ac:dyDescent="0.2">
      <c r="A240" s="76">
        <v>2</v>
      </c>
      <c r="B240" s="350" t="s">
        <v>1747</v>
      </c>
      <c r="C240" s="351" t="s">
        <v>876</v>
      </c>
      <c r="D240" s="350" t="s">
        <v>877</v>
      </c>
      <c r="E240" s="351" t="s">
        <v>878</v>
      </c>
      <c r="F240" s="350" t="s">
        <v>879</v>
      </c>
      <c r="G240" s="352"/>
      <c r="H240" s="352" t="s">
        <v>880</v>
      </c>
      <c r="I240" s="352" t="s">
        <v>880</v>
      </c>
      <c r="J240" s="490">
        <v>18</v>
      </c>
      <c r="K240" s="490">
        <v>12</v>
      </c>
      <c r="L240" s="488"/>
      <c r="M240" s="350" t="s">
        <v>881</v>
      </c>
      <c r="N240" s="350" t="s">
        <v>881</v>
      </c>
      <c r="O240" s="351">
        <v>15</v>
      </c>
      <c r="P240" s="351">
        <v>15</v>
      </c>
      <c r="Q240" s="485">
        <f>Fuente!AT244</f>
        <v>0.75</v>
      </c>
      <c r="R240" s="485">
        <f>Fuente!AU244</f>
        <v>0</v>
      </c>
      <c r="S240" s="485">
        <f>Fuente!AV244</f>
        <v>0</v>
      </c>
      <c r="T240" s="485">
        <f>Fuente!AW244</f>
        <v>0</v>
      </c>
      <c r="U240" s="467">
        <f>Fuente!AM244</f>
        <v>0</v>
      </c>
      <c r="V240" s="485">
        <f>Fuente!AY244</f>
        <v>15</v>
      </c>
      <c r="W240" s="485">
        <f>Fuente!AZ244</f>
        <v>3</v>
      </c>
      <c r="X240" s="485">
        <f>Fuente!BA244</f>
        <v>0</v>
      </c>
      <c r="Y240" s="485">
        <f>Fuente!BB244</f>
        <v>0</v>
      </c>
      <c r="Z240" s="485">
        <f>Fuente!BC244</f>
        <v>0</v>
      </c>
      <c r="AA240" s="467">
        <f>Fuente!BD244</f>
        <v>0.2</v>
      </c>
      <c r="AB240" s="487" t="s">
        <v>49</v>
      </c>
      <c r="AC240" s="480"/>
      <c r="AD240" s="477"/>
      <c r="AE240" s="480"/>
      <c r="AF240" s="482"/>
      <c r="AG240" s="480" t="str">
        <f>Fuente!AB240</f>
        <v>SECRETARÍA DE  MOVILIDAD</v>
      </c>
      <c r="AH240" s="81"/>
      <c r="AI240" s="81"/>
      <c r="AJ240" s="81"/>
    </row>
    <row r="241" spans="1:36" ht="47.25" x14ac:dyDescent="0.2">
      <c r="A241" s="76">
        <v>2</v>
      </c>
      <c r="B241" s="350" t="s">
        <v>1747</v>
      </c>
      <c r="C241" s="351" t="s">
        <v>876</v>
      </c>
      <c r="D241" s="350" t="s">
        <v>877</v>
      </c>
      <c r="E241" s="351" t="s">
        <v>878</v>
      </c>
      <c r="F241" s="350" t="s">
        <v>879</v>
      </c>
      <c r="G241" s="352"/>
      <c r="H241" s="352" t="s">
        <v>882</v>
      </c>
      <c r="I241" s="352" t="s">
        <v>882</v>
      </c>
      <c r="J241" s="490">
        <v>15</v>
      </c>
      <c r="K241" s="490">
        <v>10</v>
      </c>
      <c r="L241" s="488"/>
      <c r="M241" s="350" t="s">
        <v>881</v>
      </c>
      <c r="N241" s="350" t="s">
        <v>881</v>
      </c>
      <c r="O241" s="351">
        <v>15</v>
      </c>
      <c r="P241" s="351">
        <v>15</v>
      </c>
      <c r="Q241" s="485">
        <f>Fuente!AT245</f>
        <v>0</v>
      </c>
      <c r="R241" s="485">
        <f>Fuente!AU245</f>
        <v>0</v>
      </c>
      <c r="S241" s="485">
        <f>Fuente!AV245</f>
        <v>0</v>
      </c>
      <c r="T241" s="485">
        <f>Fuente!AW245</f>
        <v>0</v>
      </c>
      <c r="U241" s="467">
        <f>Fuente!AM245</f>
        <v>0</v>
      </c>
      <c r="V241" s="485">
        <f>Fuente!AY245</f>
        <v>15</v>
      </c>
      <c r="W241" s="485">
        <f>Fuente!AZ245</f>
        <v>0</v>
      </c>
      <c r="X241" s="485">
        <f>Fuente!BA245</f>
        <v>0</v>
      </c>
      <c r="Y241" s="485">
        <f>Fuente!BB245</f>
        <v>0</v>
      </c>
      <c r="Z241" s="485">
        <f>Fuente!BC245</f>
        <v>0</v>
      </c>
      <c r="AA241" s="467">
        <f>Fuente!BD245</f>
        <v>0</v>
      </c>
      <c r="AB241" s="487" t="s">
        <v>49</v>
      </c>
      <c r="AC241" s="480"/>
      <c r="AD241" s="477"/>
      <c r="AE241" s="480"/>
      <c r="AF241" s="482"/>
      <c r="AG241" s="480" t="str">
        <f>Fuente!AB241</f>
        <v>SECRETARÍA DE  MOVILIDAD</v>
      </c>
      <c r="AH241" s="81"/>
      <c r="AI241" s="81"/>
      <c r="AJ241" s="81"/>
    </row>
    <row r="242" spans="1:36" ht="47.25" x14ac:dyDescent="0.2">
      <c r="A242" s="76">
        <v>2</v>
      </c>
      <c r="B242" s="350" t="s">
        <v>1747</v>
      </c>
      <c r="C242" s="351" t="s">
        <v>876</v>
      </c>
      <c r="D242" s="350" t="s">
        <v>877</v>
      </c>
      <c r="E242" s="351" t="s">
        <v>878</v>
      </c>
      <c r="F242" s="350" t="s">
        <v>879</v>
      </c>
      <c r="G242" s="352"/>
      <c r="H242" s="352" t="s">
        <v>883</v>
      </c>
      <c r="I242" s="352" t="s">
        <v>883</v>
      </c>
      <c r="J242" s="483">
        <v>0.95599999999999996</v>
      </c>
      <c r="K242" s="491">
        <v>0.97</v>
      </c>
      <c r="L242" s="479"/>
      <c r="M242" s="350" t="s">
        <v>884</v>
      </c>
      <c r="N242" s="350" t="s">
        <v>884</v>
      </c>
      <c r="O242" s="351" t="s">
        <v>55</v>
      </c>
      <c r="P242" s="491">
        <v>0.2</v>
      </c>
      <c r="Q242" s="485">
        <f>Fuente!AT246</f>
        <v>0.2</v>
      </c>
      <c r="R242" s="485">
        <f>Fuente!AU246</f>
        <v>0</v>
      </c>
      <c r="S242" s="485">
        <f>Fuente!AV246</f>
        <v>0</v>
      </c>
      <c r="T242" s="485">
        <f>Fuente!AW246</f>
        <v>0</v>
      </c>
      <c r="U242" s="467">
        <f>Fuente!AM246</f>
        <v>0</v>
      </c>
      <c r="V242" s="485">
        <f>Fuente!AY246</f>
        <v>8</v>
      </c>
      <c r="W242" s="485">
        <f>Fuente!AZ246</f>
        <v>0.2</v>
      </c>
      <c r="X242" s="485">
        <f>Fuente!BA246</f>
        <v>0</v>
      </c>
      <c r="Y242" s="485">
        <f>Fuente!BB246</f>
        <v>0</v>
      </c>
      <c r="Z242" s="485">
        <f>Fuente!BC246</f>
        <v>0</v>
      </c>
      <c r="AA242" s="467">
        <f>Fuente!BD246</f>
        <v>2.5000000000000001E-2</v>
      </c>
      <c r="AB242" s="487" t="s">
        <v>49</v>
      </c>
      <c r="AC242" s="480"/>
      <c r="AD242" s="477"/>
      <c r="AE242" s="487"/>
      <c r="AF242" s="482"/>
      <c r="AG242" s="480" t="str">
        <f>Fuente!AB242</f>
        <v>SECRETARÍA DE  MOVILIDAD</v>
      </c>
      <c r="AH242" s="81"/>
      <c r="AI242" s="81"/>
      <c r="AJ242" s="81"/>
    </row>
    <row r="243" spans="1:36" ht="47.25" x14ac:dyDescent="0.2">
      <c r="A243" s="76">
        <v>2</v>
      </c>
      <c r="B243" s="350" t="s">
        <v>1747</v>
      </c>
      <c r="C243" s="351" t="s">
        <v>876</v>
      </c>
      <c r="D243" s="350" t="s">
        <v>877</v>
      </c>
      <c r="E243" s="351" t="s">
        <v>878</v>
      </c>
      <c r="F243" s="350" t="s">
        <v>879</v>
      </c>
      <c r="G243" s="352"/>
      <c r="H243" s="352" t="s">
        <v>885</v>
      </c>
      <c r="I243" s="352" t="s">
        <v>885</v>
      </c>
      <c r="J243" s="491">
        <v>0.05</v>
      </c>
      <c r="K243" s="491">
        <v>0.1</v>
      </c>
      <c r="L243" s="479"/>
      <c r="M243" s="350" t="s">
        <v>886</v>
      </c>
      <c r="N243" s="350" t="s">
        <v>886</v>
      </c>
      <c r="O243" s="351" t="s">
        <v>55</v>
      </c>
      <c r="P243" s="351">
        <v>50</v>
      </c>
      <c r="Q243" s="485">
        <f>Fuente!AT247</f>
        <v>15</v>
      </c>
      <c r="R243" s="485">
        <f>Fuente!AU247</f>
        <v>0</v>
      </c>
      <c r="S243" s="485">
        <f>Fuente!AV247</f>
        <v>0</v>
      </c>
      <c r="T243" s="485">
        <f>Fuente!AW247</f>
        <v>0</v>
      </c>
      <c r="U243" s="467">
        <f>Fuente!AM247</f>
        <v>0.24</v>
      </c>
      <c r="V243" s="485">
        <f>Fuente!AY247</f>
        <v>15</v>
      </c>
      <c r="W243" s="485">
        <f>Fuente!AZ247</f>
        <v>3</v>
      </c>
      <c r="X243" s="485">
        <f>Fuente!BA247</f>
        <v>0</v>
      </c>
      <c r="Y243" s="485">
        <f>Fuente!BB247</f>
        <v>0</v>
      </c>
      <c r="Z243" s="485">
        <f>Fuente!BC247</f>
        <v>0</v>
      </c>
      <c r="AA243" s="467">
        <f>Fuente!BD247</f>
        <v>0.2</v>
      </c>
      <c r="AB243" s="487" t="s">
        <v>49</v>
      </c>
      <c r="AC243" s="480"/>
      <c r="AD243" s="477"/>
      <c r="AE243" s="487"/>
      <c r="AF243" s="482"/>
      <c r="AG243" s="480" t="str">
        <f>Fuente!AB243</f>
        <v>SECRETARÍA DE  MOVILIDAD</v>
      </c>
      <c r="AH243" s="81"/>
      <c r="AI243" s="81"/>
      <c r="AJ243" s="81"/>
    </row>
    <row r="244" spans="1:36" ht="63" x14ac:dyDescent="0.2">
      <c r="A244" s="76">
        <v>2</v>
      </c>
      <c r="B244" s="350" t="s">
        <v>1747</v>
      </c>
      <c r="C244" s="351" t="s">
        <v>887</v>
      </c>
      <c r="D244" s="350" t="s">
        <v>888</v>
      </c>
      <c r="E244" s="351" t="s">
        <v>889</v>
      </c>
      <c r="F244" s="350" t="s">
        <v>896</v>
      </c>
      <c r="G244" s="350"/>
      <c r="H244" s="350" t="s">
        <v>890</v>
      </c>
      <c r="I244" s="350" t="s">
        <v>890</v>
      </c>
      <c r="J244" s="490">
        <v>67</v>
      </c>
      <c r="K244" s="490">
        <v>60</v>
      </c>
      <c r="L244" s="488"/>
      <c r="M244" s="350" t="s">
        <v>891</v>
      </c>
      <c r="N244" s="350" t="s">
        <v>891</v>
      </c>
      <c r="O244" s="490">
        <v>1</v>
      </c>
      <c r="P244" s="490">
        <v>3</v>
      </c>
      <c r="Q244" s="485">
        <f>Fuente!AT248</f>
        <v>2</v>
      </c>
      <c r="R244" s="485">
        <f>Fuente!AU248</f>
        <v>0</v>
      </c>
      <c r="S244" s="485">
        <f>Fuente!AV248</f>
        <v>0</v>
      </c>
      <c r="T244" s="485">
        <f>Fuente!AW248</f>
        <v>0</v>
      </c>
      <c r="U244" s="467">
        <f>Fuente!AM248</f>
        <v>0.33333333333333331</v>
      </c>
      <c r="V244" s="485">
        <f>Fuente!AY248</f>
        <v>1</v>
      </c>
      <c r="W244" s="485">
        <f>Fuente!AZ248</f>
        <v>1</v>
      </c>
      <c r="X244" s="485">
        <f>Fuente!BA248</f>
        <v>0</v>
      </c>
      <c r="Y244" s="485">
        <f>Fuente!BB248</f>
        <v>0</v>
      </c>
      <c r="Z244" s="485">
        <f>Fuente!BC248</f>
        <v>0</v>
      </c>
      <c r="AA244" s="467">
        <f>Fuente!BD248</f>
        <v>1</v>
      </c>
      <c r="AB244" s="477" t="s">
        <v>78</v>
      </c>
      <c r="AC244" s="477"/>
      <c r="AD244" s="477"/>
      <c r="AE244" s="477">
        <v>15</v>
      </c>
      <c r="AF244" s="482"/>
      <c r="AG244" s="480" t="str">
        <f>Fuente!AB244</f>
        <v>SECRETARÍA DE PLANEACIÓN</v>
      </c>
      <c r="AH244" s="81"/>
      <c r="AI244" s="81"/>
      <c r="AJ244" s="81"/>
    </row>
    <row r="245" spans="1:36" ht="63" x14ac:dyDescent="0.2">
      <c r="A245" s="76">
        <v>2</v>
      </c>
      <c r="B245" s="350" t="s">
        <v>1747</v>
      </c>
      <c r="C245" s="351" t="s">
        <v>887</v>
      </c>
      <c r="D245" s="350" t="s">
        <v>888</v>
      </c>
      <c r="E245" s="351" t="s">
        <v>889</v>
      </c>
      <c r="F245" s="350" t="s">
        <v>896</v>
      </c>
      <c r="G245" s="350"/>
      <c r="H245" s="350" t="s">
        <v>890</v>
      </c>
      <c r="I245" s="350" t="s">
        <v>890</v>
      </c>
      <c r="J245" s="490">
        <v>67</v>
      </c>
      <c r="K245" s="490">
        <v>60</v>
      </c>
      <c r="L245" s="488"/>
      <c r="M245" s="350" t="s">
        <v>897</v>
      </c>
      <c r="N245" s="350" t="s">
        <v>897</v>
      </c>
      <c r="O245" s="490">
        <v>67</v>
      </c>
      <c r="P245" s="490">
        <v>60</v>
      </c>
      <c r="Q245" s="485">
        <f>Fuente!AT249</f>
        <v>6</v>
      </c>
      <c r="R245" s="485">
        <f>Fuente!AU249</f>
        <v>0</v>
      </c>
      <c r="S245" s="485">
        <f>Fuente!AV249</f>
        <v>0</v>
      </c>
      <c r="T245" s="485">
        <f>Fuente!AW249</f>
        <v>0</v>
      </c>
      <c r="U245" s="467">
        <f>Fuente!AM249</f>
        <v>0.1</v>
      </c>
      <c r="V245" s="485">
        <f>Fuente!AY249</f>
        <v>10</v>
      </c>
      <c r="W245" s="485">
        <f>Fuente!AZ249</f>
        <v>0</v>
      </c>
      <c r="X245" s="485">
        <f>Fuente!BA249</f>
        <v>0</v>
      </c>
      <c r="Y245" s="485">
        <f>Fuente!BB249</f>
        <v>0</v>
      </c>
      <c r="Z245" s="485">
        <f>Fuente!BC249</f>
        <v>0</v>
      </c>
      <c r="AA245" s="467">
        <f>Fuente!BD249</f>
        <v>0</v>
      </c>
      <c r="AB245" s="477" t="s">
        <v>78</v>
      </c>
      <c r="AC245" s="477"/>
      <c r="AD245" s="477"/>
      <c r="AE245" s="477">
        <v>15</v>
      </c>
      <c r="AF245" s="482"/>
      <c r="AG245" s="480" t="str">
        <f>Fuente!AB245</f>
        <v>SECRETARÍA DE PLANEACIÓN</v>
      </c>
      <c r="AH245" s="81"/>
      <c r="AI245" s="81"/>
      <c r="AJ245" s="81"/>
    </row>
    <row r="246" spans="1:36" ht="63" x14ac:dyDescent="0.2">
      <c r="A246" s="76">
        <v>2</v>
      </c>
      <c r="B246" s="350" t="s">
        <v>1747</v>
      </c>
      <c r="C246" s="351" t="s">
        <v>887</v>
      </c>
      <c r="D246" s="350" t="s">
        <v>888</v>
      </c>
      <c r="E246" s="351" t="s">
        <v>889</v>
      </c>
      <c r="F246" s="350" t="s">
        <v>896</v>
      </c>
      <c r="G246" s="352"/>
      <c r="H246" s="352" t="s">
        <v>890</v>
      </c>
      <c r="I246" s="352" t="s">
        <v>890</v>
      </c>
      <c r="J246" s="490">
        <v>67</v>
      </c>
      <c r="K246" s="490">
        <v>60</v>
      </c>
      <c r="L246" s="488"/>
      <c r="M246" s="350" t="s">
        <v>900</v>
      </c>
      <c r="N246" s="350" t="s">
        <v>900</v>
      </c>
      <c r="O246" s="490">
        <v>0</v>
      </c>
      <c r="P246" s="490">
        <v>1</v>
      </c>
      <c r="Q246" s="485">
        <f>Fuente!AT250</f>
        <v>0</v>
      </c>
      <c r="R246" s="485">
        <f>Fuente!AU250</f>
        <v>0</v>
      </c>
      <c r="S246" s="485">
        <f>Fuente!AV250</f>
        <v>0</v>
      </c>
      <c r="T246" s="485">
        <f>Fuente!AW250</f>
        <v>0</v>
      </c>
      <c r="U246" s="467">
        <f>Fuente!AM250</f>
        <v>0</v>
      </c>
      <c r="V246" s="485">
        <f>Fuente!AY250</f>
        <v>1</v>
      </c>
      <c r="W246" s="485">
        <f>Fuente!AZ250</f>
        <v>0</v>
      </c>
      <c r="X246" s="485">
        <f>Fuente!BA250</f>
        <v>0</v>
      </c>
      <c r="Y246" s="485">
        <f>Fuente!BB250</f>
        <v>0</v>
      </c>
      <c r="Z246" s="485">
        <f>Fuente!BC250</f>
        <v>0</v>
      </c>
      <c r="AA246" s="467">
        <f>Fuente!BD250</f>
        <v>0</v>
      </c>
      <c r="AB246" s="487" t="s">
        <v>49</v>
      </c>
      <c r="AC246" s="477"/>
      <c r="AD246" s="477"/>
      <c r="AE246" s="477">
        <v>4</v>
      </c>
      <c r="AF246" s="482"/>
      <c r="AG246" s="480" t="str">
        <f>Fuente!AB246</f>
        <v>SECRETARÍA DE PLANEACIÓN</v>
      </c>
      <c r="AH246" s="81"/>
      <c r="AI246" s="81"/>
      <c r="AJ246" s="81"/>
    </row>
    <row r="247" spans="1:36" ht="63" x14ac:dyDescent="0.2">
      <c r="A247" s="76">
        <v>2</v>
      </c>
      <c r="B247" s="350" t="s">
        <v>1747</v>
      </c>
      <c r="C247" s="351" t="s">
        <v>887</v>
      </c>
      <c r="D247" s="350" t="s">
        <v>888</v>
      </c>
      <c r="E247" s="351" t="s">
        <v>889</v>
      </c>
      <c r="F247" s="350" t="s">
        <v>896</v>
      </c>
      <c r="G247" s="352"/>
      <c r="H247" s="352" t="s">
        <v>890</v>
      </c>
      <c r="I247" s="352" t="s">
        <v>890</v>
      </c>
      <c r="J247" s="490">
        <v>67</v>
      </c>
      <c r="K247" s="490">
        <v>60</v>
      </c>
      <c r="L247" s="488"/>
      <c r="M247" s="350" t="s">
        <v>901</v>
      </c>
      <c r="N247" s="350" t="s">
        <v>901</v>
      </c>
      <c r="O247" s="490">
        <v>0</v>
      </c>
      <c r="P247" s="490">
        <v>1</v>
      </c>
      <c r="Q247" s="485">
        <f>Fuente!AT251</f>
        <v>0</v>
      </c>
      <c r="R247" s="485">
        <f>Fuente!AU251</f>
        <v>0</v>
      </c>
      <c r="S247" s="485">
        <f>Fuente!AV251</f>
        <v>0</v>
      </c>
      <c r="T247" s="485">
        <f>Fuente!AW251</f>
        <v>0</v>
      </c>
      <c r="U247" s="467">
        <f>Fuente!AM251</f>
        <v>0</v>
      </c>
      <c r="V247" s="485">
        <f>Fuente!AY251</f>
        <v>1</v>
      </c>
      <c r="W247" s="485">
        <f>Fuente!AZ251</f>
        <v>0</v>
      </c>
      <c r="X247" s="485">
        <f>Fuente!BA251</f>
        <v>0</v>
      </c>
      <c r="Y247" s="485">
        <f>Fuente!BB251</f>
        <v>0</v>
      </c>
      <c r="Z247" s="485">
        <f>Fuente!BC251</f>
        <v>0</v>
      </c>
      <c r="AA247" s="467">
        <f>Fuente!BD251</f>
        <v>0</v>
      </c>
      <c r="AB247" s="487" t="s">
        <v>49</v>
      </c>
      <c r="AC247" s="477"/>
      <c r="AD247" s="477"/>
      <c r="AE247" s="477">
        <v>15</v>
      </c>
      <c r="AF247" s="482"/>
      <c r="AG247" s="480" t="str">
        <f>Fuente!AB247</f>
        <v>SECRETARÍA DE PLANEACIÓN</v>
      </c>
      <c r="AH247" s="81"/>
      <c r="AI247" s="81"/>
      <c r="AJ247" s="81"/>
    </row>
    <row r="248" spans="1:36" ht="75" x14ac:dyDescent="0.2">
      <c r="A248" s="76">
        <v>2</v>
      </c>
      <c r="B248" s="350" t="s">
        <v>1747</v>
      </c>
      <c r="C248" s="351" t="s">
        <v>887</v>
      </c>
      <c r="D248" s="350" t="s">
        <v>888</v>
      </c>
      <c r="E248" s="351" t="s">
        <v>902</v>
      </c>
      <c r="F248" s="350" t="s">
        <v>903</v>
      </c>
      <c r="G248" s="352"/>
      <c r="H248" s="352" t="s">
        <v>904</v>
      </c>
      <c r="I248" s="352" t="s">
        <v>904</v>
      </c>
      <c r="J248" s="490">
        <v>0</v>
      </c>
      <c r="K248" s="490">
        <v>1</v>
      </c>
      <c r="L248" s="488"/>
      <c r="M248" s="350" t="s">
        <v>905</v>
      </c>
      <c r="N248" s="350" t="s">
        <v>905</v>
      </c>
      <c r="O248" s="351">
        <v>0</v>
      </c>
      <c r="P248" s="351">
        <v>3</v>
      </c>
      <c r="Q248" s="485">
        <f>Fuente!AT252</f>
        <v>1</v>
      </c>
      <c r="R248" s="485">
        <f>Fuente!AU252</f>
        <v>0</v>
      </c>
      <c r="S248" s="485">
        <f>Fuente!AV252</f>
        <v>0</v>
      </c>
      <c r="T248" s="485">
        <f>Fuente!AW252</f>
        <v>0</v>
      </c>
      <c r="U248" s="467">
        <f>Fuente!AM252</f>
        <v>0</v>
      </c>
      <c r="V248" s="485">
        <f>Fuente!AY252</f>
        <v>1</v>
      </c>
      <c r="W248" s="485">
        <f>Fuente!AZ252</f>
        <v>1</v>
      </c>
      <c r="X248" s="485">
        <f>Fuente!BA252</f>
        <v>0</v>
      </c>
      <c r="Y248" s="485">
        <f>Fuente!BB252</f>
        <v>0</v>
      </c>
      <c r="Z248" s="485">
        <f>Fuente!BC252</f>
        <v>0</v>
      </c>
      <c r="AA248" s="467">
        <f>Fuente!BD252</f>
        <v>1</v>
      </c>
      <c r="AB248" s="477" t="s">
        <v>203</v>
      </c>
      <c r="AC248" s="480" t="s">
        <v>892</v>
      </c>
      <c r="AD248" s="477" t="s">
        <v>893</v>
      </c>
      <c r="AE248" s="477" t="s">
        <v>894</v>
      </c>
      <c r="AF248" s="494" t="s">
        <v>895</v>
      </c>
      <c r="AG248" s="480" t="str">
        <f>Fuente!AB248</f>
        <v>SECRETARÍA DE PLANEACIÓN</v>
      </c>
      <c r="AH248" s="81"/>
      <c r="AI248" s="81"/>
      <c r="AJ248" s="81"/>
    </row>
    <row r="249" spans="1:36" ht="78.75" x14ac:dyDescent="0.2">
      <c r="A249" s="76">
        <v>2</v>
      </c>
      <c r="B249" s="350" t="s">
        <v>1747</v>
      </c>
      <c r="C249" s="351" t="s">
        <v>887</v>
      </c>
      <c r="D249" s="350" t="s">
        <v>888</v>
      </c>
      <c r="E249" s="351" t="s">
        <v>902</v>
      </c>
      <c r="F249" s="350" t="s">
        <v>903</v>
      </c>
      <c r="G249" s="350"/>
      <c r="H249" s="350" t="s">
        <v>904</v>
      </c>
      <c r="I249" s="350" t="s">
        <v>904</v>
      </c>
      <c r="J249" s="490">
        <v>0</v>
      </c>
      <c r="K249" s="490">
        <v>1</v>
      </c>
      <c r="L249" s="488"/>
      <c r="M249" s="350" t="s">
        <v>906</v>
      </c>
      <c r="N249" s="350" t="s">
        <v>906</v>
      </c>
      <c r="O249" s="351">
        <v>0</v>
      </c>
      <c r="P249" s="351">
        <v>90</v>
      </c>
      <c r="Q249" s="485">
        <f>Fuente!AT253</f>
        <v>71</v>
      </c>
      <c r="R249" s="485">
        <f>Fuente!AU253</f>
        <v>0</v>
      </c>
      <c r="S249" s="485">
        <f>Fuente!AV253</f>
        <v>0</v>
      </c>
      <c r="T249" s="485">
        <f>Fuente!AW253</f>
        <v>0</v>
      </c>
      <c r="U249" s="467">
        <f>Fuente!AM253</f>
        <v>0.1111111111111111</v>
      </c>
      <c r="V249" s="485">
        <f>Fuente!AY253</f>
        <v>30</v>
      </c>
      <c r="W249" s="485">
        <f>Fuente!AZ253</f>
        <v>61</v>
      </c>
      <c r="X249" s="485">
        <f>Fuente!BA253</f>
        <v>0</v>
      </c>
      <c r="Y249" s="485">
        <f>Fuente!BB253</f>
        <v>0</v>
      </c>
      <c r="Z249" s="485">
        <f>Fuente!BC253</f>
        <v>0</v>
      </c>
      <c r="AA249" s="467">
        <f>Fuente!BD253</f>
        <v>1</v>
      </c>
      <c r="AB249" s="477" t="s">
        <v>203</v>
      </c>
      <c r="AC249" s="477" t="s">
        <v>898</v>
      </c>
      <c r="AD249" s="477" t="s">
        <v>899</v>
      </c>
      <c r="AE249" s="477" t="s">
        <v>893</v>
      </c>
      <c r="AF249" s="482" t="s">
        <v>894</v>
      </c>
      <c r="AG249" s="480" t="str">
        <f>Fuente!AB249</f>
        <v>SECRETARÍA DE PLANEACIÓN</v>
      </c>
      <c r="AH249" s="90"/>
      <c r="AI249" s="81"/>
      <c r="AJ249" s="81"/>
    </row>
    <row r="250" spans="1:36" ht="47.25" x14ac:dyDescent="0.2">
      <c r="A250" s="76">
        <v>2</v>
      </c>
      <c r="B250" s="350" t="s">
        <v>1747</v>
      </c>
      <c r="C250" s="351" t="s">
        <v>887</v>
      </c>
      <c r="D250" s="350" t="s">
        <v>888</v>
      </c>
      <c r="E250" s="351" t="s">
        <v>902</v>
      </c>
      <c r="F250" s="350" t="s">
        <v>903</v>
      </c>
      <c r="G250" s="352"/>
      <c r="H250" s="352" t="s">
        <v>904</v>
      </c>
      <c r="I250" s="352" t="s">
        <v>904</v>
      </c>
      <c r="J250" s="490">
        <v>0</v>
      </c>
      <c r="K250" s="490">
        <v>1</v>
      </c>
      <c r="L250" s="488"/>
      <c r="M250" s="350" t="s">
        <v>908</v>
      </c>
      <c r="N250" s="350" t="s">
        <v>908</v>
      </c>
      <c r="O250" s="351">
        <v>0</v>
      </c>
      <c r="P250" s="351">
        <v>1</v>
      </c>
      <c r="Q250" s="485">
        <f>Fuente!AT254</f>
        <v>0</v>
      </c>
      <c r="R250" s="485">
        <f>Fuente!AU254</f>
        <v>0</v>
      </c>
      <c r="S250" s="485">
        <f>Fuente!AV254</f>
        <v>0</v>
      </c>
      <c r="T250" s="485">
        <f>Fuente!AW254</f>
        <v>0</v>
      </c>
      <c r="U250" s="467">
        <f>Fuente!AM254</f>
        <v>0</v>
      </c>
      <c r="V250" s="485">
        <f>Fuente!AY254</f>
        <v>1</v>
      </c>
      <c r="W250" s="485">
        <f>Fuente!AZ254</f>
        <v>0</v>
      </c>
      <c r="X250" s="485">
        <f>Fuente!BA254</f>
        <v>0</v>
      </c>
      <c r="Y250" s="485">
        <f>Fuente!BB254</f>
        <v>0</v>
      </c>
      <c r="Z250" s="485">
        <f>Fuente!BC254</f>
        <v>0</v>
      </c>
      <c r="AA250" s="467">
        <f>Fuente!BD254</f>
        <v>0</v>
      </c>
      <c r="AB250" s="477" t="s">
        <v>203</v>
      </c>
      <c r="AC250" s="477">
        <v>1</v>
      </c>
      <c r="AD250" s="477">
        <v>0</v>
      </c>
      <c r="AE250" s="477">
        <v>0</v>
      </c>
      <c r="AF250" s="482"/>
      <c r="AG250" s="480" t="str">
        <f>Fuente!AB250</f>
        <v>SECRETARÍA DE PLANEACIÓN</v>
      </c>
      <c r="AH250" s="81"/>
      <c r="AI250" s="81"/>
      <c r="AJ250" s="81"/>
    </row>
    <row r="251" spans="1:36" ht="63" x14ac:dyDescent="0.2">
      <c r="A251" s="76">
        <v>2</v>
      </c>
      <c r="B251" s="350" t="s">
        <v>1747</v>
      </c>
      <c r="C251" s="351" t="s">
        <v>909</v>
      </c>
      <c r="D251" s="350" t="s">
        <v>910</v>
      </c>
      <c r="E251" s="351" t="s">
        <v>911</v>
      </c>
      <c r="F251" s="350" t="s">
        <v>912</v>
      </c>
      <c r="G251" s="352"/>
      <c r="H251" s="352" t="s">
        <v>913</v>
      </c>
      <c r="I251" s="350" t="s">
        <v>914</v>
      </c>
      <c r="J251" s="351">
        <v>1.4E-2</v>
      </c>
      <c r="K251" s="351">
        <v>0.02</v>
      </c>
      <c r="L251" s="350"/>
      <c r="M251" s="350" t="s">
        <v>915</v>
      </c>
      <c r="N251" s="350" t="s">
        <v>916</v>
      </c>
      <c r="O251" s="308">
        <v>6900</v>
      </c>
      <c r="P251" s="308">
        <v>9840</v>
      </c>
      <c r="Q251" s="485">
        <f>Fuente!AT255</f>
        <v>200</v>
      </c>
      <c r="R251" s="485">
        <f>Fuente!AU255</f>
        <v>0</v>
      </c>
      <c r="S251" s="485">
        <f>Fuente!AV255</f>
        <v>0</v>
      </c>
      <c r="T251" s="485">
        <f>Fuente!AW255</f>
        <v>0</v>
      </c>
      <c r="U251" s="467">
        <f>Fuente!AM255</f>
        <v>0</v>
      </c>
      <c r="V251" s="485">
        <f>Fuente!AY255</f>
        <v>1470</v>
      </c>
      <c r="W251" s="485">
        <f>Fuente!AZ255</f>
        <v>200</v>
      </c>
      <c r="X251" s="485">
        <f>Fuente!BA255</f>
        <v>0</v>
      </c>
      <c r="Y251" s="485">
        <f>Fuente!BB255</f>
        <v>0</v>
      </c>
      <c r="Z251" s="485">
        <f>Fuente!BC255</f>
        <v>0</v>
      </c>
      <c r="AA251" s="467">
        <f>Fuente!BD255</f>
        <v>0.1360544217687075</v>
      </c>
      <c r="AB251" s="477" t="s">
        <v>203</v>
      </c>
      <c r="AC251" s="477">
        <v>1</v>
      </c>
      <c r="AD251" s="477">
        <v>0</v>
      </c>
      <c r="AE251" s="477">
        <v>0</v>
      </c>
      <c r="AF251" s="482"/>
      <c r="AG251" s="480" t="str">
        <f>Fuente!AB251</f>
        <v>SECRETARÍA DE PLANEACIÓN</v>
      </c>
      <c r="AH251" s="81"/>
      <c r="AI251" s="81"/>
      <c r="AJ251" s="81"/>
    </row>
    <row r="252" spans="1:36" ht="63" x14ac:dyDescent="0.2">
      <c r="A252" s="76">
        <v>2</v>
      </c>
      <c r="B252" s="350" t="s">
        <v>1747</v>
      </c>
      <c r="C252" s="351" t="s">
        <v>909</v>
      </c>
      <c r="D252" s="350" t="s">
        <v>910</v>
      </c>
      <c r="E252" s="351" t="s">
        <v>920</v>
      </c>
      <c r="F252" s="350" t="s">
        <v>921</v>
      </c>
      <c r="G252" s="351"/>
      <c r="H252" s="352" t="s">
        <v>922</v>
      </c>
      <c r="I252" s="352" t="s">
        <v>923</v>
      </c>
      <c r="J252" s="491">
        <v>0.11</v>
      </c>
      <c r="K252" s="491">
        <v>0.5</v>
      </c>
      <c r="L252" s="479"/>
      <c r="M252" s="352" t="s">
        <v>924</v>
      </c>
      <c r="N252" s="352" t="s">
        <v>925</v>
      </c>
      <c r="O252" s="308">
        <v>5552</v>
      </c>
      <c r="P252" s="308">
        <v>25000</v>
      </c>
      <c r="Q252" s="485">
        <f>Fuente!AT256</f>
        <v>1664</v>
      </c>
      <c r="R252" s="485">
        <f>Fuente!AU256</f>
        <v>0</v>
      </c>
      <c r="S252" s="485">
        <f>Fuente!AV256</f>
        <v>0</v>
      </c>
      <c r="T252" s="485">
        <f>Fuente!AW256</f>
        <v>0</v>
      </c>
      <c r="U252" s="467">
        <f>Fuente!AM256</f>
        <v>5.8959999999999999E-2</v>
      </c>
      <c r="V252" s="485">
        <f>Fuente!AY256</f>
        <v>6712</v>
      </c>
      <c r="W252" s="485">
        <f>Fuente!AZ256</f>
        <v>190</v>
      </c>
      <c r="X252" s="485">
        <f>Fuente!BA256</f>
        <v>0</v>
      </c>
      <c r="Y252" s="485">
        <f>Fuente!BB256</f>
        <v>0</v>
      </c>
      <c r="Z252" s="485">
        <f>Fuente!BC256</f>
        <v>0</v>
      </c>
      <c r="AA252" s="467">
        <f>Fuente!BD256</f>
        <v>2.8307508939213348E-2</v>
      </c>
      <c r="AB252" s="477" t="s">
        <v>203</v>
      </c>
      <c r="AC252" s="477">
        <v>1</v>
      </c>
      <c r="AD252" s="477">
        <v>0</v>
      </c>
      <c r="AE252" s="477">
        <v>0</v>
      </c>
      <c r="AF252" s="482"/>
      <c r="AG252" s="480" t="str">
        <f>Fuente!AB252</f>
        <v>SECRETARÍA DE PLANEACIÓN</v>
      </c>
      <c r="AH252" s="81"/>
      <c r="AI252" s="81"/>
      <c r="AJ252" s="81"/>
    </row>
    <row r="253" spans="1:36" ht="126" x14ac:dyDescent="0.2">
      <c r="A253" s="76">
        <v>2</v>
      </c>
      <c r="B253" s="350" t="s">
        <v>1747</v>
      </c>
      <c r="C253" s="351" t="s">
        <v>909</v>
      </c>
      <c r="D253" s="350" t="s">
        <v>910</v>
      </c>
      <c r="E253" s="351" t="s">
        <v>926</v>
      </c>
      <c r="F253" s="350" t="s">
        <v>927</v>
      </c>
      <c r="G253" s="352"/>
      <c r="H253" s="352" t="s">
        <v>928</v>
      </c>
      <c r="I253" s="352" t="s">
        <v>929</v>
      </c>
      <c r="J253" s="491">
        <v>0.15</v>
      </c>
      <c r="K253" s="491">
        <v>0.39</v>
      </c>
      <c r="L253" s="463"/>
      <c r="M253" s="352" t="s">
        <v>930</v>
      </c>
      <c r="N253" s="352" t="s">
        <v>931</v>
      </c>
      <c r="O253" s="308">
        <v>7400</v>
      </c>
      <c r="P253" s="308">
        <v>19500</v>
      </c>
      <c r="Q253" s="485">
        <f>Fuente!AT257</f>
        <v>4684</v>
      </c>
      <c r="R253" s="485">
        <f>Fuente!AU257</f>
        <v>0</v>
      </c>
      <c r="S253" s="485">
        <f>Fuente!AV257</f>
        <v>0</v>
      </c>
      <c r="T253" s="485">
        <f>Fuente!AW257</f>
        <v>0</v>
      </c>
      <c r="U253" s="467">
        <f>Fuente!AM257</f>
        <v>0.15512820512820513</v>
      </c>
      <c r="V253" s="485">
        <f>Fuente!AY257</f>
        <v>3025</v>
      </c>
      <c r="W253" s="485">
        <f>Fuente!AZ257</f>
        <v>1659</v>
      </c>
      <c r="X253" s="485">
        <f>Fuente!BA257</f>
        <v>0</v>
      </c>
      <c r="Y253" s="485">
        <f>Fuente!BB257</f>
        <v>0</v>
      </c>
      <c r="Z253" s="485">
        <f>Fuente!BC257</f>
        <v>0</v>
      </c>
      <c r="AA253" s="467">
        <f>Fuente!BD257</f>
        <v>0.54842975206611566</v>
      </c>
      <c r="AB253" s="477" t="s">
        <v>203</v>
      </c>
      <c r="AC253" s="480" t="s">
        <v>907</v>
      </c>
      <c r="AD253" s="477" t="s">
        <v>893</v>
      </c>
      <c r="AE253" s="477" t="s">
        <v>894</v>
      </c>
      <c r="AF253" s="494" t="s">
        <v>895</v>
      </c>
      <c r="AG253" s="480" t="str">
        <f>Fuente!AB253</f>
        <v>SECRETARÍA DE PLANEACIÓN</v>
      </c>
      <c r="AH253" s="81"/>
      <c r="AI253" s="81"/>
      <c r="AJ253" s="81"/>
    </row>
    <row r="254" spans="1:36" ht="94.5" x14ac:dyDescent="0.2">
      <c r="A254" s="76">
        <v>2</v>
      </c>
      <c r="B254" s="350" t="s">
        <v>1747</v>
      </c>
      <c r="C254" s="351" t="s">
        <v>909</v>
      </c>
      <c r="D254" s="350" t="s">
        <v>910</v>
      </c>
      <c r="E254" s="351" t="s">
        <v>926</v>
      </c>
      <c r="F254" s="350" t="s">
        <v>927</v>
      </c>
      <c r="G254" s="352"/>
      <c r="H254" s="351" t="s">
        <v>933</v>
      </c>
      <c r="I254" s="350" t="s">
        <v>934</v>
      </c>
      <c r="J254" s="491">
        <v>0</v>
      </c>
      <c r="K254" s="491">
        <v>1</v>
      </c>
      <c r="L254" s="479"/>
      <c r="M254" s="350" t="s">
        <v>935</v>
      </c>
      <c r="N254" s="350" t="s">
        <v>936</v>
      </c>
      <c r="O254" s="308">
        <v>0</v>
      </c>
      <c r="P254" s="308">
        <v>2</v>
      </c>
      <c r="Q254" s="485">
        <f>Fuente!AT258</f>
        <v>0</v>
      </c>
      <c r="R254" s="485">
        <f>Fuente!AU258</f>
        <v>0</v>
      </c>
      <c r="S254" s="485">
        <f>Fuente!AV258</f>
        <v>0</v>
      </c>
      <c r="T254" s="485">
        <f>Fuente!AW258</f>
        <v>0</v>
      </c>
      <c r="U254" s="467">
        <f>Fuente!AM258</f>
        <v>0</v>
      </c>
      <c r="V254" s="485" t="str">
        <f>Fuente!AY258</f>
        <v>NP</v>
      </c>
      <c r="W254" s="485">
        <f>Fuente!AZ258</f>
        <v>0</v>
      </c>
      <c r="X254" s="485">
        <f>Fuente!BA258</f>
        <v>0</v>
      </c>
      <c r="Y254" s="485">
        <f>Fuente!BB258</f>
        <v>0</v>
      </c>
      <c r="Z254" s="485">
        <f>Fuente!BC258</f>
        <v>0</v>
      </c>
      <c r="AA254" s="467" t="str">
        <f>Fuente!BD258</f>
        <v>NP</v>
      </c>
      <c r="AB254" s="477" t="s">
        <v>203</v>
      </c>
      <c r="AC254" s="477"/>
      <c r="AD254" s="477"/>
      <c r="AE254" s="477">
        <v>1</v>
      </c>
      <c r="AF254" s="482">
        <v>0</v>
      </c>
      <c r="AG254" s="480" t="str">
        <f>Fuente!AB254</f>
        <v>SECRETARÍA DE PLANEACIÓN</v>
      </c>
      <c r="AH254" s="81"/>
      <c r="AI254" s="81"/>
      <c r="AJ254" s="81"/>
    </row>
    <row r="255" spans="1:36" ht="63" x14ac:dyDescent="0.2">
      <c r="A255" s="76">
        <v>2</v>
      </c>
      <c r="B255" s="350" t="s">
        <v>1747</v>
      </c>
      <c r="C255" s="351" t="s">
        <v>909</v>
      </c>
      <c r="D255" s="350" t="s">
        <v>910</v>
      </c>
      <c r="E255" s="351" t="s">
        <v>926</v>
      </c>
      <c r="F255" s="350" t="s">
        <v>927</v>
      </c>
      <c r="G255" s="352"/>
      <c r="H255" s="351" t="s">
        <v>937</v>
      </c>
      <c r="I255" s="350" t="s">
        <v>938</v>
      </c>
      <c r="J255" s="491">
        <v>0.34</v>
      </c>
      <c r="K255" s="491">
        <v>1</v>
      </c>
      <c r="L255" s="479"/>
      <c r="M255" s="350" t="s">
        <v>939</v>
      </c>
      <c r="N255" s="350" t="s">
        <v>940</v>
      </c>
      <c r="O255" s="308">
        <v>3</v>
      </c>
      <c r="P255" s="308">
        <v>5</v>
      </c>
      <c r="Q255" s="485">
        <f>Fuente!AT259</f>
        <v>0.3</v>
      </c>
      <c r="R255" s="485">
        <f>Fuente!AU259</f>
        <v>0</v>
      </c>
      <c r="S255" s="485">
        <f>Fuente!AV259</f>
        <v>0</v>
      </c>
      <c r="T255" s="485">
        <f>Fuente!AW259</f>
        <v>0</v>
      </c>
      <c r="U255" s="467">
        <f>Fuente!AM259</f>
        <v>0.06</v>
      </c>
      <c r="V255" s="485" t="str">
        <f>Fuente!AY259</f>
        <v>NP</v>
      </c>
      <c r="W255" s="485">
        <f>Fuente!AZ259</f>
        <v>0</v>
      </c>
      <c r="X255" s="485">
        <f>Fuente!BA259</f>
        <v>0</v>
      </c>
      <c r="Y255" s="485">
        <f>Fuente!BB259</f>
        <v>0</v>
      </c>
      <c r="Z255" s="485">
        <f>Fuente!BC259</f>
        <v>0</v>
      </c>
      <c r="AA255" s="467" t="str">
        <f>Fuente!BD259</f>
        <v>NP</v>
      </c>
      <c r="AB255" s="487" t="s">
        <v>49</v>
      </c>
      <c r="AC255" s="480" t="s">
        <v>917</v>
      </c>
      <c r="AD255" s="480" t="s">
        <v>918</v>
      </c>
      <c r="AE255" s="477"/>
      <c r="AF255" s="494" t="s">
        <v>919</v>
      </c>
      <c r="AG255" s="480" t="str">
        <f>Fuente!AB255</f>
        <v>SECRETARÍA DE AGRICULTURA</v>
      </c>
      <c r="AH255" s="81"/>
      <c r="AI255" s="81"/>
      <c r="AJ255" s="81"/>
    </row>
    <row r="256" spans="1:36" ht="63" x14ac:dyDescent="0.2">
      <c r="A256" s="76">
        <v>2</v>
      </c>
      <c r="B256" s="350" t="s">
        <v>1747</v>
      </c>
      <c r="C256" s="351" t="s">
        <v>909</v>
      </c>
      <c r="D256" s="350" t="s">
        <v>910</v>
      </c>
      <c r="E256" s="351" t="s">
        <v>943</v>
      </c>
      <c r="F256" s="350" t="s">
        <v>944</v>
      </c>
      <c r="G256" s="352"/>
      <c r="H256" s="352" t="s">
        <v>945</v>
      </c>
      <c r="I256" s="350" t="s">
        <v>946</v>
      </c>
      <c r="J256" s="491">
        <v>0</v>
      </c>
      <c r="K256" s="491">
        <v>1</v>
      </c>
      <c r="L256" s="479"/>
      <c r="M256" s="350" t="s">
        <v>945</v>
      </c>
      <c r="N256" s="350" t="s">
        <v>947</v>
      </c>
      <c r="O256" s="308">
        <v>0</v>
      </c>
      <c r="P256" s="308">
        <v>46</v>
      </c>
      <c r="Q256" s="485">
        <f>Fuente!AT260</f>
        <v>14</v>
      </c>
      <c r="R256" s="485">
        <f>Fuente!AU260</f>
        <v>0</v>
      </c>
      <c r="S256" s="485">
        <f>Fuente!AV260</f>
        <v>0</v>
      </c>
      <c r="T256" s="485">
        <f>Fuente!AW260</f>
        <v>0</v>
      </c>
      <c r="U256" s="467">
        <f>Fuente!AM260</f>
        <v>1</v>
      </c>
      <c r="V256" s="485">
        <f>Fuente!AY260</f>
        <v>46</v>
      </c>
      <c r="W256" s="485">
        <f>Fuente!AZ260</f>
        <v>10</v>
      </c>
      <c r="X256" s="485">
        <f>Fuente!BA260</f>
        <v>0</v>
      </c>
      <c r="Y256" s="485">
        <f>Fuente!BB260</f>
        <v>0</v>
      </c>
      <c r="Z256" s="485">
        <f>Fuente!BC260</f>
        <v>0</v>
      </c>
      <c r="AA256" s="467">
        <f>Fuente!BD260</f>
        <v>0.21739130434782608</v>
      </c>
      <c r="AB256" s="487" t="s">
        <v>49</v>
      </c>
      <c r="AC256" s="480"/>
      <c r="AD256" s="480" t="s">
        <v>918</v>
      </c>
      <c r="AE256" s="477"/>
      <c r="AF256" s="494" t="s">
        <v>919</v>
      </c>
      <c r="AG256" s="480" t="str">
        <f>Fuente!AB256</f>
        <v>SECRETARÍA DE AGRICULTURA</v>
      </c>
      <c r="AH256" s="81"/>
      <c r="AI256" s="81"/>
      <c r="AJ256" s="81"/>
    </row>
    <row r="257" spans="1:36" ht="47.25" x14ac:dyDescent="0.2">
      <c r="A257" s="76">
        <v>2</v>
      </c>
      <c r="B257" s="350" t="s">
        <v>1747</v>
      </c>
      <c r="C257" s="351" t="s">
        <v>909</v>
      </c>
      <c r="D257" s="350" t="s">
        <v>910</v>
      </c>
      <c r="E257" s="351" t="s">
        <v>949</v>
      </c>
      <c r="F257" s="350" t="s">
        <v>950</v>
      </c>
      <c r="G257" s="352"/>
      <c r="H257" s="352" t="s">
        <v>951</v>
      </c>
      <c r="I257" s="350" t="s">
        <v>952</v>
      </c>
      <c r="J257" s="491">
        <v>0.15</v>
      </c>
      <c r="K257" s="491">
        <v>0.2</v>
      </c>
      <c r="L257" s="479"/>
      <c r="M257" s="350" t="s">
        <v>953</v>
      </c>
      <c r="N257" s="350" t="s">
        <v>954</v>
      </c>
      <c r="O257" s="308">
        <v>7501</v>
      </c>
      <c r="P257" s="308">
        <v>10000</v>
      </c>
      <c r="Q257" s="485">
        <f>Fuente!AT261</f>
        <v>700</v>
      </c>
      <c r="R257" s="485">
        <f>Fuente!AU261</f>
        <v>0</v>
      </c>
      <c r="S257" s="485">
        <f>Fuente!AV261</f>
        <v>0</v>
      </c>
      <c r="T257" s="485">
        <f>Fuente!AW261</f>
        <v>0</v>
      </c>
      <c r="U257" s="467">
        <f>Fuente!AM261</f>
        <v>0.05</v>
      </c>
      <c r="V257" s="485">
        <f>Fuente!AY261</f>
        <v>625</v>
      </c>
      <c r="W257" s="485">
        <f>Fuente!AZ261</f>
        <v>200</v>
      </c>
      <c r="X257" s="485">
        <f>Fuente!BA261</f>
        <v>0</v>
      </c>
      <c r="Y257" s="485">
        <f>Fuente!BB261</f>
        <v>0</v>
      </c>
      <c r="Z257" s="485">
        <f>Fuente!BC261</f>
        <v>0</v>
      </c>
      <c r="AA257" s="467">
        <f>Fuente!BD261</f>
        <v>0.32</v>
      </c>
      <c r="AB257" s="487" t="s">
        <v>49</v>
      </c>
      <c r="AC257" s="480" t="s">
        <v>932</v>
      </c>
      <c r="AD257" s="480" t="s">
        <v>918</v>
      </c>
      <c r="AE257" s="480"/>
      <c r="AF257" s="494" t="s">
        <v>919</v>
      </c>
      <c r="AG257" s="480" t="str">
        <f>Fuente!AB257</f>
        <v>SECRETARÍA DE AGRICULTURA</v>
      </c>
      <c r="AH257" s="81"/>
      <c r="AI257" s="81"/>
      <c r="AJ257" s="81"/>
    </row>
    <row r="258" spans="1:36" ht="63" x14ac:dyDescent="0.2">
      <c r="A258" s="76">
        <v>2</v>
      </c>
      <c r="B258" s="350" t="s">
        <v>1747</v>
      </c>
      <c r="C258" s="351" t="s">
        <v>909</v>
      </c>
      <c r="D258" s="350" t="s">
        <v>910</v>
      </c>
      <c r="E258" s="351" t="s">
        <v>956</v>
      </c>
      <c r="F258" s="350" t="s">
        <v>957</v>
      </c>
      <c r="G258" s="352"/>
      <c r="H258" s="352" t="s">
        <v>958</v>
      </c>
      <c r="I258" s="350" t="s">
        <v>959</v>
      </c>
      <c r="J258" s="491">
        <v>0</v>
      </c>
      <c r="K258" s="491">
        <v>1</v>
      </c>
      <c r="L258" s="479"/>
      <c r="M258" s="350" t="s">
        <v>960</v>
      </c>
      <c r="N258" s="350" t="s">
        <v>961</v>
      </c>
      <c r="O258" s="308">
        <v>1</v>
      </c>
      <c r="P258" s="308">
        <v>1</v>
      </c>
      <c r="Q258" s="485">
        <f>Fuente!AT262</f>
        <v>1</v>
      </c>
      <c r="R258" s="485">
        <f>Fuente!AU262</f>
        <v>0</v>
      </c>
      <c r="S258" s="485">
        <f>Fuente!AV262</f>
        <v>0</v>
      </c>
      <c r="T258" s="485">
        <f>Fuente!AW262</f>
        <v>0</v>
      </c>
      <c r="U258" s="467">
        <f>Fuente!AM262</f>
        <v>0</v>
      </c>
      <c r="V258" s="485">
        <f>Fuente!AY262</f>
        <v>1</v>
      </c>
      <c r="W258" s="485">
        <f>Fuente!AZ262</f>
        <v>1</v>
      </c>
      <c r="X258" s="485">
        <f>Fuente!BA262</f>
        <v>0</v>
      </c>
      <c r="Y258" s="485">
        <f>Fuente!BB262</f>
        <v>0</v>
      </c>
      <c r="Z258" s="485">
        <f>Fuente!BC262</f>
        <v>0</v>
      </c>
      <c r="AA258" s="467">
        <f>Fuente!BD262</f>
        <v>1</v>
      </c>
      <c r="AB258" s="487" t="s">
        <v>49</v>
      </c>
      <c r="AC258" s="477"/>
      <c r="AD258" s="477"/>
      <c r="AE258" s="477"/>
      <c r="AF258" s="494" t="s">
        <v>919</v>
      </c>
      <c r="AG258" s="480" t="str">
        <f>Fuente!AB258</f>
        <v>SECRETARÍA DE AGRICULTURA</v>
      </c>
      <c r="AH258" s="81"/>
      <c r="AI258" s="81"/>
      <c r="AJ258" s="81"/>
    </row>
    <row r="259" spans="1:36" ht="110.25" x14ac:dyDescent="0.2">
      <c r="A259" s="76">
        <v>2</v>
      </c>
      <c r="B259" s="350" t="s">
        <v>1747</v>
      </c>
      <c r="C259" s="351" t="s">
        <v>964</v>
      </c>
      <c r="D259" s="350" t="s">
        <v>965</v>
      </c>
      <c r="E259" s="351" t="s">
        <v>966</v>
      </c>
      <c r="F259" s="350" t="s">
        <v>967</v>
      </c>
      <c r="G259" s="352"/>
      <c r="H259" s="352" t="s">
        <v>968</v>
      </c>
      <c r="I259" s="352" t="s">
        <v>969</v>
      </c>
      <c r="J259" s="76">
        <v>372</v>
      </c>
      <c r="K259" s="76">
        <v>120</v>
      </c>
      <c r="L259" s="353"/>
      <c r="M259" s="350" t="s">
        <v>970</v>
      </c>
      <c r="N259" s="350" t="s">
        <v>970</v>
      </c>
      <c r="O259" s="76">
        <v>0</v>
      </c>
      <c r="P259" s="76">
        <v>4000</v>
      </c>
      <c r="Q259" s="485">
        <f>Fuente!AT263</f>
        <v>0</v>
      </c>
      <c r="R259" s="485">
        <f>Fuente!AU263</f>
        <v>0</v>
      </c>
      <c r="S259" s="485">
        <f>Fuente!AV263</f>
        <v>0</v>
      </c>
      <c r="T259" s="485">
        <f>Fuente!AW263</f>
        <v>0</v>
      </c>
      <c r="U259" s="467">
        <f>Fuente!AM263</f>
        <v>0</v>
      </c>
      <c r="V259" s="485">
        <f>Fuente!AY263</f>
        <v>1000</v>
      </c>
      <c r="W259" s="485">
        <f>Fuente!AZ263</f>
        <v>0</v>
      </c>
      <c r="X259" s="485">
        <f>Fuente!BA263</f>
        <v>0</v>
      </c>
      <c r="Y259" s="485">
        <f>Fuente!BB263</f>
        <v>0</v>
      </c>
      <c r="Z259" s="485">
        <f>Fuente!BC263</f>
        <v>0</v>
      </c>
      <c r="AA259" s="467">
        <f>Fuente!BD263</f>
        <v>0</v>
      </c>
      <c r="AB259" s="487" t="s">
        <v>49</v>
      </c>
      <c r="AC259" s="480" t="s">
        <v>941</v>
      </c>
      <c r="AD259" s="480" t="s">
        <v>942</v>
      </c>
      <c r="AE259" s="477"/>
      <c r="AF259" s="494" t="s">
        <v>919</v>
      </c>
      <c r="AG259" s="480" t="str">
        <f>Fuente!AB259</f>
        <v>SECRETARÍA DE AGRICULTURA</v>
      </c>
      <c r="AH259" s="81"/>
      <c r="AI259" s="81"/>
      <c r="AJ259" s="81"/>
    </row>
    <row r="260" spans="1:36" ht="110.25" x14ac:dyDescent="0.2">
      <c r="A260" s="76">
        <v>2</v>
      </c>
      <c r="B260" s="350" t="s">
        <v>1747</v>
      </c>
      <c r="C260" s="351" t="s">
        <v>964</v>
      </c>
      <c r="D260" s="350" t="s">
        <v>965</v>
      </c>
      <c r="E260" s="351" t="s">
        <v>966</v>
      </c>
      <c r="F260" s="350" t="s">
        <v>967</v>
      </c>
      <c r="G260" s="352"/>
      <c r="H260" s="352" t="s">
        <v>968</v>
      </c>
      <c r="I260" s="352" t="s">
        <v>969</v>
      </c>
      <c r="J260" s="76">
        <v>372</v>
      </c>
      <c r="K260" s="76">
        <v>120</v>
      </c>
      <c r="L260" s="353"/>
      <c r="M260" s="350" t="s">
        <v>974</v>
      </c>
      <c r="N260" s="350" t="s">
        <v>974</v>
      </c>
      <c r="O260" s="76">
        <v>200</v>
      </c>
      <c r="P260" s="76">
        <v>1500</v>
      </c>
      <c r="Q260" s="485">
        <f>Fuente!AT264</f>
        <v>0</v>
      </c>
      <c r="R260" s="485">
        <f>Fuente!AU264</f>
        <v>0</v>
      </c>
      <c r="S260" s="485">
        <f>Fuente!AV264</f>
        <v>0</v>
      </c>
      <c r="T260" s="485">
        <f>Fuente!AW264</f>
        <v>0</v>
      </c>
      <c r="U260" s="467">
        <f>Fuente!AM264</f>
        <v>0</v>
      </c>
      <c r="V260" s="485">
        <f>Fuente!AY264</f>
        <v>300</v>
      </c>
      <c r="W260" s="485">
        <f>Fuente!AZ264</f>
        <v>0</v>
      </c>
      <c r="X260" s="485">
        <f>Fuente!BA264</f>
        <v>0</v>
      </c>
      <c r="Y260" s="485">
        <f>Fuente!BB264</f>
        <v>0</v>
      </c>
      <c r="Z260" s="485">
        <f>Fuente!BC264</f>
        <v>0</v>
      </c>
      <c r="AA260" s="467">
        <f>Fuente!BD264</f>
        <v>0</v>
      </c>
      <c r="AB260" s="487" t="s">
        <v>78</v>
      </c>
      <c r="AC260" s="480" t="s">
        <v>948</v>
      </c>
      <c r="AD260" s="480" t="s">
        <v>918</v>
      </c>
      <c r="AE260" s="477"/>
      <c r="AF260" s="494" t="s">
        <v>919</v>
      </c>
      <c r="AG260" s="480" t="str">
        <f>Fuente!AB260</f>
        <v>SECRETARÍA DE AGRICULTURA</v>
      </c>
      <c r="AH260" s="81"/>
      <c r="AI260" s="81"/>
      <c r="AJ260" s="81"/>
    </row>
    <row r="261" spans="1:36" ht="110.25" x14ac:dyDescent="0.2">
      <c r="A261" s="76">
        <v>2</v>
      </c>
      <c r="B261" s="350" t="s">
        <v>1747</v>
      </c>
      <c r="C261" s="351" t="s">
        <v>964</v>
      </c>
      <c r="D261" s="350" t="s">
        <v>965</v>
      </c>
      <c r="E261" s="351" t="s">
        <v>966</v>
      </c>
      <c r="F261" s="350" t="s">
        <v>967</v>
      </c>
      <c r="G261" s="352"/>
      <c r="H261" s="352" t="s">
        <v>968</v>
      </c>
      <c r="I261" s="352" t="s">
        <v>969</v>
      </c>
      <c r="J261" s="76">
        <v>372</v>
      </c>
      <c r="K261" s="76">
        <v>120</v>
      </c>
      <c r="L261" s="353"/>
      <c r="M261" s="350" t="s">
        <v>975</v>
      </c>
      <c r="N261" s="350" t="s">
        <v>975</v>
      </c>
      <c r="O261" s="76">
        <v>0</v>
      </c>
      <c r="P261" s="76">
        <v>3</v>
      </c>
      <c r="Q261" s="485">
        <f>Fuente!AT265</f>
        <v>0.5</v>
      </c>
      <c r="R261" s="485">
        <f>Fuente!AU265</f>
        <v>0</v>
      </c>
      <c r="S261" s="485">
        <f>Fuente!AV265</f>
        <v>0</v>
      </c>
      <c r="T261" s="485">
        <f>Fuente!AW265</f>
        <v>0</v>
      </c>
      <c r="U261" s="467">
        <f>Fuente!AM265</f>
        <v>0</v>
      </c>
      <c r="V261" s="485">
        <f>Fuente!AY265</f>
        <v>1</v>
      </c>
      <c r="W261" s="485">
        <f>Fuente!AZ265</f>
        <v>0.5</v>
      </c>
      <c r="X261" s="485">
        <f>Fuente!BA265</f>
        <v>0</v>
      </c>
      <c r="Y261" s="485">
        <f>Fuente!BB265</f>
        <v>0</v>
      </c>
      <c r="Z261" s="485">
        <f>Fuente!BC265</f>
        <v>0</v>
      </c>
      <c r="AA261" s="467">
        <f>Fuente!BD265</f>
        <v>0.5</v>
      </c>
      <c r="AB261" s="477" t="s">
        <v>49</v>
      </c>
      <c r="AC261" s="480" t="s">
        <v>955</v>
      </c>
      <c r="AD261" s="480" t="s">
        <v>918</v>
      </c>
      <c r="AE261" s="477"/>
      <c r="AF261" s="494" t="s">
        <v>919</v>
      </c>
      <c r="AG261" s="480" t="str">
        <f>Fuente!AB261</f>
        <v>SECRETARÍA DE AGRICULTURA</v>
      </c>
      <c r="AH261" s="81"/>
      <c r="AI261" s="81"/>
      <c r="AJ261" s="81"/>
    </row>
    <row r="262" spans="1:36" ht="110.25" x14ac:dyDescent="0.2">
      <c r="A262" s="76">
        <v>2</v>
      </c>
      <c r="B262" s="350" t="s">
        <v>1747</v>
      </c>
      <c r="C262" s="351" t="s">
        <v>964</v>
      </c>
      <c r="D262" s="350" t="s">
        <v>965</v>
      </c>
      <c r="E262" s="351" t="s">
        <v>976</v>
      </c>
      <c r="F262" s="350" t="s">
        <v>977</v>
      </c>
      <c r="G262" s="352"/>
      <c r="H262" s="352" t="s">
        <v>978</v>
      </c>
      <c r="I262" s="352" t="s">
        <v>979</v>
      </c>
      <c r="J262" s="76">
        <v>4216540</v>
      </c>
      <c r="K262" s="76">
        <v>5500000</v>
      </c>
      <c r="L262" s="353"/>
      <c r="M262" s="350" t="s">
        <v>980</v>
      </c>
      <c r="N262" s="350" t="s">
        <v>980</v>
      </c>
      <c r="O262" s="76">
        <v>0</v>
      </c>
      <c r="P262" s="76">
        <v>2</v>
      </c>
      <c r="Q262" s="485">
        <f>Fuente!AT266</f>
        <v>0.4</v>
      </c>
      <c r="R262" s="485">
        <f>Fuente!AU266</f>
        <v>0</v>
      </c>
      <c r="S262" s="485">
        <f>Fuente!AV266</f>
        <v>0</v>
      </c>
      <c r="T262" s="485">
        <f>Fuente!AW266</f>
        <v>0</v>
      </c>
      <c r="U262" s="467">
        <f>Fuente!AM266</f>
        <v>0.125</v>
      </c>
      <c r="V262" s="485">
        <f>Fuente!AY266</f>
        <v>1</v>
      </c>
      <c r="W262" s="485">
        <f>Fuente!AZ266</f>
        <v>0.15</v>
      </c>
      <c r="X262" s="485">
        <f>Fuente!BA266</f>
        <v>0</v>
      </c>
      <c r="Y262" s="485">
        <f>Fuente!BB266</f>
        <v>0</v>
      </c>
      <c r="Z262" s="485">
        <f>Fuente!BC266</f>
        <v>0</v>
      </c>
      <c r="AA262" s="467">
        <f>Fuente!BD266</f>
        <v>0.15</v>
      </c>
      <c r="AB262" s="477" t="s">
        <v>49</v>
      </c>
      <c r="AC262" s="480" t="s">
        <v>962</v>
      </c>
      <c r="AD262" s="477" t="s">
        <v>918</v>
      </c>
      <c r="AE262" s="477"/>
      <c r="AF262" s="482" t="s">
        <v>963</v>
      </c>
      <c r="AG262" s="480" t="str">
        <f>Fuente!AB262</f>
        <v>SECRETARÍA DE AGRICULTURA</v>
      </c>
      <c r="AH262" s="81"/>
      <c r="AI262" s="81"/>
      <c r="AJ262" s="81"/>
    </row>
    <row r="263" spans="1:36" ht="110.25" x14ac:dyDescent="0.2">
      <c r="A263" s="76">
        <v>2</v>
      </c>
      <c r="B263" s="350" t="s">
        <v>1747</v>
      </c>
      <c r="C263" s="351" t="s">
        <v>964</v>
      </c>
      <c r="D263" s="350" t="s">
        <v>965</v>
      </c>
      <c r="E263" s="351" t="s">
        <v>976</v>
      </c>
      <c r="F263" s="350" t="s">
        <v>977</v>
      </c>
      <c r="G263" s="352"/>
      <c r="H263" s="352" t="s">
        <v>978</v>
      </c>
      <c r="I263" s="352" t="s">
        <v>979</v>
      </c>
      <c r="J263" s="76">
        <v>4216540</v>
      </c>
      <c r="K263" s="76">
        <v>5500000</v>
      </c>
      <c r="L263" s="353"/>
      <c r="M263" s="350" t="s">
        <v>982</v>
      </c>
      <c r="N263" s="350" t="s">
        <v>982</v>
      </c>
      <c r="O263" s="76">
        <v>0</v>
      </c>
      <c r="P263" s="76">
        <v>1</v>
      </c>
      <c r="Q263" s="485">
        <f>Fuente!AT267</f>
        <v>0</v>
      </c>
      <c r="R263" s="485">
        <f>Fuente!AU267</f>
        <v>0</v>
      </c>
      <c r="S263" s="485">
        <f>Fuente!AV267</f>
        <v>0</v>
      </c>
      <c r="T263" s="485">
        <f>Fuente!AW267</f>
        <v>0</v>
      </c>
      <c r="U263" s="467">
        <f>Fuente!AM267</f>
        <v>0</v>
      </c>
      <c r="V263" s="485" t="str">
        <f>Fuente!AY267</f>
        <v>NP</v>
      </c>
      <c r="W263" s="485">
        <f>Fuente!AZ267</f>
        <v>0</v>
      </c>
      <c r="X263" s="485">
        <f>Fuente!BA267</f>
        <v>0</v>
      </c>
      <c r="Y263" s="485">
        <f>Fuente!BB267</f>
        <v>0</v>
      </c>
      <c r="Z263" s="485">
        <f>Fuente!BC267</f>
        <v>0</v>
      </c>
      <c r="AA263" s="467" t="str">
        <f>Fuente!BD267</f>
        <v>NP</v>
      </c>
      <c r="AB263" s="477" t="s">
        <v>971</v>
      </c>
      <c r="AC263" s="477"/>
      <c r="AD263" s="480" t="s">
        <v>972</v>
      </c>
      <c r="AE263" s="480">
        <v>21</v>
      </c>
      <c r="AF263" s="494" t="s">
        <v>973</v>
      </c>
      <c r="AG263" s="480" t="str">
        <f>Fuente!AB263</f>
        <v xml:space="preserve">SECRETARÍA DE MINAS Y ENERGÍA   </v>
      </c>
      <c r="AH263" s="81"/>
      <c r="AI263" s="81"/>
      <c r="AJ263" s="81"/>
    </row>
    <row r="264" spans="1:36" ht="110.25" x14ac:dyDescent="0.2">
      <c r="A264" s="76">
        <v>2</v>
      </c>
      <c r="B264" s="350" t="s">
        <v>1747</v>
      </c>
      <c r="C264" s="351" t="s">
        <v>964</v>
      </c>
      <c r="D264" s="350" t="s">
        <v>965</v>
      </c>
      <c r="E264" s="351" t="s">
        <v>976</v>
      </c>
      <c r="F264" s="350" t="s">
        <v>977</v>
      </c>
      <c r="G264" s="352"/>
      <c r="H264" s="352" t="s">
        <v>978</v>
      </c>
      <c r="I264" s="352" t="s">
        <v>979</v>
      </c>
      <c r="J264" s="76">
        <v>4216540</v>
      </c>
      <c r="K264" s="76">
        <v>5500000</v>
      </c>
      <c r="L264" s="353"/>
      <c r="M264" s="350" t="s">
        <v>983</v>
      </c>
      <c r="N264" s="350" t="s">
        <v>983</v>
      </c>
      <c r="O264" s="76">
        <v>0</v>
      </c>
      <c r="P264" s="76">
        <v>1</v>
      </c>
      <c r="Q264" s="485">
        <f>Fuente!AT268</f>
        <v>0.3</v>
      </c>
      <c r="R264" s="485">
        <f>Fuente!AU268</f>
        <v>0</v>
      </c>
      <c r="S264" s="485">
        <f>Fuente!AV268</f>
        <v>0</v>
      </c>
      <c r="T264" s="485">
        <f>Fuente!AW268</f>
        <v>0</v>
      </c>
      <c r="U264" s="467">
        <f>Fuente!AM268</f>
        <v>0.3</v>
      </c>
      <c r="V264" s="485" t="str">
        <f>Fuente!AY268</f>
        <v>NP</v>
      </c>
      <c r="W264" s="485">
        <f>Fuente!AZ268</f>
        <v>0</v>
      </c>
      <c r="X264" s="485">
        <f>Fuente!BA268</f>
        <v>0</v>
      </c>
      <c r="Y264" s="485">
        <f>Fuente!BB268</f>
        <v>0</v>
      </c>
      <c r="Z264" s="485">
        <f>Fuente!BC268</f>
        <v>0</v>
      </c>
      <c r="AA264" s="467" t="str">
        <f>Fuente!BD268</f>
        <v>NP</v>
      </c>
      <c r="AB264" s="477" t="s">
        <v>49</v>
      </c>
      <c r="AC264" s="477"/>
      <c r="AD264" s="480" t="s">
        <v>972</v>
      </c>
      <c r="AE264" s="480">
        <v>21</v>
      </c>
      <c r="AF264" s="494" t="s">
        <v>973</v>
      </c>
      <c r="AG264" s="480" t="str">
        <f>Fuente!AB264</f>
        <v xml:space="preserve">SECRETARÍA DE MINAS Y ENERGÍA   </v>
      </c>
      <c r="AH264" s="81"/>
      <c r="AI264" s="81"/>
      <c r="AJ264" s="81"/>
    </row>
    <row r="265" spans="1:36" ht="126" x14ac:dyDescent="0.2">
      <c r="A265" s="76">
        <v>2</v>
      </c>
      <c r="B265" s="350" t="s">
        <v>1747</v>
      </c>
      <c r="C265" s="351" t="s">
        <v>964</v>
      </c>
      <c r="D265" s="350" t="s">
        <v>965</v>
      </c>
      <c r="E265" s="351" t="s">
        <v>976</v>
      </c>
      <c r="F265" s="350" t="s">
        <v>977</v>
      </c>
      <c r="G265" s="352"/>
      <c r="H265" s="352" t="s">
        <v>978</v>
      </c>
      <c r="I265" s="352" t="s">
        <v>979</v>
      </c>
      <c r="J265" s="76">
        <v>4216540</v>
      </c>
      <c r="K265" s="76">
        <v>5500000</v>
      </c>
      <c r="L265" s="353"/>
      <c r="M265" s="350" t="s">
        <v>984</v>
      </c>
      <c r="N265" s="350" t="s">
        <v>984</v>
      </c>
      <c r="O265" s="76">
        <v>0</v>
      </c>
      <c r="P265" s="76">
        <v>7</v>
      </c>
      <c r="Q265" s="485">
        <f>Fuente!AT269</f>
        <v>1.5</v>
      </c>
      <c r="R265" s="485">
        <f>Fuente!AU269</f>
        <v>0</v>
      </c>
      <c r="S265" s="485">
        <f>Fuente!AV269</f>
        <v>0</v>
      </c>
      <c r="T265" s="485">
        <f>Fuente!AW269</f>
        <v>0</v>
      </c>
      <c r="U265" s="467">
        <f>Fuente!AM269</f>
        <v>0.14285714285714285</v>
      </c>
      <c r="V265" s="485">
        <f>Fuente!AY269</f>
        <v>2</v>
      </c>
      <c r="W265" s="485">
        <f>Fuente!AZ269</f>
        <v>0.5</v>
      </c>
      <c r="X265" s="485">
        <f>Fuente!BA269</f>
        <v>0</v>
      </c>
      <c r="Y265" s="485">
        <f>Fuente!BB269</f>
        <v>0</v>
      </c>
      <c r="Z265" s="485">
        <f>Fuente!BC269</f>
        <v>0</v>
      </c>
      <c r="AA265" s="467">
        <f>Fuente!BD269</f>
        <v>0.25</v>
      </c>
      <c r="AB265" s="477" t="s">
        <v>49</v>
      </c>
      <c r="AC265" s="477"/>
      <c r="AD265" s="480" t="s">
        <v>972</v>
      </c>
      <c r="AE265" s="480">
        <v>21</v>
      </c>
      <c r="AF265" s="494" t="s">
        <v>973</v>
      </c>
      <c r="AG265" s="480" t="str">
        <f>Fuente!AB265</f>
        <v xml:space="preserve">SECRETARÍA DE MINAS Y ENERGÍA   </v>
      </c>
      <c r="AH265" s="81"/>
      <c r="AI265" s="81"/>
      <c r="AJ265" s="81"/>
    </row>
    <row r="266" spans="1:36" ht="110.25" x14ac:dyDescent="0.2">
      <c r="A266" s="76">
        <v>2</v>
      </c>
      <c r="B266" s="350" t="s">
        <v>1747</v>
      </c>
      <c r="C266" s="351" t="s">
        <v>964</v>
      </c>
      <c r="D266" s="350" t="s">
        <v>965</v>
      </c>
      <c r="E266" s="351" t="s">
        <v>986</v>
      </c>
      <c r="F266" s="350" t="s">
        <v>987</v>
      </c>
      <c r="G266" s="352"/>
      <c r="H266" s="352" t="s">
        <v>988</v>
      </c>
      <c r="I266" s="350" t="s">
        <v>989</v>
      </c>
      <c r="J266" s="76">
        <v>332</v>
      </c>
      <c r="K266" s="76">
        <v>1500</v>
      </c>
      <c r="L266" s="353"/>
      <c r="M266" s="350" t="s">
        <v>990</v>
      </c>
      <c r="N266" s="350" t="s">
        <v>990</v>
      </c>
      <c r="O266" s="76">
        <v>332</v>
      </c>
      <c r="P266" s="76">
        <v>1500</v>
      </c>
      <c r="Q266" s="485">
        <f>Fuente!AT270</f>
        <v>0</v>
      </c>
      <c r="R266" s="485">
        <f>Fuente!AU270</f>
        <v>0</v>
      </c>
      <c r="S266" s="485">
        <f>Fuente!AV270</f>
        <v>0</v>
      </c>
      <c r="T266" s="485">
        <f>Fuente!AW270</f>
        <v>0</v>
      </c>
      <c r="U266" s="467">
        <f>Fuente!AM270</f>
        <v>0</v>
      </c>
      <c r="V266" s="485">
        <f>Fuente!AY270</f>
        <v>300</v>
      </c>
      <c r="W266" s="485">
        <f>Fuente!AZ270</f>
        <v>0</v>
      </c>
      <c r="X266" s="485">
        <f>Fuente!BA270</f>
        <v>0</v>
      </c>
      <c r="Y266" s="485">
        <f>Fuente!BB270</f>
        <v>0</v>
      </c>
      <c r="Z266" s="485">
        <f>Fuente!BC270</f>
        <v>0</v>
      </c>
      <c r="AA266" s="467">
        <f>Fuente!BD270</f>
        <v>0</v>
      </c>
      <c r="AB266" s="477" t="s">
        <v>49</v>
      </c>
      <c r="AC266" s="477"/>
      <c r="AD266" s="480" t="s">
        <v>972</v>
      </c>
      <c r="AE266" s="480">
        <v>21</v>
      </c>
      <c r="AF266" s="494" t="s">
        <v>981</v>
      </c>
      <c r="AG266" s="480" t="str">
        <f>Fuente!AB266</f>
        <v xml:space="preserve">SECRETARÍA DE MINAS Y ENERGÍA   </v>
      </c>
      <c r="AH266" s="81"/>
      <c r="AI266" s="81"/>
      <c r="AJ266" s="81"/>
    </row>
    <row r="267" spans="1:36" ht="110.25" x14ac:dyDescent="0.2">
      <c r="A267" s="76">
        <v>2</v>
      </c>
      <c r="B267" s="350" t="s">
        <v>1747</v>
      </c>
      <c r="C267" s="351" t="s">
        <v>964</v>
      </c>
      <c r="D267" s="350" t="s">
        <v>965</v>
      </c>
      <c r="E267" s="351" t="s">
        <v>986</v>
      </c>
      <c r="F267" s="350" t="s">
        <v>987</v>
      </c>
      <c r="G267" s="352"/>
      <c r="H267" s="352" t="s">
        <v>988</v>
      </c>
      <c r="I267" s="352" t="s">
        <v>992</v>
      </c>
      <c r="J267" s="351" t="s">
        <v>993</v>
      </c>
      <c r="K267" s="76">
        <v>10</v>
      </c>
      <c r="L267" s="353"/>
      <c r="M267" s="350" t="s">
        <v>994</v>
      </c>
      <c r="N267" s="350" t="s">
        <v>994</v>
      </c>
      <c r="O267" s="76">
        <v>1</v>
      </c>
      <c r="P267" s="76">
        <v>1</v>
      </c>
      <c r="Q267" s="485">
        <f>Fuente!AT271</f>
        <v>7.5000000000000011E-2</v>
      </c>
      <c r="R267" s="485">
        <f>Fuente!AU271</f>
        <v>0</v>
      </c>
      <c r="S267" s="485">
        <f>Fuente!AV271</f>
        <v>0</v>
      </c>
      <c r="T267" s="485">
        <f>Fuente!AW271</f>
        <v>0</v>
      </c>
      <c r="U267" s="467">
        <f>Fuente!AM271</f>
        <v>0.1</v>
      </c>
      <c r="V267" s="485">
        <f>Fuente!AY271</f>
        <v>1</v>
      </c>
      <c r="W267" s="485">
        <f>Fuente!AZ271</f>
        <v>0.2</v>
      </c>
      <c r="X267" s="485">
        <f>Fuente!BA271</f>
        <v>0</v>
      </c>
      <c r="Y267" s="485">
        <f>Fuente!BB271</f>
        <v>0</v>
      </c>
      <c r="Z267" s="485">
        <f>Fuente!BC271</f>
        <v>0</v>
      </c>
      <c r="AA267" s="467">
        <f>Fuente!BD271</f>
        <v>0.2</v>
      </c>
      <c r="AB267" s="477" t="s">
        <v>49</v>
      </c>
      <c r="AC267" s="477"/>
      <c r="AD267" s="480" t="s">
        <v>972</v>
      </c>
      <c r="AE267" s="480">
        <v>21</v>
      </c>
      <c r="AF267" s="494" t="s">
        <v>981</v>
      </c>
      <c r="AG267" s="480" t="str">
        <f>Fuente!AB267</f>
        <v xml:space="preserve">SECRETARÍA DE MINAS Y ENERGÍA   </v>
      </c>
      <c r="AH267" s="81"/>
      <c r="AI267" s="81"/>
      <c r="AJ267" s="81"/>
    </row>
    <row r="268" spans="1:36" ht="110.25" x14ac:dyDescent="0.2">
      <c r="A268" s="76">
        <v>2</v>
      </c>
      <c r="B268" s="350" t="s">
        <v>1747</v>
      </c>
      <c r="C268" s="351" t="s">
        <v>964</v>
      </c>
      <c r="D268" s="350" t="s">
        <v>965</v>
      </c>
      <c r="E268" s="351" t="s">
        <v>986</v>
      </c>
      <c r="F268" s="350" t="s">
        <v>987</v>
      </c>
      <c r="G268" s="352"/>
      <c r="H268" s="352" t="s">
        <v>988</v>
      </c>
      <c r="I268" s="352" t="s">
        <v>992</v>
      </c>
      <c r="J268" s="351" t="s">
        <v>993</v>
      </c>
      <c r="K268" s="76">
        <v>10</v>
      </c>
      <c r="L268" s="353"/>
      <c r="M268" s="350" t="s">
        <v>995</v>
      </c>
      <c r="N268" s="350" t="s">
        <v>995</v>
      </c>
      <c r="O268" s="76">
        <v>0</v>
      </c>
      <c r="P268" s="76">
        <v>1</v>
      </c>
      <c r="Q268" s="485">
        <f>Fuente!AT272</f>
        <v>0</v>
      </c>
      <c r="R268" s="485">
        <f>Fuente!AU272</f>
        <v>0</v>
      </c>
      <c r="S268" s="485">
        <f>Fuente!AV272</f>
        <v>0</v>
      </c>
      <c r="T268" s="485">
        <f>Fuente!AW272</f>
        <v>0</v>
      </c>
      <c r="U268" s="467">
        <f>Fuente!AM272</f>
        <v>0</v>
      </c>
      <c r="V268" s="485" t="str">
        <f>Fuente!AY272</f>
        <v>NP</v>
      </c>
      <c r="W268" s="485">
        <f>Fuente!AZ272</f>
        <v>0</v>
      </c>
      <c r="X268" s="485">
        <f>Fuente!BA272</f>
        <v>0</v>
      </c>
      <c r="Y268" s="485">
        <f>Fuente!BB272</f>
        <v>0</v>
      </c>
      <c r="Z268" s="485">
        <f>Fuente!BC272</f>
        <v>0</v>
      </c>
      <c r="AA268" s="467" t="str">
        <f>Fuente!BD272</f>
        <v>NP</v>
      </c>
      <c r="AB268" s="477" t="s">
        <v>49</v>
      </c>
      <c r="AC268" s="477"/>
      <c r="AD268" s="480" t="s">
        <v>972</v>
      </c>
      <c r="AE268" s="480">
        <v>21</v>
      </c>
      <c r="AF268" s="494" t="s">
        <v>981</v>
      </c>
      <c r="AG268" s="480" t="str">
        <f>Fuente!AB268</f>
        <v xml:space="preserve">SECRETARÍA DE MINAS Y ENERGÍA   </v>
      </c>
      <c r="AH268" s="81"/>
      <c r="AI268" s="81"/>
      <c r="AJ268" s="81"/>
    </row>
    <row r="269" spans="1:36" ht="110.25" x14ac:dyDescent="0.2">
      <c r="A269" s="76">
        <v>2</v>
      </c>
      <c r="B269" s="350" t="s">
        <v>1747</v>
      </c>
      <c r="C269" s="351" t="s">
        <v>964</v>
      </c>
      <c r="D269" s="350" t="s">
        <v>965</v>
      </c>
      <c r="E269" s="351" t="s">
        <v>986</v>
      </c>
      <c r="F269" s="350" t="s">
        <v>987</v>
      </c>
      <c r="G269" s="352"/>
      <c r="H269" s="352" t="s">
        <v>988</v>
      </c>
      <c r="I269" s="352" t="s">
        <v>996</v>
      </c>
      <c r="J269" s="76">
        <v>3</v>
      </c>
      <c r="K269" s="76">
        <v>10</v>
      </c>
      <c r="L269" s="353"/>
      <c r="M269" s="350" t="s">
        <v>997</v>
      </c>
      <c r="N269" s="350" t="s">
        <v>997</v>
      </c>
      <c r="O269" s="76">
        <v>3</v>
      </c>
      <c r="P269" s="76">
        <v>10</v>
      </c>
      <c r="Q269" s="485">
        <f>Fuente!AT273</f>
        <v>2</v>
      </c>
      <c r="R269" s="485">
        <f>Fuente!AU273</f>
        <v>0</v>
      </c>
      <c r="S269" s="485">
        <f>Fuente!AV273</f>
        <v>0</v>
      </c>
      <c r="T269" s="485">
        <f>Fuente!AW273</f>
        <v>0</v>
      </c>
      <c r="U269" s="467">
        <f>Fuente!AM273</f>
        <v>0</v>
      </c>
      <c r="V269" s="485">
        <f>Fuente!AY273</f>
        <v>2</v>
      </c>
      <c r="W269" s="485">
        <f>Fuente!AZ273</f>
        <v>2</v>
      </c>
      <c r="X269" s="485">
        <f>Fuente!BA273</f>
        <v>0</v>
      </c>
      <c r="Y269" s="485">
        <f>Fuente!BB273</f>
        <v>0</v>
      </c>
      <c r="Z269" s="485">
        <f>Fuente!BC273</f>
        <v>0</v>
      </c>
      <c r="AA269" s="467">
        <f>Fuente!BD273</f>
        <v>1</v>
      </c>
      <c r="AB269" s="477" t="s">
        <v>49</v>
      </c>
      <c r="AC269" s="477"/>
      <c r="AD269" s="480" t="s">
        <v>972</v>
      </c>
      <c r="AE269" s="480">
        <v>21</v>
      </c>
      <c r="AF269" s="494" t="s">
        <v>985</v>
      </c>
      <c r="AG269" s="480" t="str">
        <f>Fuente!AB269</f>
        <v xml:space="preserve">SECRETARÍA DE MINAS Y ENERGÍA   </v>
      </c>
      <c r="AH269" s="81"/>
      <c r="AI269" s="81"/>
      <c r="AJ269" s="81"/>
    </row>
    <row r="270" spans="1:36" ht="110.25" x14ac:dyDescent="0.2">
      <c r="A270" s="76">
        <v>2</v>
      </c>
      <c r="B270" s="350" t="s">
        <v>1747</v>
      </c>
      <c r="C270" s="351" t="s">
        <v>964</v>
      </c>
      <c r="D270" s="350" t="s">
        <v>965</v>
      </c>
      <c r="E270" s="351" t="s">
        <v>986</v>
      </c>
      <c r="F270" s="350" t="s">
        <v>987</v>
      </c>
      <c r="G270" s="352"/>
      <c r="H270" s="352" t="s">
        <v>988</v>
      </c>
      <c r="I270" s="352" t="s">
        <v>996</v>
      </c>
      <c r="J270" s="76">
        <v>3</v>
      </c>
      <c r="K270" s="76">
        <v>10</v>
      </c>
      <c r="L270" s="353"/>
      <c r="M270" s="350" t="s">
        <v>998</v>
      </c>
      <c r="N270" s="350" t="s">
        <v>998</v>
      </c>
      <c r="O270" s="76" t="s">
        <v>993</v>
      </c>
      <c r="P270" s="76">
        <v>6</v>
      </c>
      <c r="Q270" s="485">
        <f>Fuente!AT274</f>
        <v>3</v>
      </c>
      <c r="R270" s="485">
        <f>Fuente!AU274</f>
        <v>0</v>
      </c>
      <c r="S270" s="485">
        <f>Fuente!AV274</f>
        <v>0</v>
      </c>
      <c r="T270" s="485">
        <f>Fuente!AW274</f>
        <v>0</v>
      </c>
      <c r="U270" s="467">
        <f>Fuente!AM274</f>
        <v>0</v>
      </c>
      <c r="V270" s="485">
        <f>Fuente!AY274</f>
        <v>3</v>
      </c>
      <c r="W270" s="485">
        <f>Fuente!AZ274</f>
        <v>3</v>
      </c>
      <c r="X270" s="485">
        <f>Fuente!BA274</f>
        <v>0</v>
      </c>
      <c r="Y270" s="485">
        <f>Fuente!BB274</f>
        <v>0</v>
      </c>
      <c r="Z270" s="485">
        <f>Fuente!BC274</f>
        <v>0</v>
      </c>
      <c r="AA270" s="467">
        <f>Fuente!BD274</f>
        <v>1</v>
      </c>
      <c r="AB270" s="477" t="s">
        <v>49</v>
      </c>
      <c r="AC270" s="477"/>
      <c r="AD270" s="480" t="s">
        <v>972</v>
      </c>
      <c r="AE270" s="480">
        <v>21</v>
      </c>
      <c r="AF270" s="494" t="s">
        <v>991</v>
      </c>
      <c r="AG270" s="480" t="str">
        <f>Fuente!AB270</f>
        <v xml:space="preserve">SECRETARÍA DE MINAS Y ENERGÍA   </v>
      </c>
      <c r="AH270" s="81"/>
      <c r="AI270" s="81"/>
      <c r="AJ270" s="81"/>
    </row>
    <row r="271" spans="1:36" ht="141.75" x14ac:dyDescent="0.2">
      <c r="A271" s="76">
        <v>2</v>
      </c>
      <c r="B271" s="350" t="s">
        <v>1747</v>
      </c>
      <c r="C271" s="351" t="s">
        <v>964</v>
      </c>
      <c r="D271" s="350" t="s">
        <v>965</v>
      </c>
      <c r="E271" s="351" t="s">
        <v>999</v>
      </c>
      <c r="F271" s="350" t="s">
        <v>1000</v>
      </c>
      <c r="G271" s="352"/>
      <c r="H271" s="481" t="s">
        <v>1001</v>
      </c>
      <c r="I271" s="350" t="s">
        <v>1002</v>
      </c>
      <c r="J271" s="76">
        <v>0</v>
      </c>
      <c r="K271" s="76">
        <v>2</v>
      </c>
      <c r="L271" s="353"/>
      <c r="M271" s="350" t="s">
        <v>1003</v>
      </c>
      <c r="N271" s="350" t="s">
        <v>1003</v>
      </c>
      <c r="O271" s="76">
        <v>0</v>
      </c>
      <c r="P271" s="76">
        <v>100</v>
      </c>
      <c r="Q271" s="485">
        <f>Fuente!AT275</f>
        <v>2</v>
      </c>
      <c r="R271" s="485">
        <f>Fuente!AU275</f>
        <v>0</v>
      </c>
      <c r="S271" s="485">
        <f>Fuente!AV275</f>
        <v>0</v>
      </c>
      <c r="T271" s="485">
        <f>Fuente!AW275</f>
        <v>0</v>
      </c>
      <c r="U271" s="467">
        <f>Fuente!AM275</f>
        <v>0</v>
      </c>
      <c r="V271" s="485">
        <f>Fuente!AY275</f>
        <v>33</v>
      </c>
      <c r="W271" s="485">
        <f>Fuente!AZ275</f>
        <v>2</v>
      </c>
      <c r="X271" s="485">
        <f>Fuente!BA275</f>
        <v>0</v>
      </c>
      <c r="Y271" s="485">
        <f>Fuente!BB275</f>
        <v>0</v>
      </c>
      <c r="Z271" s="485">
        <f>Fuente!BC275</f>
        <v>0</v>
      </c>
      <c r="AA271" s="467">
        <f>Fuente!BD275</f>
        <v>6.0606060606060608E-2</v>
      </c>
      <c r="AB271" s="477" t="s">
        <v>78</v>
      </c>
      <c r="AC271" s="477"/>
      <c r="AD271" s="480" t="s">
        <v>972</v>
      </c>
      <c r="AE271" s="480">
        <v>21</v>
      </c>
      <c r="AF271" s="494" t="s">
        <v>981</v>
      </c>
      <c r="AG271" s="480" t="str">
        <f>Fuente!AB271</f>
        <v xml:space="preserve">SECRETARÍA DE MINAS Y ENERGÍA   </v>
      </c>
      <c r="AH271" s="81"/>
      <c r="AI271" s="81"/>
      <c r="AJ271" s="81"/>
    </row>
    <row r="272" spans="1:36" ht="141.75" x14ac:dyDescent="0.2">
      <c r="A272" s="76">
        <v>2</v>
      </c>
      <c r="B272" s="350" t="s">
        <v>1747</v>
      </c>
      <c r="C272" s="351" t="s">
        <v>964</v>
      </c>
      <c r="D272" s="350" t="s">
        <v>965</v>
      </c>
      <c r="E272" s="351" t="s">
        <v>999</v>
      </c>
      <c r="F272" s="350" t="s">
        <v>1000</v>
      </c>
      <c r="G272" s="352"/>
      <c r="H272" s="352" t="s">
        <v>1001</v>
      </c>
      <c r="I272" s="352" t="s">
        <v>1002</v>
      </c>
      <c r="J272" s="76">
        <v>0</v>
      </c>
      <c r="K272" s="76">
        <v>2</v>
      </c>
      <c r="L272" s="353"/>
      <c r="M272" s="350" t="s">
        <v>1005</v>
      </c>
      <c r="N272" s="350" t="s">
        <v>1003</v>
      </c>
      <c r="O272" s="76">
        <v>0</v>
      </c>
      <c r="P272" s="76">
        <v>3</v>
      </c>
      <c r="Q272" s="485">
        <f>Fuente!AT276</f>
        <v>0.67</v>
      </c>
      <c r="R272" s="485">
        <f>Fuente!AU276</f>
        <v>0</v>
      </c>
      <c r="S272" s="485">
        <f>Fuente!AV276</f>
        <v>0</v>
      </c>
      <c r="T272" s="485">
        <f>Fuente!AW276</f>
        <v>0</v>
      </c>
      <c r="U272" s="467">
        <f>Fuente!AM276</f>
        <v>0.22333333333333336</v>
      </c>
      <c r="V272" s="485" t="str">
        <f>Fuente!AY276</f>
        <v>NP</v>
      </c>
      <c r="W272" s="485">
        <f>Fuente!AZ276</f>
        <v>0</v>
      </c>
      <c r="X272" s="485">
        <f>Fuente!BA276</f>
        <v>0</v>
      </c>
      <c r="Y272" s="485">
        <f>Fuente!BB276</f>
        <v>0</v>
      </c>
      <c r="Z272" s="485">
        <f>Fuente!BC276</f>
        <v>0</v>
      </c>
      <c r="AA272" s="467" t="str">
        <f>Fuente!BD276</f>
        <v>NP</v>
      </c>
      <c r="AB272" s="477" t="s">
        <v>49</v>
      </c>
      <c r="AC272" s="477"/>
      <c r="AD272" s="480" t="s">
        <v>972</v>
      </c>
      <c r="AE272" s="480">
        <v>21</v>
      </c>
      <c r="AF272" s="494" t="s">
        <v>981</v>
      </c>
      <c r="AG272" s="480" t="str">
        <f>Fuente!AB272</f>
        <v xml:space="preserve">SECRETARÍA DE MINAS Y ENERGÍA   </v>
      </c>
      <c r="AH272" s="81"/>
      <c r="AI272" s="81"/>
      <c r="AJ272" s="81"/>
    </row>
    <row r="273" spans="1:36" ht="110.25" x14ac:dyDescent="0.2">
      <c r="A273" s="76">
        <v>2</v>
      </c>
      <c r="B273" s="350" t="s">
        <v>1747</v>
      </c>
      <c r="C273" s="351" t="s">
        <v>964</v>
      </c>
      <c r="D273" s="350" t="s">
        <v>965</v>
      </c>
      <c r="E273" s="351" t="s">
        <v>999</v>
      </c>
      <c r="F273" s="350" t="s">
        <v>1000</v>
      </c>
      <c r="G273" s="352"/>
      <c r="H273" s="352" t="s">
        <v>1001</v>
      </c>
      <c r="I273" s="352" t="s">
        <v>1002</v>
      </c>
      <c r="J273" s="76">
        <v>0</v>
      </c>
      <c r="K273" s="76">
        <v>2</v>
      </c>
      <c r="L273" s="353"/>
      <c r="M273" s="350" t="s">
        <v>1006</v>
      </c>
      <c r="N273" s="350" t="s">
        <v>1006</v>
      </c>
      <c r="O273" s="76">
        <v>0</v>
      </c>
      <c r="P273" s="76">
        <v>2</v>
      </c>
      <c r="Q273" s="485">
        <f>Fuente!AT277</f>
        <v>0</v>
      </c>
      <c r="R273" s="485">
        <f>Fuente!AU277</f>
        <v>0</v>
      </c>
      <c r="S273" s="485">
        <f>Fuente!AV277</f>
        <v>0</v>
      </c>
      <c r="T273" s="485">
        <f>Fuente!AW277</f>
        <v>0</v>
      </c>
      <c r="U273" s="467">
        <f>Fuente!AM277</f>
        <v>0</v>
      </c>
      <c r="V273" s="485" t="str">
        <f>Fuente!AY277</f>
        <v>NP</v>
      </c>
      <c r="W273" s="485">
        <f>Fuente!AZ277</f>
        <v>0</v>
      </c>
      <c r="X273" s="485">
        <f>Fuente!BA277</f>
        <v>0</v>
      </c>
      <c r="Y273" s="485">
        <f>Fuente!BB277</f>
        <v>0</v>
      </c>
      <c r="Z273" s="485">
        <f>Fuente!BC277</f>
        <v>0</v>
      </c>
      <c r="AA273" s="467" t="str">
        <f>Fuente!BD277</f>
        <v>NP</v>
      </c>
      <c r="AB273" s="477" t="s">
        <v>49</v>
      </c>
      <c r="AC273" s="477"/>
      <c r="AD273" s="480" t="s">
        <v>972</v>
      </c>
      <c r="AE273" s="480">
        <v>21</v>
      </c>
      <c r="AF273" s="494" t="s">
        <v>981</v>
      </c>
      <c r="AG273" s="480" t="str">
        <f>Fuente!AB273</f>
        <v xml:space="preserve">SECRETARÍA DE MINAS Y ENERGÍA   </v>
      </c>
      <c r="AH273" s="81"/>
      <c r="AI273" s="81"/>
      <c r="AJ273" s="81"/>
    </row>
    <row r="274" spans="1:36" ht="63" x14ac:dyDescent="0.2">
      <c r="A274" s="76">
        <v>2</v>
      </c>
      <c r="B274" s="350" t="s">
        <v>1747</v>
      </c>
      <c r="C274" s="351" t="s">
        <v>964</v>
      </c>
      <c r="D274" s="350" t="s">
        <v>965</v>
      </c>
      <c r="E274" s="351" t="s">
        <v>1007</v>
      </c>
      <c r="F274" s="350" t="s">
        <v>1008</v>
      </c>
      <c r="G274" s="352"/>
      <c r="H274" s="350" t="s">
        <v>1009</v>
      </c>
      <c r="I274" s="350" t="s">
        <v>1010</v>
      </c>
      <c r="J274" s="76" t="s">
        <v>1011</v>
      </c>
      <c r="K274" s="484">
        <v>0.93</v>
      </c>
      <c r="L274" s="486"/>
      <c r="M274" s="350" t="s">
        <v>1012</v>
      </c>
      <c r="N274" s="350" t="s">
        <v>1012</v>
      </c>
      <c r="O274" s="493">
        <v>325000</v>
      </c>
      <c r="P274" s="493">
        <v>357500</v>
      </c>
      <c r="Q274" s="485">
        <f>Fuente!AT278</f>
        <v>0</v>
      </c>
      <c r="R274" s="485">
        <f>Fuente!AU278</f>
        <v>0</v>
      </c>
      <c r="S274" s="485">
        <f>Fuente!AV278</f>
        <v>0</v>
      </c>
      <c r="T274" s="485">
        <f>Fuente!AW278</f>
        <v>0</v>
      </c>
      <c r="U274" s="467">
        <f>Fuente!AM278</f>
        <v>0</v>
      </c>
      <c r="V274" s="485" t="str">
        <f>Fuente!AY278</f>
        <v>NP</v>
      </c>
      <c r="W274" s="485">
        <f>Fuente!AZ278</f>
        <v>0</v>
      </c>
      <c r="X274" s="485">
        <f>Fuente!BA278</f>
        <v>0</v>
      </c>
      <c r="Y274" s="485">
        <f>Fuente!BB278</f>
        <v>0</v>
      </c>
      <c r="Z274" s="485">
        <f>Fuente!BC278</f>
        <v>0</v>
      </c>
      <c r="AA274" s="467" t="str">
        <f>Fuente!BD278</f>
        <v>NP</v>
      </c>
      <c r="AB274" s="477" t="s">
        <v>49</v>
      </c>
      <c r="AC274" s="477"/>
      <c r="AD274" s="480" t="s">
        <v>972</v>
      </c>
      <c r="AE274" s="480">
        <v>21</v>
      </c>
      <c r="AF274" s="494" t="s">
        <v>981</v>
      </c>
      <c r="AG274" s="480" t="str">
        <f>Fuente!AB274</f>
        <v xml:space="preserve">SECRETARÍA DE MINAS Y ENERGÍA   </v>
      </c>
      <c r="AH274" s="81"/>
      <c r="AI274" s="81"/>
      <c r="AJ274" s="81"/>
    </row>
    <row r="275" spans="1:36" ht="94.5" x14ac:dyDescent="0.2">
      <c r="A275" s="76">
        <v>2</v>
      </c>
      <c r="B275" s="350" t="s">
        <v>1747</v>
      </c>
      <c r="C275" s="351" t="s">
        <v>964</v>
      </c>
      <c r="D275" s="350" t="s">
        <v>965</v>
      </c>
      <c r="E275" s="351" t="s">
        <v>1007</v>
      </c>
      <c r="F275" s="350" t="s">
        <v>1008</v>
      </c>
      <c r="G275" s="352"/>
      <c r="H275" s="352" t="s">
        <v>1014</v>
      </c>
      <c r="I275" s="352" t="s">
        <v>1015</v>
      </c>
      <c r="J275" s="76" t="s">
        <v>1016</v>
      </c>
      <c r="K275" s="484">
        <v>0.93</v>
      </c>
      <c r="L275" s="486"/>
      <c r="M275" s="350" t="s">
        <v>1017</v>
      </c>
      <c r="N275" s="350" t="s">
        <v>1017</v>
      </c>
      <c r="O275" s="76">
        <v>369</v>
      </c>
      <c r="P275" s="76">
        <v>3000</v>
      </c>
      <c r="Q275" s="485">
        <f>Fuente!AT279</f>
        <v>450</v>
      </c>
      <c r="R275" s="485">
        <f>Fuente!AU279</f>
        <v>0</v>
      </c>
      <c r="S275" s="485">
        <f>Fuente!AV279</f>
        <v>0</v>
      </c>
      <c r="T275" s="485">
        <f>Fuente!AW279</f>
        <v>0</v>
      </c>
      <c r="U275" s="467">
        <f>Fuente!AM279</f>
        <v>0.13333333333333333</v>
      </c>
      <c r="V275" s="485">
        <f>Fuente!AY279</f>
        <v>1000</v>
      </c>
      <c r="W275" s="485">
        <f>Fuente!AZ279</f>
        <v>50</v>
      </c>
      <c r="X275" s="485">
        <f>Fuente!BA279</f>
        <v>0</v>
      </c>
      <c r="Y275" s="485">
        <f>Fuente!BB279</f>
        <v>0</v>
      </c>
      <c r="Z275" s="485">
        <f>Fuente!BC279</f>
        <v>0</v>
      </c>
      <c r="AA275" s="467">
        <f>Fuente!BD279</f>
        <v>0.05</v>
      </c>
      <c r="AB275" s="477" t="s">
        <v>49</v>
      </c>
      <c r="AC275" s="477"/>
      <c r="AD275" s="480" t="s">
        <v>972</v>
      </c>
      <c r="AE275" s="480">
        <v>21</v>
      </c>
      <c r="AF275" s="494" t="s">
        <v>1004</v>
      </c>
      <c r="AG275" s="480" t="str">
        <f>Fuente!AB275</f>
        <v xml:space="preserve">SECRETARÍA DE MINAS Y ENERGÍA   </v>
      </c>
      <c r="AH275" s="81"/>
      <c r="AI275" s="81"/>
      <c r="AJ275" s="81"/>
    </row>
    <row r="276" spans="1:36" ht="94.5" x14ac:dyDescent="0.2">
      <c r="A276" s="76">
        <v>2</v>
      </c>
      <c r="B276" s="350" t="s">
        <v>1747</v>
      </c>
      <c r="C276" s="351" t="s">
        <v>964</v>
      </c>
      <c r="D276" s="350" t="s">
        <v>965</v>
      </c>
      <c r="E276" s="351" t="s">
        <v>1007</v>
      </c>
      <c r="F276" s="350" t="s">
        <v>1008</v>
      </c>
      <c r="G276" s="352"/>
      <c r="H276" s="352" t="s">
        <v>1014</v>
      </c>
      <c r="I276" s="352" t="s">
        <v>1015</v>
      </c>
      <c r="J276" s="76" t="s">
        <v>1016</v>
      </c>
      <c r="K276" s="484">
        <v>0.93</v>
      </c>
      <c r="L276" s="486"/>
      <c r="M276" s="350" t="s">
        <v>1018</v>
      </c>
      <c r="N276" s="350" t="s">
        <v>1018</v>
      </c>
      <c r="O276" s="76">
        <v>1</v>
      </c>
      <c r="P276" s="76">
        <v>3</v>
      </c>
      <c r="Q276" s="485">
        <f>Fuente!AT280</f>
        <v>2</v>
      </c>
      <c r="R276" s="485">
        <f>Fuente!AU280</f>
        <v>0</v>
      </c>
      <c r="S276" s="485">
        <f>Fuente!AV280</f>
        <v>0</v>
      </c>
      <c r="T276" s="485">
        <f>Fuente!AW280</f>
        <v>0</v>
      </c>
      <c r="U276" s="467">
        <f>Fuente!AM280</f>
        <v>0</v>
      </c>
      <c r="V276" s="485">
        <f>Fuente!AY280</f>
        <v>2</v>
      </c>
      <c r="W276" s="485">
        <f>Fuente!AZ280</f>
        <v>2</v>
      </c>
      <c r="X276" s="485">
        <f>Fuente!BA280</f>
        <v>0</v>
      </c>
      <c r="Y276" s="485">
        <f>Fuente!BB280</f>
        <v>0</v>
      </c>
      <c r="Z276" s="485">
        <f>Fuente!BC280</f>
        <v>0</v>
      </c>
      <c r="AA276" s="467">
        <f>Fuente!BD280</f>
        <v>1</v>
      </c>
      <c r="AB276" s="477" t="s">
        <v>49</v>
      </c>
      <c r="AC276" s="477"/>
      <c r="AD276" s="480" t="s">
        <v>972</v>
      </c>
      <c r="AE276" s="480">
        <v>21</v>
      </c>
      <c r="AF276" s="494" t="s">
        <v>1004</v>
      </c>
      <c r="AG276" s="480" t="str">
        <f>Fuente!AB276</f>
        <v xml:space="preserve">SECRETARÍA DE MINAS Y ENERGÍA   </v>
      </c>
      <c r="AH276" s="81"/>
      <c r="AI276" s="81"/>
      <c r="AJ276" s="81"/>
    </row>
    <row r="277" spans="1:36" ht="63" x14ac:dyDescent="0.2">
      <c r="A277" s="76">
        <v>2</v>
      </c>
      <c r="B277" s="350" t="s">
        <v>1747</v>
      </c>
      <c r="C277" s="351" t="s">
        <v>863</v>
      </c>
      <c r="D277" s="350" t="s">
        <v>1019</v>
      </c>
      <c r="E277" s="351" t="s">
        <v>1020</v>
      </c>
      <c r="F277" s="350" t="s">
        <v>1021</v>
      </c>
      <c r="G277" s="352"/>
      <c r="H277" s="351" t="s">
        <v>1022</v>
      </c>
      <c r="I277" s="350" t="s">
        <v>1023</v>
      </c>
      <c r="J277" s="76">
        <v>0</v>
      </c>
      <c r="K277" s="351">
        <v>1</v>
      </c>
      <c r="L277" s="351"/>
      <c r="M277" s="350" t="s">
        <v>1024</v>
      </c>
      <c r="N277" s="350" t="s">
        <v>1025</v>
      </c>
      <c r="O277" s="76">
        <v>0</v>
      </c>
      <c r="P277" s="76">
        <v>1</v>
      </c>
      <c r="Q277" s="485">
        <f>Fuente!AT281</f>
        <v>0</v>
      </c>
      <c r="R277" s="485">
        <f>Fuente!AU281</f>
        <v>0</v>
      </c>
      <c r="S277" s="485">
        <f>Fuente!AV281</f>
        <v>0</v>
      </c>
      <c r="T277" s="485">
        <f>Fuente!AW281</f>
        <v>0</v>
      </c>
      <c r="U277" s="467">
        <f>Fuente!AM281</f>
        <v>0</v>
      </c>
      <c r="V277" s="485">
        <f>Fuente!AY281</f>
        <v>1</v>
      </c>
      <c r="W277" s="485">
        <f>Fuente!AZ281</f>
        <v>0</v>
      </c>
      <c r="X277" s="485">
        <f>Fuente!BA281</f>
        <v>0</v>
      </c>
      <c r="Y277" s="485">
        <f>Fuente!BB281</f>
        <v>0</v>
      </c>
      <c r="Z277" s="485">
        <f>Fuente!BC281</f>
        <v>0</v>
      </c>
      <c r="AA277" s="467">
        <f>Fuente!BD281</f>
        <v>0</v>
      </c>
      <c r="AB277" s="477" t="s">
        <v>49</v>
      </c>
      <c r="AC277" s="477"/>
      <c r="AD277" s="480" t="s">
        <v>972</v>
      </c>
      <c r="AE277" s="480">
        <v>21</v>
      </c>
      <c r="AF277" s="494" t="s">
        <v>1004</v>
      </c>
      <c r="AG277" s="480" t="str">
        <f>Fuente!AB277</f>
        <v xml:space="preserve">SECRETARÍA DE MINAS Y ENERGÍA   </v>
      </c>
      <c r="AH277" s="81"/>
      <c r="AI277" s="81"/>
      <c r="AJ277" s="81"/>
    </row>
    <row r="278" spans="1:36" ht="63" x14ac:dyDescent="0.2">
      <c r="A278" s="76">
        <v>2</v>
      </c>
      <c r="B278" s="350" t="s">
        <v>1747</v>
      </c>
      <c r="C278" s="351" t="s">
        <v>863</v>
      </c>
      <c r="D278" s="350" t="s">
        <v>1019</v>
      </c>
      <c r="E278" s="351" t="s">
        <v>1020</v>
      </c>
      <c r="F278" s="350" t="s">
        <v>1021</v>
      </c>
      <c r="G278" s="352"/>
      <c r="H278" s="351" t="s">
        <v>1029</v>
      </c>
      <c r="I278" s="350" t="s">
        <v>1030</v>
      </c>
      <c r="J278" s="351">
        <v>0</v>
      </c>
      <c r="K278" s="351">
        <v>1</v>
      </c>
      <c r="L278" s="351"/>
      <c r="M278" s="350" t="s">
        <v>1029</v>
      </c>
      <c r="N278" s="350" t="s">
        <v>1030</v>
      </c>
      <c r="O278" s="351">
        <v>0</v>
      </c>
      <c r="P278" s="351">
        <v>1</v>
      </c>
      <c r="Q278" s="485">
        <f>Fuente!AT282</f>
        <v>0</v>
      </c>
      <c r="R278" s="485">
        <f>Fuente!AU282</f>
        <v>0</v>
      </c>
      <c r="S278" s="485">
        <f>Fuente!AV282</f>
        <v>0</v>
      </c>
      <c r="T278" s="485">
        <f>Fuente!AW282</f>
        <v>0</v>
      </c>
      <c r="U278" s="467">
        <f>Fuente!AM282</f>
        <v>0</v>
      </c>
      <c r="V278" s="485">
        <f>Fuente!AY282</f>
        <v>1</v>
      </c>
      <c r="W278" s="485">
        <f>Fuente!AZ282</f>
        <v>0</v>
      </c>
      <c r="X278" s="485">
        <f>Fuente!BA282</f>
        <v>0</v>
      </c>
      <c r="Y278" s="485">
        <f>Fuente!BB282</f>
        <v>0</v>
      </c>
      <c r="Z278" s="485">
        <f>Fuente!BC282</f>
        <v>0</v>
      </c>
      <c r="AA278" s="467">
        <f>Fuente!BD282</f>
        <v>0</v>
      </c>
      <c r="AB278" s="477" t="s">
        <v>49</v>
      </c>
      <c r="AC278" s="477"/>
      <c r="AD278" s="480" t="s">
        <v>972</v>
      </c>
      <c r="AE278" s="480">
        <v>21</v>
      </c>
      <c r="AF278" s="494" t="s">
        <v>1013</v>
      </c>
      <c r="AG278" s="480" t="str">
        <f>Fuente!AB278</f>
        <v xml:space="preserve">SECRETARÍA DE MINAS Y ENERGÍA   </v>
      </c>
      <c r="AH278" s="81"/>
      <c r="AI278" s="81"/>
      <c r="AJ278" s="81"/>
    </row>
    <row r="279" spans="1:36" ht="63" x14ac:dyDescent="0.2">
      <c r="A279" s="76">
        <v>2</v>
      </c>
      <c r="B279" s="350" t="s">
        <v>1747</v>
      </c>
      <c r="C279" s="351" t="s">
        <v>863</v>
      </c>
      <c r="D279" s="350" t="s">
        <v>1019</v>
      </c>
      <c r="E279" s="351" t="s">
        <v>1020</v>
      </c>
      <c r="F279" s="350" t="s">
        <v>1021</v>
      </c>
      <c r="G279" s="352"/>
      <c r="H279" s="351" t="s">
        <v>1031</v>
      </c>
      <c r="I279" s="350" t="s">
        <v>1032</v>
      </c>
      <c r="J279" s="351">
        <v>0</v>
      </c>
      <c r="K279" s="351">
        <v>1</v>
      </c>
      <c r="L279" s="351"/>
      <c r="M279" s="350" t="s">
        <v>1031</v>
      </c>
      <c r="N279" s="350" t="s">
        <v>1032</v>
      </c>
      <c r="O279" s="351">
        <v>0</v>
      </c>
      <c r="P279" s="351">
        <v>1</v>
      </c>
      <c r="Q279" s="485">
        <f>Fuente!AT283</f>
        <v>0</v>
      </c>
      <c r="R279" s="485">
        <f>Fuente!AU283</f>
        <v>0</v>
      </c>
      <c r="S279" s="485">
        <f>Fuente!AV283</f>
        <v>0</v>
      </c>
      <c r="T279" s="485">
        <f>Fuente!AW283</f>
        <v>0</v>
      </c>
      <c r="U279" s="467">
        <f>Fuente!AM283</f>
        <v>0</v>
      </c>
      <c r="V279" s="485" t="str">
        <f>Fuente!AY283</f>
        <v>NP</v>
      </c>
      <c r="W279" s="485">
        <f>Fuente!AZ283</f>
        <v>0</v>
      </c>
      <c r="X279" s="485">
        <f>Fuente!BA283</f>
        <v>0</v>
      </c>
      <c r="Y279" s="485">
        <f>Fuente!BB283</f>
        <v>0</v>
      </c>
      <c r="Z279" s="485">
        <f>Fuente!BC283</f>
        <v>0</v>
      </c>
      <c r="AA279" s="467" t="str">
        <f>Fuente!BD283</f>
        <v>NP</v>
      </c>
      <c r="AB279" s="477" t="s">
        <v>49</v>
      </c>
      <c r="AC279" s="477"/>
      <c r="AD279" s="480" t="s">
        <v>972</v>
      </c>
      <c r="AE279" s="480">
        <v>21</v>
      </c>
      <c r="AF279" s="494" t="s">
        <v>1013</v>
      </c>
      <c r="AG279" s="480" t="str">
        <f>Fuente!AB279</f>
        <v xml:space="preserve">SECRETARÍA DE MINAS Y ENERGÍA   </v>
      </c>
      <c r="AH279" s="81"/>
      <c r="AI279" s="81"/>
      <c r="AJ279" s="81"/>
    </row>
    <row r="280" spans="1:36" ht="78.75" x14ac:dyDescent="0.2">
      <c r="A280" s="76">
        <v>2</v>
      </c>
      <c r="B280" s="350" t="s">
        <v>1747</v>
      </c>
      <c r="C280" s="351" t="s">
        <v>863</v>
      </c>
      <c r="D280" s="350" t="s">
        <v>1019</v>
      </c>
      <c r="E280" s="351" t="s">
        <v>1020</v>
      </c>
      <c r="F280" s="350" t="s">
        <v>1021</v>
      </c>
      <c r="G280" s="352"/>
      <c r="H280" s="352" t="s">
        <v>1033</v>
      </c>
      <c r="I280" s="350" t="s">
        <v>1034</v>
      </c>
      <c r="J280" s="484">
        <v>0.5</v>
      </c>
      <c r="K280" s="491">
        <v>1</v>
      </c>
      <c r="L280" s="491"/>
      <c r="M280" s="350" t="s">
        <v>1035</v>
      </c>
      <c r="N280" s="350" t="s">
        <v>1034</v>
      </c>
      <c r="O280" s="484">
        <v>0.5</v>
      </c>
      <c r="P280" s="484">
        <v>1</v>
      </c>
      <c r="Q280" s="485">
        <f>Fuente!AT284</f>
        <v>0.38</v>
      </c>
      <c r="R280" s="485">
        <f>Fuente!AU284</f>
        <v>0</v>
      </c>
      <c r="S280" s="485">
        <f>Fuente!AV284</f>
        <v>0</v>
      </c>
      <c r="T280" s="485">
        <f>Fuente!AW284</f>
        <v>0</v>
      </c>
      <c r="U280" s="467">
        <f>Fuente!AM284</f>
        <v>0.18</v>
      </c>
      <c r="V280" s="485">
        <f>Fuente!AY284</f>
        <v>0.2</v>
      </c>
      <c r="W280" s="485">
        <f>Fuente!AZ284</f>
        <v>0.2</v>
      </c>
      <c r="X280" s="485">
        <f>Fuente!BA284</f>
        <v>0</v>
      </c>
      <c r="Y280" s="485">
        <f>Fuente!BB284</f>
        <v>0</v>
      </c>
      <c r="Z280" s="485">
        <f>Fuente!BC284</f>
        <v>0</v>
      </c>
      <c r="AA280" s="467">
        <f>Fuente!BD284</f>
        <v>1</v>
      </c>
      <c r="AB280" s="477" t="s">
        <v>49</v>
      </c>
      <c r="AC280" s="477"/>
      <c r="AD280" s="480" t="s">
        <v>972</v>
      </c>
      <c r="AE280" s="480">
        <v>21</v>
      </c>
      <c r="AF280" s="494" t="s">
        <v>1013</v>
      </c>
      <c r="AG280" s="480" t="str">
        <f>Fuente!AB280</f>
        <v xml:space="preserve">SECRETARÍA DE MINAS Y ENERGÍA   </v>
      </c>
      <c r="AH280" s="81"/>
      <c r="AI280" s="81"/>
      <c r="AJ280" s="81"/>
    </row>
    <row r="281" spans="1:36" ht="31.5" x14ac:dyDescent="0.2">
      <c r="A281" s="76">
        <v>2</v>
      </c>
      <c r="B281" s="350" t="s">
        <v>1747</v>
      </c>
      <c r="C281" s="351" t="s">
        <v>863</v>
      </c>
      <c r="D281" s="350" t="s">
        <v>1019</v>
      </c>
      <c r="E281" s="351" t="s">
        <v>1020</v>
      </c>
      <c r="F281" s="350" t="s">
        <v>1021</v>
      </c>
      <c r="G281" s="352"/>
      <c r="H281" s="351" t="s">
        <v>1036</v>
      </c>
      <c r="I281" s="350" t="s">
        <v>1037</v>
      </c>
      <c r="J281" s="76">
        <v>0</v>
      </c>
      <c r="K281" s="351">
        <v>5</v>
      </c>
      <c r="L281" s="351"/>
      <c r="M281" s="350" t="s">
        <v>1036</v>
      </c>
      <c r="N281" s="350" t="s">
        <v>1037</v>
      </c>
      <c r="O281" s="76">
        <v>0</v>
      </c>
      <c r="P281" s="76">
        <v>5</v>
      </c>
      <c r="Q281" s="485">
        <f>Fuente!AT285</f>
        <v>6</v>
      </c>
      <c r="R281" s="485">
        <f>Fuente!AU285</f>
        <v>0</v>
      </c>
      <c r="S281" s="485">
        <f>Fuente!AV285</f>
        <v>0</v>
      </c>
      <c r="T281" s="485">
        <f>Fuente!AW285</f>
        <v>0</v>
      </c>
      <c r="U281" s="467">
        <f>Fuente!AM285</f>
        <v>0.8</v>
      </c>
      <c r="V281" s="485">
        <f>Fuente!AY285</f>
        <v>2</v>
      </c>
      <c r="W281" s="485">
        <f>Fuente!AZ285</f>
        <v>2</v>
      </c>
      <c r="X281" s="485">
        <f>Fuente!BA285</f>
        <v>0</v>
      </c>
      <c r="Y281" s="485">
        <f>Fuente!BB285</f>
        <v>0</v>
      </c>
      <c r="Z281" s="485">
        <f>Fuente!BC285</f>
        <v>0</v>
      </c>
      <c r="AA281" s="467">
        <f>Fuente!BD285</f>
        <v>1</v>
      </c>
      <c r="AB281" s="477" t="s">
        <v>49</v>
      </c>
      <c r="AC281" s="477"/>
      <c r="AD281" s="477" t="s">
        <v>1026</v>
      </c>
      <c r="AE281" s="477" t="s">
        <v>1027</v>
      </c>
      <c r="AF281" s="482" t="s">
        <v>1028</v>
      </c>
      <c r="AG281" s="480" t="str">
        <f>Fuente!AB281</f>
        <v>ICULTUR</v>
      </c>
      <c r="AH281" s="81"/>
      <c r="AI281" s="81"/>
      <c r="AJ281" s="81"/>
    </row>
    <row r="282" spans="1:36" ht="47.25" x14ac:dyDescent="0.2">
      <c r="A282" s="76">
        <v>2</v>
      </c>
      <c r="B282" s="350" t="s">
        <v>1747</v>
      </c>
      <c r="C282" s="351" t="s">
        <v>863</v>
      </c>
      <c r="D282" s="350" t="s">
        <v>1019</v>
      </c>
      <c r="E282" s="351" t="s">
        <v>1020</v>
      </c>
      <c r="F282" s="350" t="s">
        <v>1021</v>
      </c>
      <c r="G282" s="352"/>
      <c r="H282" s="351" t="s">
        <v>1038</v>
      </c>
      <c r="I282" s="350" t="s">
        <v>1039</v>
      </c>
      <c r="J282" s="76">
        <v>0</v>
      </c>
      <c r="K282" s="351">
        <v>13</v>
      </c>
      <c r="L282" s="351"/>
      <c r="M282" s="350" t="s">
        <v>1038</v>
      </c>
      <c r="N282" s="350" t="s">
        <v>1039</v>
      </c>
      <c r="O282" s="76">
        <v>0</v>
      </c>
      <c r="P282" s="76">
        <v>13</v>
      </c>
      <c r="Q282" s="485">
        <f>Fuente!AT286</f>
        <v>2</v>
      </c>
      <c r="R282" s="485">
        <f>Fuente!AU286</f>
        <v>0</v>
      </c>
      <c r="S282" s="485">
        <f>Fuente!AV286</f>
        <v>0</v>
      </c>
      <c r="T282" s="485">
        <f>Fuente!AW286</f>
        <v>0</v>
      </c>
      <c r="U282" s="467">
        <f>Fuente!AM286</f>
        <v>0</v>
      </c>
      <c r="V282" s="485">
        <f>Fuente!AY286</f>
        <v>4</v>
      </c>
      <c r="W282" s="485">
        <f>Fuente!AZ286</f>
        <v>2</v>
      </c>
      <c r="X282" s="485">
        <f>Fuente!BA286</f>
        <v>0</v>
      </c>
      <c r="Y282" s="485">
        <f>Fuente!BB286</f>
        <v>0</v>
      </c>
      <c r="Z282" s="485">
        <f>Fuente!BC286</f>
        <v>0</v>
      </c>
      <c r="AA282" s="467">
        <f>Fuente!BD286</f>
        <v>0.5</v>
      </c>
      <c r="AB282" s="480" t="s">
        <v>49</v>
      </c>
      <c r="AC282" s="477"/>
      <c r="AD282" s="480" t="s">
        <v>1026</v>
      </c>
      <c r="AE282" s="477" t="s">
        <v>1027</v>
      </c>
      <c r="AF282" s="494" t="s">
        <v>1028</v>
      </c>
      <c r="AG282" s="480" t="str">
        <f>Fuente!AB282</f>
        <v>ICULTUR Y SECRETARIA PRIVADA</v>
      </c>
      <c r="AH282" s="81"/>
      <c r="AI282" s="81"/>
      <c r="AJ282" s="81"/>
    </row>
    <row r="283" spans="1:36" ht="47.25" x14ac:dyDescent="0.2">
      <c r="A283" s="76">
        <v>2</v>
      </c>
      <c r="B283" s="350" t="s">
        <v>1747</v>
      </c>
      <c r="C283" s="351" t="s">
        <v>863</v>
      </c>
      <c r="D283" s="350" t="s">
        <v>1019</v>
      </c>
      <c r="E283" s="351" t="s">
        <v>1020</v>
      </c>
      <c r="F283" s="350" t="s">
        <v>1021</v>
      </c>
      <c r="G283" s="351"/>
      <c r="H283" s="351" t="s">
        <v>1040</v>
      </c>
      <c r="I283" s="350" t="s">
        <v>1041</v>
      </c>
      <c r="J283" s="76">
        <v>0</v>
      </c>
      <c r="K283" s="351">
        <v>1</v>
      </c>
      <c r="L283" s="351"/>
      <c r="M283" s="350" t="s">
        <v>1040</v>
      </c>
      <c r="N283" s="350" t="s">
        <v>1042</v>
      </c>
      <c r="O283" s="76">
        <v>0</v>
      </c>
      <c r="P283" s="76">
        <v>1</v>
      </c>
      <c r="Q283" s="485">
        <f>Fuente!AT287</f>
        <v>1</v>
      </c>
      <c r="R283" s="485">
        <f>Fuente!AU287</f>
        <v>0</v>
      </c>
      <c r="S283" s="485">
        <f>Fuente!AV287</f>
        <v>0</v>
      </c>
      <c r="T283" s="485">
        <f>Fuente!AW287</f>
        <v>0</v>
      </c>
      <c r="U283" s="467">
        <f>Fuente!AM287</f>
        <v>1</v>
      </c>
      <c r="V283" s="485" t="str">
        <f>Fuente!AY287</f>
        <v>NP</v>
      </c>
      <c r="W283" s="485">
        <f>Fuente!AZ287</f>
        <v>0</v>
      </c>
      <c r="X283" s="485">
        <f>Fuente!BA287</f>
        <v>0</v>
      </c>
      <c r="Y283" s="485">
        <f>Fuente!BB287</f>
        <v>0</v>
      </c>
      <c r="Z283" s="485">
        <f>Fuente!BC287</f>
        <v>0</v>
      </c>
      <c r="AA283" s="467" t="str">
        <f>Fuente!BD287</f>
        <v>NP</v>
      </c>
      <c r="AB283" s="480" t="s">
        <v>49</v>
      </c>
      <c r="AC283" s="477"/>
      <c r="AD283" s="480" t="s">
        <v>1026</v>
      </c>
      <c r="AE283" s="477" t="s">
        <v>1027</v>
      </c>
      <c r="AF283" s="494" t="s">
        <v>1028</v>
      </c>
      <c r="AG283" s="480" t="str">
        <f>Fuente!AB283</f>
        <v>ICULTUR Y SECRETARIA PRIVADA</v>
      </c>
      <c r="AH283" s="81"/>
      <c r="AI283" s="81"/>
      <c r="AJ283" s="81"/>
    </row>
    <row r="284" spans="1:36" ht="141.75" x14ac:dyDescent="0.2">
      <c r="A284" s="76">
        <v>2</v>
      </c>
      <c r="B284" s="350" t="s">
        <v>1747</v>
      </c>
      <c r="C284" s="351" t="s">
        <v>863</v>
      </c>
      <c r="D284" s="350" t="s">
        <v>1019</v>
      </c>
      <c r="E284" s="351" t="s">
        <v>1020</v>
      </c>
      <c r="F284" s="350" t="s">
        <v>1021</v>
      </c>
      <c r="G284" s="352"/>
      <c r="H284" s="352" t="s">
        <v>1043</v>
      </c>
      <c r="I284" s="350" t="s">
        <v>1044</v>
      </c>
      <c r="J284" s="76">
        <v>0</v>
      </c>
      <c r="K284" s="351">
        <v>1</v>
      </c>
      <c r="L284" s="351"/>
      <c r="M284" s="350" t="s">
        <v>1045</v>
      </c>
      <c r="N284" s="350" t="s">
        <v>1044</v>
      </c>
      <c r="O284" s="76">
        <v>0</v>
      </c>
      <c r="P284" s="76">
        <v>1</v>
      </c>
      <c r="Q284" s="485">
        <f>Fuente!AT288</f>
        <v>1</v>
      </c>
      <c r="R284" s="485">
        <f>Fuente!AU288</f>
        <v>0</v>
      </c>
      <c r="S284" s="485">
        <f>Fuente!AV288</f>
        <v>0</v>
      </c>
      <c r="T284" s="485">
        <f>Fuente!AW288</f>
        <v>0</v>
      </c>
      <c r="U284" s="467">
        <f>Fuente!AM288</f>
        <v>0.8</v>
      </c>
      <c r="V284" s="485">
        <f>Fuente!AY288</f>
        <v>0.2</v>
      </c>
      <c r="W284" s="485">
        <f>Fuente!AZ288</f>
        <v>0.2</v>
      </c>
      <c r="X284" s="485">
        <f>Fuente!BA288</f>
        <v>0</v>
      </c>
      <c r="Y284" s="485">
        <f>Fuente!BB288</f>
        <v>0</v>
      </c>
      <c r="Z284" s="485">
        <f>Fuente!BC288</f>
        <v>0</v>
      </c>
      <c r="AA284" s="467">
        <f>Fuente!BD288</f>
        <v>1</v>
      </c>
      <c r="AB284" s="477" t="s">
        <v>49</v>
      </c>
      <c r="AC284" s="477"/>
      <c r="AD284" s="477" t="s">
        <v>1026</v>
      </c>
      <c r="AE284" s="477" t="s">
        <v>1027</v>
      </c>
      <c r="AF284" s="494" t="s">
        <v>1028</v>
      </c>
      <c r="AG284" s="480" t="str">
        <f>Fuente!AB284</f>
        <v>ICULTUR Y SECRETARIA PRIVADA</v>
      </c>
      <c r="AH284" s="81"/>
      <c r="AI284" s="81"/>
      <c r="AJ284" s="81"/>
    </row>
    <row r="285" spans="1:36" ht="47.25" x14ac:dyDescent="0.2">
      <c r="A285" s="76">
        <v>2</v>
      </c>
      <c r="B285" s="350" t="s">
        <v>1747</v>
      </c>
      <c r="C285" s="351" t="s">
        <v>863</v>
      </c>
      <c r="D285" s="350" t="s">
        <v>1019</v>
      </c>
      <c r="E285" s="351" t="s">
        <v>1020</v>
      </c>
      <c r="F285" s="350" t="s">
        <v>1021</v>
      </c>
      <c r="G285" s="352"/>
      <c r="H285" s="352" t="s">
        <v>1046</v>
      </c>
      <c r="I285" s="350" t="s">
        <v>1047</v>
      </c>
      <c r="J285" s="76">
        <v>0</v>
      </c>
      <c r="K285" s="351">
        <v>1</v>
      </c>
      <c r="L285" s="351"/>
      <c r="M285" s="350" t="s">
        <v>1048</v>
      </c>
      <c r="N285" s="350" t="s">
        <v>1049</v>
      </c>
      <c r="O285" s="76">
        <v>0</v>
      </c>
      <c r="P285" s="76">
        <v>1</v>
      </c>
      <c r="Q285" s="485">
        <f>Fuente!AT289</f>
        <v>2</v>
      </c>
      <c r="R285" s="485">
        <f>Fuente!AU289</f>
        <v>0</v>
      </c>
      <c r="S285" s="485">
        <f>Fuente!AV289</f>
        <v>0</v>
      </c>
      <c r="T285" s="485">
        <f>Fuente!AW289</f>
        <v>0</v>
      </c>
      <c r="U285" s="467">
        <f>Fuente!AM289</f>
        <v>1</v>
      </c>
      <c r="V285" s="485">
        <f>Fuente!AY289</f>
        <v>1</v>
      </c>
      <c r="W285" s="485">
        <f>Fuente!AZ289</f>
        <v>1</v>
      </c>
      <c r="X285" s="485">
        <f>Fuente!BA289</f>
        <v>0</v>
      </c>
      <c r="Y285" s="485">
        <f>Fuente!BB289</f>
        <v>0</v>
      </c>
      <c r="Z285" s="485">
        <f>Fuente!BC289</f>
        <v>0</v>
      </c>
      <c r="AA285" s="467">
        <f>Fuente!BD289</f>
        <v>1</v>
      </c>
      <c r="AB285" s="477" t="s">
        <v>49</v>
      </c>
      <c r="AC285" s="477"/>
      <c r="AD285" s="477" t="s">
        <v>1026</v>
      </c>
      <c r="AE285" s="477" t="s">
        <v>1027</v>
      </c>
      <c r="AF285" s="482" t="s">
        <v>1028</v>
      </c>
      <c r="AG285" s="480" t="str">
        <f>Fuente!AB285</f>
        <v>ICULTUR</v>
      </c>
      <c r="AH285" s="81"/>
      <c r="AI285" s="81"/>
      <c r="AJ285" s="81"/>
    </row>
    <row r="286" spans="1:36" ht="47.25" x14ac:dyDescent="0.2">
      <c r="A286" s="76">
        <v>2</v>
      </c>
      <c r="B286" s="350" t="s">
        <v>1747</v>
      </c>
      <c r="C286" s="351" t="s">
        <v>863</v>
      </c>
      <c r="D286" s="350" t="s">
        <v>1019</v>
      </c>
      <c r="E286" s="351" t="s">
        <v>1020</v>
      </c>
      <c r="F286" s="350" t="s">
        <v>1021</v>
      </c>
      <c r="G286" s="352"/>
      <c r="H286" s="352" t="s">
        <v>1050</v>
      </c>
      <c r="I286" s="350" t="s">
        <v>1051</v>
      </c>
      <c r="J286" s="351">
        <v>7</v>
      </c>
      <c r="K286" s="351">
        <v>10</v>
      </c>
      <c r="L286" s="351"/>
      <c r="M286" s="350" t="s">
        <v>1052</v>
      </c>
      <c r="N286" s="350" t="s">
        <v>1051</v>
      </c>
      <c r="O286" s="351">
        <v>7</v>
      </c>
      <c r="P286" s="351">
        <v>10</v>
      </c>
      <c r="Q286" s="485">
        <f>Fuente!AT290</f>
        <v>1</v>
      </c>
      <c r="R286" s="485">
        <f>Fuente!AU290</f>
        <v>0</v>
      </c>
      <c r="S286" s="485">
        <f>Fuente!AV290</f>
        <v>0</v>
      </c>
      <c r="T286" s="485">
        <f>Fuente!AW290</f>
        <v>0</v>
      </c>
      <c r="U286" s="467">
        <f>Fuente!AM290</f>
        <v>0.1</v>
      </c>
      <c r="V286" s="485">
        <f>Fuente!AY290</f>
        <v>3</v>
      </c>
      <c r="W286" s="485">
        <f>Fuente!AZ290</f>
        <v>0</v>
      </c>
      <c r="X286" s="485">
        <f>Fuente!BA290</f>
        <v>0</v>
      </c>
      <c r="Y286" s="485">
        <f>Fuente!BB290</f>
        <v>0</v>
      </c>
      <c r="Z286" s="485">
        <f>Fuente!BC290</f>
        <v>0</v>
      </c>
      <c r="AA286" s="467">
        <f>Fuente!BD290</f>
        <v>0</v>
      </c>
      <c r="AB286" s="477" t="s">
        <v>49</v>
      </c>
      <c r="AC286" s="477"/>
      <c r="AD286" s="477" t="s">
        <v>1026</v>
      </c>
      <c r="AE286" s="477" t="s">
        <v>1027</v>
      </c>
      <c r="AF286" s="482" t="s">
        <v>1028</v>
      </c>
      <c r="AG286" s="480" t="str">
        <f>Fuente!AB286</f>
        <v>ICULTUR Y SECRETARIA PRIVADA</v>
      </c>
      <c r="AH286" s="81"/>
      <c r="AI286" s="81"/>
      <c r="AJ286" s="81"/>
    </row>
    <row r="287" spans="1:36" ht="31.5" x14ac:dyDescent="0.2">
      <c r="A287" s="76">
        <v>2</v>
      </c>
      <c r="B287" s="350" t="s">
        <v>1747</v>
      </c>
      <c r="C287" s="351" t="s">
        <v>863</v>
      </c>
      <c r="D287" s="350" t="s">
        <v>1019</v>
      </c>
      <c r="E287" s="351" t="s">
        <v>1020</v>
      </c>
      <c r="F287" s="350" t="s">
        <v>1021</v>
      </c>
      <c r="G287" s="352"/>
      <c r="H287" s="352" t="s">
        <v>1053</v>
      </c>
      <c r="I287" s="350" t="s">
        <v>1054</v>
      </c>
      <c r="J287" s="76">
        <v>16</v>
      </c>
      <c r="K287" s="76">
        <v>16</v>
      </c>
      <c r="L287" s="76"/>
      <c r="M287" s="350" t="s">
        <v>1055</v>
      </c>
      <c r="N287" s="350" t="s">
        <v>1054</v>
      </c>
      <c r="O287" s="76">
        <v>16</v>
      </c>
      <c r="P287" s="76">
        <v>16</v>
      </c>
      <c r="Q287" s="485">
        <f>Fuente!AT291</f>
        <v>0</v>
      </c>
      <c r="R287" s="485">
        <f>Fuente!AU291</f>
        <v>0</v>
      </c>
      <c r="S287" s="485">
        <f>Fuente!AV291</f>
        <v>0</v>
      </c>
      <c r="T287" s="485">
        <f>Fuente!AW291</f>
        <v>0</v>
      </c>
      <c r="U287" s="467">
        <f>Fuente!AM291</f>
        <v>0</v>
      </c>
      <c r="V287" s="485" t="str">
        <f>Fuente!AY291</f>
        <v>NP</v>
      </c>
      <c r="W287" s="485">
        <f>Fuente!AZ291</f>
        <v>0</v>
      </c>
      <c r="X287" s="485">
        <f>Fuente!BA291</f>
        <v>0</v>
      </c>
      <c r="Y287" s="485">
        <f>Fuente!BB291</f>
        <v>0</v>
      </c>
      <c r="Z287" s="485">
        <f>Fuente!BC291</f>
        <v>0</v>
      </c>
      <c r="AA287" s="467" t="str">
        <f>Fuente!BD291</f>
        <v>NP</v>
      </c>
      <c r="AB287" s="477" t="s">
        <v>49</v>
      </c>
      <c r="AC287" s="477"/>
      <c r="AD287" s="477" t="s">
        <v>1026</v>
      </c>
      <c r="AE287" s="477" t="s">
        <v>1027</v>
      </c>
      <c r="AF287" s="482" t="s">
        <v>1028</v>
      </c>
      <c r="AG287" s="480" t="str">
        <f>Fuente!AB287</f>
        <v>ICULTUR</v>
      </c>
      <c r="AH287" s="81"/>
      <c r="AI287" s="81"/>
      <c r="AJ287" s="81"/>
    </row>
    <row r="288" spans="1:36" ht="63" x14ac:dyDescent="0.2">
      <c r="A288" s="76">
        <v>2</v>
      </c>
      <c r="B288" s="350" t="s">
        <v>1747</v>
      </c>
      <c r="C288" s="351" t="s">
        <v>863</v>
      </c>
      <c r="D288" s="350" t="s">
        <v>1019</v>
      </c>
      <c r="E288" s="351" t="s">
        <v>1020</v>
      </c>
      <c r="F288" s="350" t="s">
        <v>1021</v>
      </c>
      <c r="G288" s="352"/>
      <c r="H288" s="352" t="s">
        <v>1056</v>
      </c>
      <c r="I288" s="350" t="s">
        <v>1057</v>
      </c>
      <c r="J288" s="76">
        <v>0</v>
      </c>
      <c r="K288" s="351">
        <v>15</v>
      </c>
      <c r="L288" s="351"/>
      <c r="M288" s="350" t="s">
        <v>1058</v>
      </c>
      <c r="N288" s="350" t="s">
        <v>1059</v>
      </c>
      <c r="O288" s="76">
        <v>0</v>
      </c>
      <c r="P288" s="76">
        <v>15</v>
      </c>
      <c r="Q288" s="485">
        <f>Fuente!AT292</f>
        <v>15</v>
      </c>
      <c r="R288" s="485">
        <f>Fuente!AU292</f>
        <v>0</v>
      </c>
      <c r="S288" s="485">
        <f>Fuente!AV292</f>
        <v>0</v>
      </c>
      <c r="T288" s="485">
        <f>Fuente!AW292</f>
        <v>0</v>
      </c>
      <c r="U288" s="467">
        <f>Fuente!AM292</f>
        <v>0.8</v>
      </c>
      <c r="V288" s="485">
        <f>Fuente!AY292</f>
        <v>5</v>
      </c>
      <c r="W288" s="485">
        <f>Fuente!AZ292</f>
        <v>3</v>
      </c>
      <c r="X288" s="485">
        <f>Fuente!BA292</f>
        <v>0</v>
      </c>
      <c r="Y288" s="485">
        <f>Fuente!BB292</f>
        <v>0</v>
      </c>
      <c r="Z288" s="485">
        <f>Fuente!BC292</f>
        <v>0</v>
      </c>
      <c r="AA288" s="467">
        <f>Fuente!BD292</f>
        <v>0.6</v>
      </c>
      <c r="AB288" s="477" t="s">
        <v>49</v>
      </c>
      <c r="AC288" s="477"/>
      <c r="AD288" s="477" t="s">
        <v>1026</v>
      </c>
      <c r="AE288" s="477" t="s">
        <v>1027</v>
      </c>
      <c r="AF288" s="482" t="s">
        <v>1028</v>
      </c>
      <c r="AG288" s="480" t="str">
        <f>Fuente!AB288</f>
        <v>ICULTUR</v>
      </c>
      <c r="AH288" s="81"/>
      <c r="AI288" s="81"/>
      <c r="AJ288" s="81"/>
    </row>
    <row r="289" spans="1:36" ht="94.5" x14ac:dyDescent="0.2">
      <c r="A289" s="76">
        <v>2</v>
      </c>
      <c r="B289" s="350" t="s">
        <v>1747</v>
      </c>
      <c r="C289" s="351" t="s">
        <v>863</v>
      </c>
      <c r="D289" s="350" t="s">
        <v>1019</v>
      </c>
      <c r="E289" s="351" t="s">
        <v>1020</v>
      </c>
      <c r="F289" s="350" t="s">
        <v>1021</v>
      </c>
      <c r="G289" s="352"/>
      <c r="H289" s="352" t="s">
        <v>1060</v>
      </c>
      <c r="I289" s="350" t="s">
        <v>1061</v>
      </c>
      <c r="J289" s="76">
        <v>0</v>
      </c>
      <c r="K289" s="351">
        <v>10</v>
      </c>
      <c r="L289" s="351"/>
      <c r="M289" s="350" t="s">
        <v>1062</v>
      </c>
      <c r="N289" s="350" t="s">
        <v>1061</v>
      </c>
      <c r="O289" s="76">
        <v>0</v>
      </c>
      <c r="P289" s="76">
        <v>10</v>
      </c>
      <c r="Q289" s="485">
        <f>Fuente!AT293</f>
        <v>2</v>
      </c>
      <c r="R289" s="485">
        <f>Fuente!AU293</f>
        <v>0</v>
      </c>
      <c r="S289" s="485">
        <f>Fuente!AV293</f>
        <v>0</v>
      </c>
      <c r="T289" s="485">
        <f>Fuente!AW293</f>
        <v>0</v>
      </c>
      <c r="U289" s="467">
        <f>Fuente!AM293</f>
        <v>0.1</v>
      </c>
      <c r="V289" s="485">
        <f>Fuente!AY293</f>
        <v>3</v>
      </c>
      <c r="W289" s="485">
        <f>Fuente!AZ293</f>
        <v>1</v>
      </c>
      <c r="X289" s="485">
        <f>Fuente!BA293</f>
        <v>0</v>
      </c>
      <c r="Y289" s="485">
        <f>Fuente!BB293</f>
        <v>0</v>
      </c>
      <c r="Z289" s="485">
        <f>Fuente!BC293</f>
        <v>0</v>
      </c>
      <c r="AA289" s="467">
        <f>Fuente!BD293</f>
        <v>0.33333333333333331</v>
      </c>
      <c r="AB289" s="477" t="s">
        <v>49</v>
      </c>
      <c r="AC289" s="477"/>
      <c r="AD289" s="477" t="s">
        <v>1026</v>
      </c>
      <c r="AE289" s="477" t="s">
        <v>1027</v>
      </c>
      <c r="AF289" s="482" t="s">
        <v>1028</v>
      </c>
      <c r="AG289" s="480" t="str">
        <f>Fuente!AB289</f>
        <v>ICULTUR</v>
      </c>
      <c r="AH289" s="81"/>
      <c r="AI289" s="81"/>
      <c r="AJ289" s="81"/>
    </row>
    <row r="290" spans="1:36" ht="31.5" x14ac:dyDescent="0.2">
      <c r="A290" s="76">
        <v>2</v>
      </c>
      <c r="B290" s="350" t="s">
        <v>1747</v>
      </c>
      <c r="C290" s="351" t="s">
        <v>863</v>
      </c>
      <c r="D290" s="350" t="s">
        <v>1019</v>
      </c>
      <c r="E290" s="351" t="s">
        <v>1020</v>
      </c>
      <c r="F290" s="350" t="s">
        <v>1021</v>
      </c>
      <c r="G290" s="352"/>
      <c r="H290" s="352" t="s">
        <v>1063</v>
      </c>
      <c r="I290" s="350" t="s">
        <v>1064</v>
      </c>
      <c r="J290" s="484">
        <v>0</v>
      </c>
      <c r="K290" s="460">
        <v>1</v>
      </c>
      <c r="L290" s="460"/>
      <c r="M290" s="350" t="s">
        <v>1065</v>
      </c>
      <c r="N290" s="350" t="s">
        <v>1064</v>
      </c>
      <c r="O290" s="484">
        <v>0</v>
      </c>
      <c r="P290" s="460">
        <v>1</v>
      </c>
      <c r="Q290" s="485">
        <f>Fuente!AT294</f>
        <v>0.2</v>
      </c>
      <c r="R290" s="485">
        <f>Fuente!AU294</f>
        <v>0</v>
      </c>
      <c r="S290" s="485">
        <f>Fuente!AV294</f>
        <v>0</v>
      </c>
      <c r="T290" s="485">
        <f>Fuente!AW294</f>
        <v>0</v>
      </c>
      <c r="U290" s="467">
        <f>Fuente!AM294</f>
        <v>0.1</v>
      </c>
      <c r="V290" s="485">
        <f>Fuente!AY294</f>
        <v>0.4</v>
      </c>
      <c r="W290" s="485">
        <f>Fuente!AZ294</f>
        <v>0.1</v>
      </c>
      <c r="X290" s="485">
        <f>Fuente!BA294</f>
        <v>0</v>
      </c>
      <c r="Y290" s="485">
        <f>Fuente!BB294</f>
        <v>0</v>
      </c>
      <c r="Z290" s="485">
        <f>Fuente!BC294</f>
        <v>0</v>
      </c>
      <c r="AA290" s="467">
        <f>Fuente!BD294</f>
        <v>0.25</v>
      </c>
      <c r="AB290" s="480" t="s">
        <v>49</v>
      </c>
      <c r="AC290" s="477"/>
      <c r="AD290" s="480" t="s">
        <v>1026</v>
      </c>
      <c r="AE290" s="477" t="s">
        <v>1027</v>
      </c>
      <c r="AF290" s="494" t="s">
        <v>1028</v>
      </c>
      <c r="AG290" s="480" t="str">
        <f>Fuente!AB290</f>
        <v>ICULTUR</v>
      </c>
      <c r="AH290" s="81"/>
      <c r="AI290" s="81"/>
      <c r="AJ290" s="81"/>
    </row>
    <row r="291" spans="1:36" ht="47.25" x14ac:dyDescent="0.2">
      <c r="A291" s="76">
        <v>2</v>
      </c>
      <c r="B291" s="350" t="s">
        <v>1747</v>
      </c>
      <c r="C291" s="351" t="s">
        <v>863</v>
      </c>
      <c r="D291" s="350" t="s">
        <v>1019</v>
      </c>
      <c r="E291" s="351" t="s">
        <v>1020</v>
      </c>
      <c r="F291" s="350" t="s">
        <v>1021</v>
      </c>
      <c r="G291" s="352"/>
      <c r="H291" s="350" t="s">
        <v>1066</v>
      </c>
      <c r="I291" s="350" t="s">
        <v>1067</v>
      </c>
      <c r="J291" s="351">
        <v>3</v>
      </c>
      <c r="K291" s="351">
        <v>3</v>
      </c>
      <c r="L291" s="351"/>
      <c r="M291" s="350" t="s">
        <v>1068</v>
      </c>
      <c r="N291" s="350" t="s">
        <v>1067</v>
      </c>
      <c r="O291" s="76">
        <v>3</v>
      </c>
      <c r="P291" s="76">
        <v>3</v>
      </c>
      <c r="Q291" s="485">
        <f>Fuente!AT295</f>
        <v>0</v>
      </c>
      <c r="R291" s="485">
        <f>Fuente!AU295</f>
        <v>0</v>
      </c>
      <c r="S291" s="485">
        <f>Fuente!AV295</f>
        <v>0</v>
      </c>
      <c r="T291" s="485">
        <f>Fuente!AW295</f>
        <v>0</v>
      </c>
      <c r="U291" s="467">
        <f>Fuente!AM295</f>
        <v>0</v>
      </c>
      <c r="V291" s="485">
        <f>Fuente!AY295</f>
        <v>1</v>
      </c>
      <c r="W291" s="485">
        <f>Fuente!AZ295</f>
        <v>0</v>
      </c>
      <c r="X291" s="485">
        <f>Fuente!BA295</f>
        <v>0</v>
      </c>
      <c r="Y291" s="485">
        <f>Fuente!BB295</f>
        <v>0</v>
      </c>
      <c r="Z291" s="485">
        <f>Fuente!BC295</f>
        <v>0</v>
      </c>
      <c r="AA291" s="467">
        <f>Fuente!BD295</f>
        <v>0</v>
      </c>
      <c r="AB291" s="477" t="s">
        <v>78</v>
      </c>
      <c r="AC291" s="477"/>
      <c r="AD291" s="477" t="s">
        <v>1026</v>
      </c>
      <c r="AE291" s="477" t="s">
        <v>1027</v>
      </c>
      <c r="AF291" s="494" t="s">
        <v>1028</v>
      </c>
      <c r="AG291" s="480" t="str">
        <f>Fuente!AB291</f>
        <v>ICULTUR</v>
      </c>
      <c r="AH291" s="81"/>
      <c r="AI291" s="81"/>
      <c r="AJ291" s="81"/>
    </row>
    <row r="292" spans="1:36" ht="47.25" x14ac:dyDescent="0.2">
      <c r="A292" s="76">
        <v>2</v>
      </c>
      <c r="B292" s="350" t="s">
        <v>1747</v>
      </c>
      <c r="C292" s="351" t="s">
        <v>342</v>
      </c>
      <c r="D292" s="350" t="s">
        <v>1069</v>
      </c>
      <c r="E292" s="351" t="s">
        <v>1070</v>
      </c>
      <c r="F292" s="350" t="s">
        <v>1071</v>
      </c>
      <c r="G292" s="352"/>
      <c r="H292" s="352" t="s">
        <v>1072</v>
      </c>
      <c r="I292" s="350" t="s">
        <v>1072</v>
      </c>
      <c r="J292" s="490">
        <v>0</v>
      </c>
      <c r="K292" s="490">
        <v>14</v>
      </c>
      <c r="L292" s="488"/>
      <c r="M292" s="350" t="s">
        <v>1073</v>
      </c>
      <c r="N292" s="350" t="s">
        <v>1073</v>
      </c>
      <c r="O292" s="490">
        <v>0</v>
      </c>
      <c r="P292" s="490">
        <v>15</v>
      </c>
      <c r="Q292" s="485">
        <f>Fuente!AT296</f>
        <v>3</v>
      </c>
      <c r="R292" s="485">
        <f>Fuente!AU296</f>
        <v>0</v>
      </c>
      <c r="S292" s="485">
        <f>Fuente!AV296</f>
        <v>0</v>
      </c>
      <c r="T292" s="485">
        <f>Fuente!AW296</f>
        <v>0</v>
      </c>
      <c r="U292" s="467">
        <f>Fuente!AM296</f>
        <v>0</v>
      </c>
      <c r="V292" s="485">
        <f>Fuente!AY296</f>
        <v>7</v>
      </c>
      <c r="W292" s="485">
        <f>Fuente!AZ296</f>
        <v>3</v>
      </c>
      <c r="X292" s="485">
        <f>Fuente!BA296</f>
        <v>0</v>
      </c>
      <c r="Y292" s="485">
        <f>Fuente!BB296</f>
        <v>0</v>
      </c>
      <c r="Z292" s="485">
        <f>Fuente!BC296</f>
        <v>0</v>
      </c>
      <c r="AA292" s="467">
        <f>Fuente!BD296</f>
        <v>0.42857142857142855</v>
      </c>
      <c r="AB292" s="477" t="s">
        <v>49</v>
      </c>
      <c r="AC292" s="477"/>
      <c r="AD292" s="477" t="s">
        <v>1026</v>
      </c>
      <c r="AE292" s="477" t="s">
        <v>1027</v>
      </c>
      <c r="AF292" s="494" t="s">
        <v>1028</v>
      </c>
      <c r="AG292" s="480" t="str">
        <f>Fuente!AB292</f>
        <v>ICULTUR</v>
      </c>
      <c r="AH292" s="81"/>
      <c r="AI292" s="81"/>
      <c r="AJ292" s="81"/>
    </row>
    <row r="293" spans="1:36" ht="47.25" x14ac:dyDescent="0.2">
      <c r="A293" s="76">
        <v>2</v>
      </c>
      <c r="B293" s="350" t="s">
        <v>1747</v>
      </c>
      <c r="C293" s="351" t="s">
        <v>342</v>
      </c>
      <c r="D293" s="350" t="s">
        <v>1069</v>
      </c>
      <c r="E293" s="351" t="s">
        <v>1070</v>
      </c>
      <c r="F293" s="350" t="s">
        <v>1071</v>
      </c>
      <c r="G293" s="352"/>
      <c r="H293" s="352" t="s">
        <v>1072</v>
      </c>
      <c r="I293" s="350" t="s">
        <v>1072</v>
      </c>
      <c r="J293" s="490">
        <v>0</v>
      </c>
      <c r="K293" s="490">
        <v>14</v>
      </c>
      <c r="L293" s="488"/>
      <c r="M293" s="350" t="s">
        <v>1074</v>
      </c>
      <c r="N293" s="350" t="s">
        <v>1074</v>
      </c>
      <c r="O293" s="490">
        <v>0</v>
      </c>
      <c r="P293" s="490">
        <v>1</v>
      </c>
      <c r="Q293" s="485">
        <f>Fuente!AT297</f>
        <v>0</v>
      </c>
      <c r="R293" s="485">
        <f>Fuente!AU297</f>
        <v>0</v>
      </c>
      <c r="S293" s="485">
        <f>Fuente!AV297</f>
        <v>0</v>
      </c>
      <c r="T293" s="485">
        <f>Fuente!AW297</f>
        <v>0</v>
      </c>
      <c r="U293" s="467">
        <f>Fuente!AM297</f>
        <v>0</v>
      </c>
      <c r="V293" s="485">
        <f>Fuente!AY297</f>
        <v>1</v>
      </c>
      <c r="W293" s="485">
        <f>Fuente!AZ297</f>
        <v>0</v>
      </c>
      <c r="X293" s="485">
        <f>Fuente!BA297</f>
        <v>0</v>
      </c>
      <c r="Y293" s="485">
        <f>Fuente!BB297</f>
        <v>0</v>
      </c>
      <c r="Z293" s="485">
        <f>Fuente!BC297</f>
        <v>0</v>
      </c>
      <c r="AA293" s="467">
        <f>Fuente!BD297</f>
        <v>0</v>
      </c>
      <c r="AB293" s="477" t="s">
        <v>49</v>
      </c>
      <c r="AC293" s="477"/>
      <c r="AD293" s="477" t="s">
        <v>1026</v>
      </c>
      <c r="AE293" s="477" t="s">
        <v>1027</v>
      </c>
      <c r="AF293" s="482" t="s">
        <v>1028</v>
      </c>
      <c r="AG293" s="480" t="str">
        <f>Fuente!AB293</f>
        <v>ICULTUR</v>
      </c>
      <c r="AH293" s="81"/>
      <c r="AI293" s="81"/>
      <c r="AJ293" s="81"/>
    </row>
    <row r="294" spans="1:36" ht="47.25" x14ac:dyDescent="0.2">
      <c r="A294" s="76">
        <v>2</v>
      </c>
      <c r="B294" s="350" t="s">
        <v>1747</v>
      </c>
      <c r="C294" s="351" t="s">
        <v>342</v>
      </c>
      <c r="D294" s="350" t="s">
        <v>1069</v>
      </c>
      <c r="E294" s="351" t="s">
        <v>1070</v>
      </c>
      <c r="F294" s="350" t="s">
        <v>1071</v>
      </c>
      <c r="G294" s="352"/>
      <c r="H294" s="352" t="s">
        <v>1072</v>
      </c>
      <c r="I294" s="350" t="s">
        <v>1072</v>
      </c>
      <c r="J294" s="490">
        <v>0</v>
      </c>
      <c r="K294" s="490">
        <v>14</v>
      </c>
      <c r="L294" s="488"/>
      <c r="M294" s="350" t="s">
        <v>1997</v>
      </c>
      <c r="N294" s="350" t="s">
        <v>1075</v>
      </c>
      <c r="O294" s="490">
        <v>0</v>
      </c>
      <c r="P294" s="490">
        <v>600</v>
      </c>
      <c r="Q294" s="485">
        <f>Fuente!AT298</f>
        <v>0</v>
      </c>
      <c r="R294" s="485">
        <f>Fuente!AU298</f>
        <v>0</v>
      </c>
      <c r="S294" s="485">
        <f>Fuente!AV298</f>
        <v>0</v>
      </c>
      <c r="T294" s="485">
        <f>Fuente!AW298</f>
        <v>0</v>
      </c>
      <c r="U294" s="467">
        <f>Fuente!AM298</f>
        <v>0</v>
      </c>
      <c r="V294" s="485">
        <f>Fuente!AY298</f>
        <v>200</v>
      </c>
      <c r="W294" s="485">
        <f>Fuente!AZ298</f>
        <v>0</v>
      </c>
      <c r="X294" s="485">
        <f>Fuente!BA298</f>
        <v>0</v>
      </c>
      <c r="Y294" s="485">
        <f>Fuente!BB298</f>
        <v>0</v>
      </c>
      <c r="Z294" s="485">
        <f>Fuente!BC298</f>
        <v>0</v>
      </c>
      <c r="AA294" s="467">
        <f>Fuente!BD298</f>
        <v>0</v>
      </c>
      <c r="AB294" s="477" t="s">
        <v>49</v>
      </c>
      <c r="AC294" s="477"/>
      <c r="AD294" s="477" t="s">
        <v>1026</v>
      </c>
      <c r="AE294" s="477" t="s">
        <v>1027</v>
      </c>
      <c r="AF294" s="482" t="s">
        <v>1028</v>
      </c>
      <c r="AG294" s="480" t="str">
        <f>Fuente!AB294</f>
        <v>ICULTUR</v>
      </c>
      <c r="AH294" s="81"/>
      <c r="AI294" s="81"/>
      <c r="AJ294" s="81"/>
    </row>
    <row r="295" spans="1:36" ht="63" x14ac:dyDescent="0.2">
      <c r="A295" s="76">
        <v>2</v>
      </c>
      <c r="B295" s="350" t="s">
        <v>1747</v>
      </c>
      <c r="C295" s="351" t="s">
        <v>342</v>
      </c>
      <c r="D295" s="350" t="s">
        <v>1069</v>
      </c>
      <c r="E295" s="351" t="s">
        <v>1076</v>
      </c>
      <c r="F295" s="350" t="s">
        <v>1077</v>
      </c>
      <c r="G295" s="352"/>
      <c r="H295" s="352" t="s">
        <v>1078</v>
      </c>
      <c r="I295" s="350" t="s">
        <v>1078</v>
      </c>
      <c r="J295" s="490">
        <v>0</v>
      </c>
      <c r="K295" s="460">
        <v>0.1</v>
      </c>
      <c r="L295" s="38"/>
      <c r="M295" s="350" t="s">
        <v>1079</v>
      </c>
      <c r="N295" s="350" t="s">
        <v>1079</v>
      </c>
      <c r="O295" s="351">
        <v>0</v>
      </c>
      <c r="P295" s="351">
        <v>10</v>
      </c>
      <c r="Q295" s="485">
        <f>Fuente!AT299</f>
        <v>1</v>
      </c>
      <c r="R295" s="485">
        <f>Fuente!AU299</f>
        <v>0</v>
      </c>
      <c r="S295" s="485">
        <f>Fuente!AV299</f>
        <v>0</v>
      </c>
      <c r="T295" s="485">
        <f>Fuente!AW299</f>
        <v>0</v>
      </c>
      <c r="U295" s="467">
        <f>Fuente!AM299</f>
        <v>0</v>
      </c>
      <c r="V295" s="485">
        <f>Fuente!AY299</f>
        <v>4</v>
      </c>
      <c r="W295" s="485">
        <f>Fuente!AZ299</f>
        <v>1</v>
      </c>
      <c r="X295" s="485">
        <f>Fuente!BA299</f>
        <v>0</v>
      </c>
      <c r="Y295" s="485">
        <f>Fuente!BB299</f>
        <v>0</v>
      </c>
      <c r="Z295" s="485">
        <f>Fuente!BC299</f>
        <v>0</v>
      </c>
      <c r="AA295" s="467">
        <f>Fuente!BD299</f>
        <v>0.25</v>
      </c>
      <c r="AB295" s="477" t="s">
        <v>49</v>
      </c>
      <c r="AC295" s="477"/>
      <c r="AD295" s="477">
        <v>7</v>
      </c>
      <c r="AE295" s="477">
        <v>5</v>
      </c>
      <c r="AF295" s="482">
        <v>3</v>
      </c>
      <c r="AG295" s="480" t="str">
        <f>Fuente!AB296</f>
        <v>SECRETARÍA DE PLANEACIÓN</v>
      </c>
      <c r="AH295" s="81"/>
      <c r="AI295" s="81"/>
      <c r="AJ295" s="81"/>
    </row>
    <row r="296" spans="1:36" ht="47.25" x14ac:dyDescent="0.2">
      <c r="A296" s="76">
        <v>2</v>
      </c>
      <c r="B296" s="350" t="s">
        <v>1747</v>
      </c>
      <c r="C296" s="351" t="s">
        <v>347</v>
      </c>
      <c r="D296" s="350" t="s">
        <v>1080</v>
      </c>
      <c r="E296" s="351" t="s">
        <v>1081</v>
      </c>
      <c r="F296" s="350" t="s">
        <v>1082</v>
      </c>
      <c r="G296" s="350"/>
      <c r="H296" s="350" t="s">
        <v>1083</v>
      </c>
      <c r="I296" s="350" t="s">
        <v>1083</v>
      </c>
      <c r="J296" s="76" t="s">
        <v>55</v>
      </c>
      <c r="K296" s="31">
        <v>0.3</v>
      </c>
      <c r="L296" s="39"/>
      <c r="M296" s="350" t="s">
        <v>1084</v>
      </c>
      <c r="N296" s="350" t="s">
        <v>1084</v>
      </c>
      <c r="O296" s="76">
        <v>1</v>
      </c>
      <c r="P296" s="76">
        <v>1</v>
      </c>
      <c r="Q296" s="485">
        <f>Fuente!AT300</f>
        <v>0.25</v>
      </c>
      <c r="R296" s="485">
        <f>Fuente!AU300</f>
        <v>0</v>
      </c>
      <c r="S296" s="485">
        <f>Fuente!AV300</f>
        <v>0</v>
      </c>
      <c r="T296" s="485">
        <f>Fuente!AW300</f>
        <v>0</v>
      </c>
      <c r="U296" s="467">
        <f>Fuente!AM300</f>
        <v>1</v>
      </c>
      <c r="V296" s="485" t="str">
        <f>Fuente!AY300</f>
        <v>NP</v>
      </c>
      <c r="W296" s="485">
        <f>Fuente!AZ300</f>
        <v>0</v>
      </c>
      <c r="X296" s="485">
        <f>Fuente!BA300</f>
        <v>0</v>
      </c>
      <c r="Y296" s="485">
        <f>Fuente!BB300</f>
        <v>0</v>
      </c>
      <c r="Z296" s="485">
        <f>Fuente!BC300</f>
        <v>0</v>
      </c>
      <c r="AA296" s="467" t="str">
        <f>Fuente!BD300</f>
        <v>NP</v>
      </c>
      <c r="AB296" s="477" t="s">
        <v>49</v>
      </c>
      <c r="AC296" s="477"/>
      <c r="AD296" s="477">
        <v>1</v>
      </c>
      <c r="AE296" s="477">
        <v>0</v>
      </c>
      <c r="AF296" s="482">
        <v>0</v>
      </c>
      <c r="AG296" s="480" t="str">
        <f>Fuente!AB297</f>
        <v>SECRETARÍA DE PLANEACIÓN</v>
      </c>
      <c r="AH296" s="81"/>
      <c r="AI296" s="81"/>
      <c r="AJ296" s="81"/>
    </row>
    <row r="297" spans="1:36" ht="47.25" x14ac:dyDescent="0.2">
      <c r="A297" s="76">
        <v>2</v>
      </c>
      <c r="B297" s="350" t="s">
        <v>1747</v>
      </c>
      <c r="C297" s="351" t="s">
        <v>347</v>
      </c>
      <c r="D297" s="350" t="s">
        <v>1080</v>
      </c>
      <c r="E297" s="351" t="s">
        <v>1081</v>
      </c>
      <c r="F297" s="350" t="s">
        <v>1082</v>
      </c>
      <c r="G297" s="350"/>
      <c r="H297" s="350" t="s">
        <v>1083</v>
      </c>
      <c r="I297" s="350" t="s">
        <v>1083</v>
      </c>
      <c r="J297" s="76" t="s">
        <v>55</v>
      </c>
      <c r="K297" s="31">
        <v>0.3</v>
      </c>
      <c r="L297" s="39"/>
      <c r="M297" s="350" t="s">
        <v>1086</v>
      </c>
      <c r="N297" s="350" t="s">
        <v>1086</v>
      </c>
      <c r="O297" s="31">
        <v>0.7</v>
      </c>
      <c r="P297" s="31">
        <v>0.3</v>
      </c>
      <c r="Q297" s="485">
        <f>Fuente!AT301</f>
        <v>0.15000000000000002</v>
      </c>
      <c r="R297" s="485">
        <f>Fuente!AU301</f>
        <v>0</v>
      </c>
      <c r="S297" s="485">
        <f>Fuente!AV301</f>
        <v>0</v>
      </c>
      <c r="T297" s="485">
        <f>Fuente!AW301</f>
        <v>0</v>
      </c>
      <c r="U297" s="467">
        <f>Fuente!AM301</f>
        <v>0.16666666666666669</v>
      </c>
      <c r="V297" s="485">
        <f>Fuente!AY301</f>
        <v>0.1</v>
      </c>
      <c r="W297" s="485">
        <f>Fuente!AZ301</f>
        <v>0.1</v>
      </c>
      <c r="X297" s="485">
        <f>Fuente!BA301</f>
        <v>0</v>
      </c>
      <c r="Y297" s="485">
        <f>Fuente!BB301</f>
        <v>0</v>
      </c>
      <c r="Z297" s="485">
        <f>Fuente!BC301</f>
        <v>0</v>
      </c>
      <c r="AA297" s="467">
        <f>Fuente!BD301</f>
        <v>1</v>
      </c>
      <c r="AB297" s="477" t="s">
        <v>49</v>
      </c>
      <c r="AC297" s="477"/>
      <c r="AD297" s="477">
        <v>200</v>
      </c>
      <c r="AE297" s="477">
        <v>300</v>
      </c>
      <c r="AF297" s="482">
        <v>100</v>
      </c>
      <c r="AG297" s="480" t="str">
        <f>Fuente!AB298</f>
        <v>SECRETARÍA DE PLANEACIÓN</v>
      </c>
      <c r="AH297" s="81"/>
      <c r="AI297" s="81"/>
      <c r="AJ297" s="81"/>
    </row>
    <row r="298" spans="1:36" ht="63" x14ac:dyDescent="0.2">
      <c r="A298" s="76">
        <v>2</v>
      </c>
      <c r="B298" s="350" t="s">
        <v>1747</v>
      </c>
      <c r="C298" s="351" t="s">
        <v>347</v>
      </c>
      <c r="D298" s="350" t="s">
        <v>1080</v>
      </c>
      <c r="E298" s="351" t="s">
        <v>1087</v>
      </c>
      <c r="F298" s="350" t="s">
        <v>1088</v>
      </c>
      <c r="G298" s="350"/>
      <c r="H298" s="350" t="s">
        <v>1089</v>
      </c>
      <c r="I298" s="350" t="s">
        <v>1089</v>
      </c>
      <c r="J298" s="76" t="s">
        <v>55</v>
      </c>
      <c r="K298" s="484">
        <v>0.05</v>
      </c>
      <c r="L298" s="486"/>
      <c r="M298" s="350" t="s">
        <v>1090</v>
      </c>
      <c r="N298" s="350" t="s">
        <v>1090</v>
      </c>
      <c r="O298" s="351">
        <v>100</v>
      </c>
      <c r="P298" s="351">
        <v>800</v>
      </c>
      <c r="Q298" s="485">
        <f>Fuente!AT302</f>
        <v>150</v>
      </c>
      <c r="R298" s="485">
        <f>Fuente!AU302</f>
        <v>0</v>
      </c>
      <c r="S298" s="485">
        <f>Fuente!AV302</f>
        <v>0</v>
      </c>
      <c r="T298" s="485">
        <f>Fuente!AW302</f>
        <v>0</v>
      </c>
      <c r="U298" s="467">
        <f>Fuente!AM302</f>
        <v>6.25E-2</v>
      </c>
      <c r="V298" s="485">
        <f>Fuente!AY302</f>
        <v>200</v>
      </c>
      <c r="W298" s="485">
        <f>Fuente!AZ302</f>
        <v>100</v>
      </c>
      <c r="X298" s="485">
        <f>Fuente!BA302</f>
        <v>0</v>
      </c>
      <c r="Y298" s="485">
        <f>Fuente!BB302</f>
        <v>0</v>
      </c>
      <c r="Z298" s="485">
        <f>Fuente!BC302</f>
        <v>0</v>
      </c>
      <c r="AA298" s="467">
        <f>Fuente!BD302</f>
        <v>0.5</v>
      </c>
      <c r="AB298" s="477"/>
      <c r="AC298" s="477"/>
      <c r="AD298" s="477"/>
      <c r="AE298" s="477"/>
      <c r="AF298" s="482"/>
      <c r="AG298" s="480" t="e">
        <f>Fuente!#REF!</f>
        <v>#REF!</v>
      </c>
      <c r="AH298" s="81"/>
      <c r="AI298" s="81"/>
      <c r="AJ298" s="81"/>
    </row>
    <row r="299" spans="1:36" ht="47.25" x14ac:dyDescent="0.2">
      <c r="A299" s="76">
        <v>2</v>
      </c>
      <c r="B299" s="350" t="s">
        <v>1747</v>
      </c>
      <c r="C299" s="351" t="s">
        <v>347</v>
      </c>
      <c r="D299" s="350" t="s">
        <v>1080</v>
      </c>
      <c r="E299" s="351" t="s">
        <v>1087</v>
      </c>
      <c r="F299" s="350" t="s">
        <v>1088</v>
      </c>
      <c r="G299" s="350"/>
      <c r="H299" s="350" t="s">
        <v>1089</v>
      </c>
      <c r="I299" s="350" t="s">
        <v>1089</v>
      </c>
      <c r="J299" s="76" t="s">
        <v>55</v>
      </c>
      <c r="K299" s="484">
        <v>0.05</v>
      </c>
      <c r="L299" s="486"/>
      <c r="M299" s="350" t="s">
        <v>1092</v>
      </c>
      <c r="N299" s="350" t="s">
        <v>1092</v>
      </c>
      <c r="O299" s="351">
        <v>400</v>
      </c>
      <c r="P299" s="351">
        <v>1000</v>
      </c>
      <c r="Q299" s="485">
        <f>Fuente!AT303</f>
        <v>125</v>
      </c>
      <c r="R299" s="485">
        <f>Fuente!AU303</f>
        <v>0</v>
      </c>
      <c r="S299" s="485">
        <f>Fuente!AV303</f>
        <v>0</v>
      </c>
      <c r="T299" s="485">
        <f>Fuente!AW303</f>
        <v>0</v>
      </c>
      <c r="U299" s="467">
        <f>Fuente!AM303</f>
        <v>0.05</v>
      </c>
      <c r="V299" s="485">
        <f>Fuente!AY303</f>
        <v>300</v>
      </c>
      <c r="W299" s="485">
        <f>Fuente!AZ303</f>
        <v>75</v>
      </c>
      <c r="X299" s="485">
        <f>Fuente!BA303</f>
        <v>0</v>
      </c>
      <c r="Y299" s="485">
        <f>Fuente!BB303</f>
        <v>0</v>
      </c>
      <c r="Z299" s="485">
        <f>Fuente!BC303</f>
        <v>0</v>
      </c>
      <c r="AA299" s="467">
        <f>Fuente!BD303</f>
        <v>0.25</v>
      </c>
      <c r="AB299" s="477" t="s">
        <v>49</v>
      </c>
      <c r="AC299" s="477"/>
      <c r="AD299" s="477">
        <v>4</v>
      </c>
      <c r="AE299" s="477">
        <v>4</v>
      </c>
      <c r="AF299" s="482">
        <v>2</v>
      </c>
      <c r="AG299" s="480" t="str">
        <f>Fuente!AB299</f>
        <v>SECRETARÍA DE PLANEACIÓN</v>
      </c>
      <c r="AH299" s="81"/>
      <c r="AI299" s="81"/>
      <c r="AJ299" s="81"/>
    </row>
    <row r="300" spans="1:36" ht="120" x14ac:dyDescent="0.2">
      <c r="A300" s="76">
        <v>2</v>
      </c>
      <c r="B300" s="350" t="s">
        <v>1747</v>
      </c>
      <c r="C300" s="351" t="s">
        <v>347</v>
      </c>
      <c r="D300" s="350" t="s">
        <v>1080</v>
      </c>
      <c r="E300" s="351" t="s">
        <v>1087</v>
      </c>
      <c r="F300" s="350" t="s">
        <v>1088</v>
      </c>
      <c r="G300" s="350"/>
      <c r="H300" s="350" t="s">
        <v>1089</v>
      </c>
      <c r="I300" s="350" t="s">
        <v>1089</v>
      </c>
      <c r="J300" s="76" t="s">
        <v>55</v>
      </c>
      <c r="K300" s="484">
        <v>0.05</v>
      </c>
      <c r="L300" s="486"/>
      <c r="M300" s="350" t="s">
        <v>1093</v>
      </c>
      <c r="N300" s="350" t="s">
        <v>1093</v>
      </c>
      <c r="O300" s="351">
        <v>0</v>
      </c>
      <c r="P300" s="351">
        <v>20</v>
      </c>
      <c r="Q300" s="485">
        <f>Fuente!AT304</f>
        <v>4</v>
      </c>
      <c r="R300" s="485">
        <f>Fuente!AU304</f>
        <v>0</v>
      </c>
      <c r="S300" s="485">
        <f>Fuente!AV304</f>
        <v>0</v>
      </c>
      <c r="T300" s="485">
        <f>Fuente!AW304</f>
        <v>0</v>
      </c>
      <c r="U300" s="467">
        <f>Fuente!AM304</f>
        <v>0.05</v>
      </c>
      <c r="V300" s="485">
        <f>Fuente!AY304</f>
        <v>5</v>
      </c>
      <c r="W300" s="485">
        <f>Fuente!AZ304</f>
        <v>3</v>
      </c>
      <c r="X300" s="485">
        <f>Fuente!BA304</f>
        <v>0</v>
      </c>
      <c r="Y300" s="485">
        <f>Fuente!BB304</f>
        <v>0</v>
      </c>
      <c r="Z300" s="485">
        <f>Fuente!BC304</f>
        <v>0</v>
      </c>
      <c r="AA300" s="467">
        <f>Fuente!BD304</f>
        <v>0.6</v>
      </c>
      <c r="AB300" s="477" t="s">
        <v>78</v>
      </c>
      <c r="AC300" s="477"/>
      <c r="AD300" s="477" t="s">
        <v>893</v>
      </c>
      <c r="AE300" s="477" t="s">
        <v>894</v>
      </c>
      <c r="AF300" s="494" t="s">
        <v>1085</v>
      </c>
      <c r="AG300" s="480" t="str">
        <f>Fuente!AB300</f>
        <v>SECRETARÍA DE PLANEACIÓN</v>
      </c>
      <c r="AH300" s="81"/>
      <c r="AI300" s="81"/>
      <c r="AJ300" s="81"/>
    </row>
    <row r="301" spans="1:36" ht="120" x14ac:dyDescent="0.2">
      <c r="A301" s="76">
        <v>2</v>
      </c>
      <c r="B301" s="350" t="s">
        <v>1747</v>
      </c>
      <c r="C301" s="351" t="s">
        <v>347</v>
      </c>
      <c r="D301" s="350" t="s">
        <v>1080</v>
      </c>
      <c r="E301" s="351" t="s">
        <v>1087</v>
      </c>
      <c r="F301" s="350" t="s">
        <v>1088</v>
      </c>
      <c r="G301" s="350"/>
      <c r="H301" s="350" t="s">
        <v>1089</v>
      </c>
      <c r="I301" s="350" t="s">
        <v>1089</v>
      </c>
      <c r="J301" s="76" t="s">
        <v>55</v>
      </c>
      <c r="K301" s="484">
        <v>0.05</v>
      </c>
      <c r="L301" s="486"/>
      <c r="M301" s="350" t="s">
        <v>1094</v>
      </c>
      <c r="N301" s="350" t="s">
        <v>1094</v>
      </c>
      <c r="O301" s="351">
        <v>0</v>
      </c>
      <c r="P301" s="351">
        <v>300</v>
      </c>
      <c r="Q301" s="485">
        <f>Fuente!AT305</f>
        <v>66</v>
      </c>
      <c r="R301" s="485">
        <f>Fuente!AU305</f>
        <v>0</v>
      </c>
      <c r="S301" s="485">
        <f>Fuente!AV305</f>
        <v>0</v>
      </c>
      <c r="T301" s="485">
        <f>Fuente!AW305</f>
        <v>0</v>
      </c>
      <c r="U301" s="467">
        <f>Fuente!AM305</f>
        <v>5.3333333333333337E-2</v>
      </c>
      <c r="V301" s="485">
        <f>Fuente!AY305</f>
        <v>70</v>
      </c>
      <c r="W301" s="485">
        <f>Fuente!AZ305</f>
        <v>50</v>
      </c>
      <c r="X301" s="485">
        <f>Fuente!BA305</f>
        <v>0</v>
      </c>
      <c r="Y301" s="485">
        <f>Fuente!BB305</f>
        <v>0</v>
      </c>
      <c r="Z301" s="485">
        <f>Fuente!BC305</f>
        <v>0</v>
      </c>
      <c r="AA301" s="467">
        <f>Fuente!BD305</f>
        <v>0.7142857142857143</v>
      </c>
      <c r="AB301" s="477" t="s">
        <v>203</v>
      </c>
      <c r="AC301" s="477"/>
      <c r="AD301" s="477" t="s">
        <v>893</v>
      </c>
      <c r="AE301" s="477" t="s">
        <v>894</v>
      </c>
      <c r="AF301" s="494" t="s">
        <v>1085</v>
      </c>
      <c r="AG301" s="480" t="str">
        <f>Fuente!AB301</f>
        <v>SECRETARÍA DE PLANEACIÓN</v>
      </c>
      <c r="AH301" s="81"/>
      <c r="AI301" s="81"/>
      <c r="AJ301" s="81"/>
    </row>
    <row r="302" spans="1:36" ht="120" x14ac:dyDescent="0.2">
      <c r="A302" s="76">
        <v>2</v>
      </c>
      <c r="B302" s="350" t="s">
        <v>1747</v>
      </c>
      <c r="C302" s="351" t="s">
        <v>347</v>
      </c>
      <c r="D302" s="350" t="s">
        <v>1080</v>
      </c>
      <c r="E302" s="351" t="s">
        <v>1087</v>
      </c>
      <c r="F302" s="350" t="s">
        <v>1088</v>
      </c>
      <c r="G302" s="350"/>
      <c r="H302" s="350" t="s">
        <v>1089</v>
      </c>
      <c r="I302" s="350" t="s">
        <v>1089</v>
      </c>
      <c r="J302" s="76" t="s">
        <v>55</v>
      </c>
      <c r="K302" s="484">
        <v>0.05</v>
      </c>
      <c r="L302" s="486"/>
      <c r="M302" s="350" t="s">
        <v>1095</v>
      </c>
      <c r="N302" s="350" t="s">
        <v>1095</v>
      </c>
      <c r="O302" s="351">
        <v>0</v>
      </c>
      <c r="P302" s="351">
        <v>50</v>
      </c>
      <c r="Q302" s="485">
        <f>Fuente!AT306</f>
        <v>3</v>
      </c>
      <c r="R302" s="485">
        <f>Fuente!AU306</f>
        <v>0</v>
      </c>
      <c r="S302" s="485">
        <f>Fuente!AV306</f>
        <v>0</v>
      </c>
      <c r="T302" s="485">
        <f>Fuente!AW306</f>
        <v>0</v>
      </c>
      <c r="U302" s="467">
        <f>Fuente!AM306</f>
        <v>0.06</v>
      </c>
      <c r="V302" s="485">
        <f>Fuente!AY306</f>
        <v>10</v>
      </c>
      <c r="W302" s="485">
        <f>Fuente!AZ306</f>
        <v>0</v>
      </c>
      <c r="X302" s="485">
        <f>Fuente!BA306</f>
        <v>0</v>
      </c>
      <c r="Y302" s="485">
        <f>Fuente!BB306</f>
        <v>0</v>
      </c>
      <c r="Z302" s="485">
        <f>Fuente!BC306</f>
        <v>0</v>
      </c>
      <c r="AA302" s="467">
        <f>Fuente!BD306</f>
        <v>0</v>
      </c>
      <c r="AB302" s="477" t="s">
        <v>203</v>
      </c>
      <c r="AC302" s="480" t="s">
        <v>1091</v>
      </c>
      <c r="AD302" s="477" t="s">
        <v>893</v>
      </c>
      <c r="AE302" s="477" t="s">
        <v>894</v>
      </c>
      <c r="AF302" s="494" t="s">
        <v>1085</v>
      </c>
      <c r="AG302" s="480" t="str">
        <f>Fuente!AB302</f>
        <v>SECRETARÍA DE PLANEACIÓN</v>
      </c>
      <c r="AH302" s="81"/>
      <c r="AI302" s="81"/>
      <c r="AJ302" s="81"/>
    </row>
    <row r="303" spans="1:36" ht="120" x14ac:dyDescent="0.2">
      <c r="A303" s="76">
        <v>2</v>
      </c>
      <c r="B303" s="350" t="s">
        <v>1747</v>
      </c>
      <c r="C303" s="351" t="s">
        <v>347</v>
      </c>
      <c r="D303" s="350" t="s">
        <v>1080</v>
      </c>
      <c r="E303" s="351" t="s">
        <v>1087</v>
      </c>
      <c r="F303" s="350" t="s">
        <v>1088</v>
      </c>
      <c r="G303" s="350"/>
      <c r="H303" s="350" t="s">
        <v>1089</v>
      </c>
      <c r="I303" s="350" t="s">
        <v>1089</v>
      </c>
      <c r="J303" s="76" t="s">
        <v>55</v>
      </c>
      <c r="K303" s="484">
        <v>0.05</v>
      </c>
      <c r="L303" s="486"/>
      <c r="M303" s="350" t="s">
        <v>1097</v>
      </c>
      <c r="N303" s="350" t="s">
        <v>1097</v>
      </c>
      <c r="O303" s="351">
        <v>0</v>
      </c>
      <c r="P303" s="351">
        <v>200</v>
      </c>
      <c r="Q303" s="485">
        <f>Fuente!AT307</f>
        <v>0</v>
      </c>
      <c r="R303" s="485">
        <f>Fuente!AU307</f>
        <v>0</v>
      </c>
      <c r="S303" s="485">
        <f>Fuente!AV307</f>
        <v>0</v>
      </c>
      <c r="T303" s="485">
        <f>Fuente!AW307</f>
        <v>0</v>
      </c>
      <c r="U303" s="467">
        <f>Fuente!AM307</f>
        <v>0</v>
      </c>
      <c r="V303" s="485" t="str">
        <f>Fuente!AY307</f>
        <v>NP</v>
      </c>
      <c r="W303" s="485">
        <f>Fuente!AZ307</f>
        <v>0</v>
      </c>
      <c r="X303" s="485">
        <f>Fuente!BA307</f>
        <v>0</v>
      </c>
      <c r="Y303" s="485">
        <f>Fuente!BB307</f>
        <v>0</v>
      </c>
      <c r="Z303" s="485">
        <f>Fuente!BC307</f>
        <v>0</v>
      </c>
      <c r="AA303" s="467" t="str">
        <f>Fuente!BD307</f>
        <v>NP</v>
      </c>
      <c r="AB303" s="477" t="s">
        <v>203</v>
      </c>
      <c r="AC303" s="477"/>
      <c r="AD303" s="477" t="s">
        <v>893</v>
      </c>
      <c r="AE303" s="477" t="s">
        <v>894</v>
      </c>
      <c r="AF303" s="494" t="s">
        <v>1085</v>
      </c>
      <c r="AG303" s="480" t="str">
        <f>Fuente!AB303</f>
        <v>SECRETARÍA DE PLANEACIÓN</v>
      </c>
      <c r="AH303" s="81"/>
      <c r="AI303" s="81"/>
      <c r="AJ303" s="81"/>
    </row>
    <row r="304" spans="1:36" ht="120" x14ac:dyDescent="0.2">
      <c r="A304" s="76">
        <v>2</v>
      </c>
      <c r="B304" s="350" t="s">
        <v>1747</v>
      </c>
      <c r="C304" s="351" t="s">
        <v>347</v>
      </c>
      <c r="D304" s="350" t="s">
        <v>1080</v>
      </c>
      <c r="E304" s="351" t="s">
        <v>1099</v>
      </c>
      <c r="F304" s="350" t="s">
        <v>1100</v>
      </c>
      <c r="G304" s="350"/>
      <c r="H304" s="350" t="s">
        <v>1101</v>
      </c>
      <c r="I304" s="350" t="s">
        <v>1101</v>
      </c>
      <c r="J304" s="76">
        <v>25</v>
      </c>
      <c r="K304" s="76">
        <v>350</v>
      </c>
      <c r="L304" s="353"/>
      <c r="M304" s="350" t="s">
        <v>1102</v>
      </c>
      <c r="N304" s="350" t="s">
        <v>1102</v>
      </c>
      <c r="O304" s="76">
        <v>25</v>
      </c>
      <c r="P304" s="76">
        <v>350</v>
      </c>
      <c r="Q304" s="485">
        <f>Fuente!AT308</f>
        <v>20</v>
      </c>
      <c r="R304" s="485">
        <f>Fuente!AU308</f>
        <v>0</v>
      </c>
      <c r="S304" s="485">
        <f>Fuente!AV308</f>
        <v>0</v>
      </c>
      <c r="T304" s="485">
        <f>Fuente!AW308</f>
        <v>0</v>
      </c>
      <c r="U304" s="467">
        <f>Fuente!AM308</f>
        <v>5.7142857142857141E-2</v>
      </c>
      <c r="V304" s="485">
        <f>Fuente!AY308</f>
        <v>100</v>
      </c>
      <c r="W304" s="485">
        <f>Fuente!AZ308</f>
        <v>0</v>
      </c>
      <c r="X304" s="485">
        <f>Fuente!BA308</f>
        <v>0</v>
      </c>
      <c r="Y304" s="485">
        <f>Fuente!BB308</f>
        <v>0</v>
      </c>
      <c r="Z304" s="485">
        <f>Fuente!BC308</f>
        <v>0</v>
      </c>
      <c r="AA304" s="467">
        <f>Fuente!BD308</f>
        <v>0</v>
      </c>
      <c r="AB304" s="477" t="s">
        <v>203</v>
      </c>
      <c r="AC304" s="477"/>
      <c r="AD304" s="477" t="s">
        <v>893</v>
      </c>
      <c r="AE304" s="477" t="s">
        <v>894</v>
      </c>
      <c r="AF304" s="494" t="s">
        <v>1085</v>
      </c>
      <c r="AG304" s="480" t="str">
        <f>Fuente!AB304</f>
        <v>SECRETARÍA DE PLANEACIÓN</v>
      </c>
      <c r="AH304" s="81"/>
      <c r="AI304" s="81"/>
      <c r="AJ304" s="81"/>
    </row>
    <row r="305" spans="1:36" ht="120" x14ac:dyDescent="0.2">
      <c r="A305" s="76">
        <v>2</v>
      </c>
      <c r="B305" s="350" t="s">
        <v>1747</v>
      </c>
      <c r="C305" s="351" t="s">
        <v>347</v>
      </c>
      <c r="D305" s="350" t="s">
        <v>1080</v>
      </c>
      <c r="E305" s="351" t="s">
        <v>1099</v>
      </c>
      <c r="F305" s="350" t="s">
        <v>1100</v>
      </c>
      <c r="G305" s="350"/>
      <c r="H305" s="350" t="s">
        <v>1101</v>
      </c>
      <c r="I305" s="350" t="s">
        <v>1101</v>
      </c>
      <c r="J305" s="76">
        <v>25</v>
      </c>
      <c r="K305" s="76">
        <v>350</v>
      </c>
      <c r="L305" s="353"/>
      <c r="M305" s="350" t="s">
        <v>1104</v>
      </c>
      <c r="N305" s="350" t="s">
        <v>1104</v>
      </c>
      <c r="O305" s="76">
        <v>10</v>
      </c>
      <c r="P305" s="76">
        <v>50</v>
      </c>
      <c r="Q305" s="485">
        <f>Fuente!AT310</f>
        <v>6</v>
      </c>
      <c r="R305" s="485">
        <f>Fuente!AU310</f>
        <v>0</v>
      </c>
      <c r="S305" s="485">
        <f>Fuente!AV310</f>
        <v>0</v>
      </c>
      <c r="T305" s="485">
        <f>Fuente!AW310</f>
        <v>0</v>
      </c>
      <c r="U305" s="467">
        <f>Fuente!AM310</f>
        <v>5.0000000000000001E-3</v>
      </c>
      <c r="V305" s="485">
        <f>Fuente!AY310</f>
        <v>50</v>
      </c>
      <c r="W305" s="485">
        <f>Fuente!AZ309</f>
        <v>10</v>
      </c>
      <c r="X305" s="485">
        <f>Fuente!BA309</f>
        <v>0</v>
      </c>
      <c r="Y305" s="485">
        <f>Fuente!BB309</f>
        <v>0</v>
      </c>
      <c r="Z305" s="485">
        <f>Fuente!BC309</f>
        <v>0</v>
      </c>
      <c r="AA305" s="467">
        <f>Fuente!BD310</f>
        <v>0.1</v>
      </c>
      <c r="AB305" s="477" t="s">
        <v>203</v>
      </c>
      <c r="AC305" s="477"/>
      <c r="AD305" s="477" t="s">
        <v>893</v>
      </c>
      <c r="AE305" s="477" t="s">
        <v>894</v>
      </c>
      <c r="AF305" s="494" t="s">
        <v>1085</v>
      </c>
      <c r="AG305" s="480" t="str">
        <f>Fuente!AB305</f>
        <v>SECRETARÍA DE PLANEACIÓN</v>
      </c>
      <c r="AH305" s="81"/>
      <c r="AI305" s="81"/>
      <c r="AJ305" s="81"/>
    </row>
    <row r="306" spans="1:36" ht="120" x14ac:dyDescent="0.2">
      <c r="A306" s="76">
        <v>2</v>
      </c>
      <c r="B306" s="350" t="s">
        <v>1747</v>
      </c>
      <c r="C306" s="351" t="s">
        <v>347</v>
      </c>
      <c r="D306" s="350" t="s">
        <v>1080</v>
      </c>
      <c r="E306" s="351" t="s">
        <v>1105</v>
      </c>
      <c r="F306" s="350" t="s">
        <v>1106</v>
      </c>
      <c r="G306" s="350"/>
      <c r="H306" s="350" t="s">
        <v>1107</v>
      </c>
      <c r="I306" s="350" t="s">
        <v>1107</v>
      </c>
      <c r="J306" s="76">
        <v>0</v>
      </c>
      <c r="K306" s="76">
        <v>200</v>
      </c>
      <c r="L306" s="353"/>
      <c r="M306" s="350" t="s">
        <v>1108</v>
      </c>
      <c r="N306" s="350" t="s">
        <v>1108</v>
      </c>
      <c r="O306" s="76">
        <v>0</v>
      </c>
      <c r="P306" s="76">
        <v>200</v>
      </c>
      <c r="Q306" s="485">
        <f>[2]Fuente!AT311</f>
        <v>1</v>
      </c>
      <c r="R306" s="485">
        <f>[2]Fuente!AU311</f>
        <v>0</v>
      </c>
      <c r="S306" s="485">
        <f>[2]Fuente!AV311</f>
        <v>0</v>
      </c>
      <c r="T306" s="485">
        <f>[2]Fuente!AW311</f>
        <v>0</v>
      </c>
      <c r="U306" s="467">
        <f>[2]Fuente!AM311</f>
        <v>5.0000000000000001E-3</v>
      </c>
      <c r="V306" s="485">
        <f>[2]Fuente!AY311</f>
        <v>50</v>
      </c>
      <c r="W306" s="485">
        <f>Fuente!AZ310</f>
        <v>5</v>
      </c>
      <c r="X306" s="485">
        <f>Fuente!BA310</f>
        <v>0</v>
      </c>
      <c r="Y306" s="485">
        <f>Fuente!BB310</f>
        <v>0</v>
      </c>
      <c r="Z306" s="485">
        <f>Fuente!BC310</f>
        <v>0</v>
      </c>
      <c r="AA306" s="467">
        <f>[2]Fuente!BD311</f>
        <v>0</v>
      </c>
      <c r="AB306" s="477" t="s">
        <v>203</v>
      </c>
      <c r="AC306" s="480" t="s">
        <v>1096</v>
      </c>
      <c r="AD306" s="477" t="s">
        <v>893</v>
      </c>
      <c r="AE306" s="477" t="s">
        <v>894</v>
      </c>
      <c r="AF306" s="494" t="s">
        <v>1085</v>
      </c>
      <c r="AG306" s="480" t="str">
        <f>[2]Fuente!AB307</f>
        <v>SECRETARÍA DE PLANEACIÓN</v>
      </c>
      <c r="AH306" s="81"/>
      <c r="AI306" s="81"/>
      <c r="AJ306" s="81"/>
    </row>
    <row r="307" spans="1:36" ht="120" x14ac:dyDescent="0.2">
      <c r="A307" s="76">
        <v>2</v>
      </c>
      <c r="B307" s="350" t="s">
        <v>1747</v>
      </c>
      <c r="C307" s="351" t="s">
        <v>1110</v>
      </c>
      <c r="D307" s="350" t="s">
        <v>1111</v>
      </c>
      <c r="E307" s="351" t="s">
        <v>1112</v>
      </c>
      <c r="F307" s="350" t="s">
        <v>1113</v>
      </c>
      <c r="G307" s="352"/>
      <c r="H307" s="352" t="s">
        <v>1114</v>
      </c>
      <c r="I307" s="352" t="s">
        <v>1115</v>
      </c>
      <c r="J307" s="76">
        <v>74157</v>
      </c>
      <c r="K307" s="76">
        <v>75757</v>
      </c>
      <c r="L307" s="478"/>
      <c r="M307" s="350" t="s">
        <v>1998</v>
      </c>
      <c r="N307" s="350" t="s">
        <v>1116</v>
      </c>
      <c r="O307" s="76">
        <v>0</v>
      </c>
      <c r="P307" s="76">
        <v>1</v>
      </c>
      <c r="Q307" s="485">
        <f>Fuente!AT311</f>
        <v>0</v>
      </c>
      <c r="R307" s="485">
        <f>Fuente!AU311</f>
        <v>0</v>
      </c>
      <c r="S307" s="485">
        <f>Fuente!AV311</f>
        <v>0</v>
      </c>
      <c r="T307" s="485">
        <f>Fuente!AW311</f>
        <v>0</v>
      </c>
      <c r="U307" s="467">
        <f>Fuente!AM311</f>
        <v>0</v>
      </c>
      <c r="V307" s="485" t="str">
        <f>Fuente!AY311</f>
        <v>NP</v>
      </c>
      <c r="W307" s="485">
        <f>Fuente!AZ311</f>
        <v>0</v>
      </c>
      <c r="X307" s="485">
        <f>Fuente!BA311</f>
        <v>0</v>
      </c>
      <c r="Y307" s="485">
        <f>Fuente!BB311</f>
        <v>0</v>
      </c>
      <c r="Z307" s="485">
        <f>Fuente!BC311</f>
        <v>0</v>
      </c>
      <c r="AA307" s="467" t="str">
        <f>Fuente!BD311</f>
        <v>NP</v>
      </c>
      <c r="AB307" s="477" t="s">
        <v>203</v>
      </c>
      <c r="AC307" s="480" t="s">
        <v>1098</v>
      </c>
      <c r="AD307" s="477" t="s">
        <v>893</v>
      </c>
      <c r="AE307" s="477" t="s">
        <v>894</v>
      </c>
      <c r="AF307" s="494" t="s">
        <v>1085</v>
      </c>
      <c r="AG307" s="480" t="str">
        <f>Fuente!AB307</f>
        <v>SECRETARÍA DE PLANEACIÓN</v>
      </c>
      <c r="AH307" s="81"/>
      <c r="AI307" s="81"/>
      <c r="AJ307" s="81"/>
    </row>
    <row r="308" spans="1:36" ht="120" x14ac:dyDescent="0.2">
      <c r="A308" s="76">
        <v>2</v>
      </c>
      <c r="B308" s="350" t="s">
        <v>1747</v>
      </c>
      <c r="C308" s="351" t="s">
        <v>1110</v>
      </c>
      <c r="D308" s="350" t="s">
        <v>1111</v>
      </c>
      <c r="E308" s="351" t="s">
        <v>1112</v>
      </c>
      <c r="F308" s="350" t="s">
        <v>1113</v>
      </c>
      <c r="G308" s="352"/>
      <c r="H308" s="352" t="s">
        <v>1114</v>
      </c>
      <c r="I308" s="352" t="s">
        <v>1115</v>
      </c>
      <c r="J308" s="76">
        <v>74157</v>
      </c>
      <c r="K308" s="76">
        <v>75757</v>
      </c>
      <c r="L308" s="478"/>
      <c r="M308" s="350" t="s">
        <v>1117</v>
      </c>
      <c r="N308" s="350" t="s">
        <v>1117</v>
      </c>
      <c r="O308" s="76">
        <v>0</v>
      </c>
      <c r="P308" s="76">
        <v>600</v>
      </c>
      <c r="Q308" s="485">
        <f>Fuente!AT312</f>
        <v>0</v>
      </c>
      <c r="R308" s="485">
        <f>Fuente!AU312</f>
        <v>0</v>
      </c>
      <c r="S308" s="485">
        <f>Fuente!AV312</f>
        <v>0</v>
      </c>
      <c r="T308" s="485">
        <f>Fuente!AW312</f>
        <v>0</v>
      </c>
      <c r="U308" s="467">
        <f>Fuente!AM312</f>
        <v>0</v>
      </c>
      <c r="V308" s="485" t="str">
        <f>Fuente!AY312</f>
        <v>NP</v>
      </c>
      <c r="W308" s="485">
        <f>Fuente!AZ312</f>
        <v>0</v>
      </c>
      <c r="X308" s="485">
        <f>Fuente!BA312</f>
        <v>0</v>
      </c>
      <c r="Y308" s="485">
        <f>Fuente!BB312</f>
        <v>0</v>
      </c>
      <c r="Z308" s="485">
        <f>Fuente!BC312</f>
        <v>0</v>
      </c>
      <c r="AA308" s="467" t="str">
        <f>Fuente!BD312</f>
        <v>NP</v>
      </c>
      <c r="AB308" s="477" t="s">
        <v>203</v>
      </c>
      <c r="AC308" s="480" t="s">
        <v>1103</v>
      </c>
      <c r="AD308" s="477" t="s">
        <v>893</v>
      </c>
      <c r="AE308" s="477" t="s">
        <v>894</v>
      </c>
      <c r="AF308" s="494" t="s">
        <v>1085</v>
      </c>
      <c r="AG308" s="480" t="str">
        <f>Fuente!AB308</f>
        <v>SECRETARÍA DE PLANEACIÓN</v>
      </c>
      <c r="AH308" s="81"/>
      <c r="AI308" s="81"/>
      <c r="AJ308" s="81"/>
    </row>
    <row r="309" spans="1:36" ht="120" x14ac:dyDescent="0.2">
      <c r="A309" s="76">
        <v>2</v>
      </c>
      <c r="B309" s="350" t="s">
        <v>1747</v>
      </c>
      <c r="C309" s="351" t="s">
        <v>1110</v>
      </c>
      <c r="D309" s="350" t="s">
        <v>1111</v>
      </c>
      <c r="E309" s="351" t="s">
        <v>1112</v>
      </c>
      <c r="F309" s="350" t="s">
        <v>1113</v>
      </c>
      <c r="G309" s="352"/>
      <c r="H309" s="352" t="s">
        <v>1114</v>
      </c>
      <c r="I309" s="352" t="s">
        <v>1115</v>
      </c>
      <c r="J309" s="76">
        <v>74157</v>
      </c>
      <c r="K309" s="76">
        <v>75757</v>
      </c>
      <c r="L309" s="478"/>
      <c r="M309" s="350" t="s">
        <v>1118</v>
      </c>
      <c r="N309" s="350" t="s">
        <v>1118</v>
      </c>
      <c r="O309" s="76">
        <v>0</v>
      </c>
      <c r="P309" s="76">
        <v>1000</v>
      </c>
      <c r="Q309" s="485">
        <f>Fuente!AT313</f>
        <v>0</v>
      </c>
      <c r="R309" s="485">
        <f>Fuente!AU313</f>
        <v>0</v>
      </c>
      <c r="S309" s="485">
        <f>Fuente!AV313</f>
        <v>0</v>
      </c>
      <c r="T309" s="485">
        <f>Fuente!AW313</f>
        <v>0</v>
      </c>
      <c r="U309" s="467">
        <f>Fuente!AM313</f>
        <v>0</v>
      </c>
      <c r="V309" s="485" t="str">
        <f>Fuente!AY313</f>
        <v>NP</v>
      </c>
      <c r="W309" s="485">
        <f>Fuente!AZ313</f>
        <v>0</v>
      </c>
      <c r="X309" s="485">
        <f>Fuente!BA313</f>
        <v>0</v>
      </c>
      <c r="Y309" s="485">
        <f>Fuente!BB313</f>
        <v>0</v>
      </c>
      <c r="Z309" s="485">
        <f>Fuente!BC313</f>
        <v>0</v>
      </c>
      <c r="AA309" s="467" t="str">
        <f>Fuente!BD313</f>
        <v>NP</v>
      </c>
      <c r="AB309" s="477" t="s">
        <v>203</v>
      </c>
      <c r="AC309" s="477"/>
      <c r="AD309" s="477" t="s">
        <v>893</v>
      </c>
      <c r="AE309" s="477" t="s">
        <v>894</v>
      </c>
      <c r="AF309" s="494" t="s">
        <v>1085</v>
      </c>
      <c r="AG309" s="480" t="str">
        <f>Fuente!AB310</f>
        <v>SECRETARÍA DE PLANEACIÓN</v>
      </c>
      <c r="AH309" s="81"/>
      <c r="AI309" s="81"/>
      <c r="AJ309" s="81"/>
    </row>
    <row r="310" spans="1:36" ht="120" x14ac:dyDescent="0.2">
      <c r="A310" s="76">
        <v>2</v>
      </c>
      <c r="B310" s="350" t="s">
        <v>1747</v>
      </c>
      <c r="C310" s="351" t="s">
        <v>1110</v>
      </c>
      <c r="D310" s="350" t="s">
        <v>1111</v>
      </c>
      <c r="E310" s="351" t="s">
        <v>1112</v>
      </c>
      <c r="F310" s="350" t="s">
        <v>1113</v>
      </c>
      <c r="G310" s="352"/>
      <c r="H310" s="352" t="s">
        <v>1114</v>
      </c>
      <c r="I310" s="352" t="s">
        <v>1115</v>
      </c>
      <c r="J310" s="76">
        <v>74157</v>
      </c>
      <c r="K310" s="76">
        <v>75757</v>
      </c>
      <c r="L310" s="478"/>
      <c r="M310" s="350" t="s">
        <v>1119</v>
      </c>
      <c r="N310" s="350" t="s">
        <v>1119</v>
      </c>
      <c r="O310" s="76">
        <v>0</v>
      </c>
      <c r="P310" s="76">
        <v>3</v>
      </c>
      <c r="Q310" s="485">
        <f>Fuente!AT314</f>
        <v>0</v>
      </c>
      <c r="R310" s="485">
        <f>Fuente!AU314</f>
        <v>0</v>
      </c>
      <c r="S310" s="485">
        <f>Fuente!AV314</f>
        <v>0</v>
      </c>
      <c r="T310" s="485">
        <f>Fuente!AW314</f>
        <v>0</v>
      </c>
      <c r="U310" s="467">
        <f>Fuente!AM314</f>
        <v>0</v>
      </c>
      <c r="V310" s="485" t="str">
        <f>Fuente!AY314</f>
        <v>NP</v>
      </c>
      <c r="W310" s="485">
        <f>Fuente!AZ314</f>
        <v>0</v>
      </c>
      <c r="X310" s="485">
        <f>Fuente!BA314</f>
        <v>0</v>
      </c>
      <c r="Y310" s="485">
        <f>Fuente!BB314</f>
        <v>0</v>
      </c>
      <c r="Z310" s="485">
        <f>Fuente!BC314</f>
        <v>0</v>
      </c>
      <c r="AA310" s="467" t="str">
        <f>Fuente!BD314</f>
        <v>NP</v>
      </c>
      <c r="AB310" s="477" t="s">
        <v>203</v>
      </c>
      <c r="AC310" s="480" t="s">
        <v>1109</v>
      </c>
      <c r="AD310" s="477" t="s">
        <v>893</v>
      </c>
      <c r="AE310" s="477" t="s">
        <v>894</v>
      </c>
      <c r="AF310" s="494" t="s">
        <v>1085</v>
      </c>
      <c r="AG310" s="480" t="e">
        <f>Fuente!#REF!</f>
        <v>#REF!</v>
      </c>
      <c r="AH310" s="81"/>
      <c r="AI310" s="81"/>
      <c r="AJ310" s="81"/>
    </row>
    <row r="311" spans="1:36" ht="63" x14ac:dyDescent="0.2">
      <c r="A311" s="76">
        <v>3</v>
      </c>
      <c r="B311" s="350" t="s">
        <v>1748</v>
      </c>
      <c r="C311" s="351" t="s">
        <v>1120</v>
      </c>
      <c r="D311" s="350" t="s">
        <v>1121</v>
      </c>
      <c r="E311" s="351" t="s">
        <v>1122</v>
      </c>
      <c r="F311" s="350" t="s">
        <v>1123</v>
      </c>
      <c r="G311" s="352"/>
      <c r="H311" s="352" t="s">
        <v>1124</v>
      </c>
      <c r="I311" s="350" t="s">
        <v>1125</v>
      </c>
      <c r="J311" s="76">
        <v>0</v>
      </c>
      <c r="K311" s="484">
        <v>1</v>
      </c>
      <c r="L311" s="486"/>
      <c r="M311" s="350" t="s">
        <v>1126</v>
      </c>
      <c r="N311" s="350" t="s">
        <v>1126</v>
      </c>
      <c r="O311" s="76">
        <v>0</v>
      </c>
      <c r="P311" s="351">
        <v>4</v>
      </c>
      <c r="Q311" s="485">
        <f>Fuente!AT315</f>
        <v>0</v>
      </c>
      <c r="R311" s="485">
        <f>Fuente!AU315</f>
        <v>0</v>
      </c>
      <c r="S311" s="485">
        <f>Fuente!AV315</f>
        <v>0</v>
      </c>
      <c r="T311" s="485">
        <f>Fuente!AW315</f>
        <v>0</v>
      </c>
      <c r="U311" s="467">
        <f>Fuente!AM315</f>
        <v>0</v>
      </c>
      <c r="V311" s="485" t="str">
        <f>Fuente!AY315</f>
        <v>NP</v>
      </c>
      <c r="W311" s="485">
        <f>Fuente!AZ315</f>
        <v>0</v>
      </c>
      <c r="X311" s="485">
        <f>Fuente!BA315</f>
        <v>0</v>
      </c>
      <c r="Y311" s="485">
        <f>Fuente!BB315</f>
        <v>0</v>
      </c>
      <c r="Z311" s="485">
        <f>Fuente!BC315</f>
        <v>0</v>
      </c>
      <c r="AA311" s="467" t="str">
        <f>Fuente!BD315</f>
        <v>NP</v>
      </c>
      <c r="AB311" s="477" t="s">
        <v>971</v>
      </c>
      <c r="AC311" s="477"/>
      <c r="AD311" s="477"/>
      <c r="AE311" s="477"/>
      <c r="AF311" s="482"/>
      <c r="AG311" s="480" t="str">
        <f>Fuente!AB311</f>
        <v>SECRETARÍA DE PLANEACIÓN</v>
      </c>
      <c r="AH311" s="81"/>
      <c r="AI311" s="81"/>
      <c r="AJ311" s="81"/>
    </row>
    <row r="312" spans="1:36" ht="78.75" x14ac:dyDescent="0.2">
      <c r="A312" s="76">
        <v>3</v>
      </c>
      <c r="B312" s="350" t="s">
        <v>1748</v>
      </c>
      <c r="C312" s="351" t="s">
        <v>1120</v>
      </c>
      <c r="D312" s="350" t="s">
        <v>1121</v>
      </c>
      <c r="E312" s="351" t="s">
        <v>1122</v>
      </c>
      <c r="F312" s="350" t="s">
        <v>1123</v>
      </c>
      <c r="G312" s="352"/>
      <c r="H312" s="352" t="s">
        <v>1130</v>
      </c>
      <c r="I312" s="350" t="s">
        <v>1131</v>
      </c>
      <c r="J312" s="76">
        <v>0</v>
      </c>
      <c r="K312" s="484">
        <v>1</v>
      </c>
      <c r="L312" s="486"/>
      <c r="M312" s="350" t="s">
        <v>1132</v>
      </c>
      <c r="N312" s="350" t="s">
        <v>1132</v>
      </c>
      <c r="O312" s="76">
        <v>0</v>
      </c>
      <c r="P312" s="351">
        <v>1</v>
      </c>
      <c r="Q312" s="485">
        <f>Fuente!AT316</f>
        <v>0</v>
      </c>
      <c r="R312" s="485">
        <f>Fuente!AU316</f>
        <v>0</v>
      </c>
      <c r="S312" s="485">
        <f>Fuente!AV316</f>
        <v>0</v>
      </c>
      <c r="T312" s="485">
        <f>Fuente!AW316</f>
        <v>0</v>
      </c>
      <c r="U312" s="467">
        <f>Fuente!AM316</f>
        <v>0</v>
      </c>
      <c r="V312" s="485" t="str">
        <f>Fuente!AY316</f>
        <v>NP</v>
      </c>
      <c r="W312" s="485">
        <f>Fuente!AZ316</f>
        <v>0</v>
      </c>
      <c r="X312" s="485">
        <f>Fuente!BA316</f>
        <v>0</v>
      </c>
      <c r="Y312" s="485">
        <f>Fuente!BB316</f>
        <v>0</v>
      </c>
      <c r="Z312" s="485">
        <f>Fuente!BC316</f>
        <v>0</v>
      </c>
      <c r="AA312" s="467" t="str">
        <f>Fuente!BD316</f>
        <v>NP</v>
      </c>
      <c r="AB312" s="477" t="s">
        <v>971</v>
      </c>
      <c r="AC312" s="477"/>
      <c r="AD312" s="477"/>
      <c r="AE312" s="477"/>
      <c r="AF312" s="482"/>
      <c r="AG312" s="480" t="str">
        <f>Fuente!AB312</f>
        <v>SECRETARÍA DE PLANEACIÓN</v>
      </c>
      <c r="AH312" s="81"/>
      <c r="AI312" s="81"/>
      <c r="AJ312" s="81"/>
    </row>
    <row r="313" spans="1:36" ht="78.75" x14ac:dyDescent="0.2">
      <c r="A313" s="76">
        <v>3</v>
      </c>
      <c r="B313" s="350" t="s">
        <v>1748</v>
      </c>
      <c r="C313" s="351" t="s">
        <v>1120</v>
      </c>
      <c r="D313" s="350" t="s">
        <v>1121</v>
      </c>
      <c r="E313" s="351" t="s">
        <v>1122</v>
      </c>
      <c r="F313" s="350" t="s">
        <v>1123</v>
      </c>
      <c r="G313" s="352"/>
      <c r="H313" s="352" t="s">
        <v>1135</v>
      </c>
      <c r="I313" s="350" t="s">
        <v>1136</v>
      </c>
      <c r="J313" s="76">
        <v>0</v>
      </c>
      <c r="K313" s="484">
        <v>1</v>
      </c>
      <c r="L313" s="486"/>
      <c r="M313" s="350" t="s">
        <v>1137</v>
      </c>
      <c r="N313" s="350" t="s">
        <v>1137</v>
      </c>
      <c r="O313" s="76">
        <v>0</v>
      </c>
      <c r="P313" s="351">
        <v>6</v>
      </c>
      <c r="Q313" s="485">
        <f>Fuente!AT317</f>
        <v>6</v>
      </c>
      <c r="R313" s="485">
        <f>Fuente!AU317</f>
        <v>0</v>
      </c>
      <c r="S313" s="485">
        <f>Fuente!AV317</f>
        <v>0</v>
      </c>
      <c r="T313" s="485">
        <f>Fuente!AW317</f>
        <v>0</v>
      </c>
      <c r="U313" s="467">
        <f>Fuente!AM317</f>
        <v>0.66666666666666663</v>
      </c>
      <c r="V313" s="485">
        <f>Fuente!AY317</f>
        <v>2</v>
      </c>
      <c r="W313" s="485">
        <f>Fuente!AZ317</f>
        <v>2</v>
      </c>
      <c r="X313" s="485">
        <f>Fuente!BA317</f>
        <v>0</v>
      </c>
      <c r="Y313" s="485">
        <f>Fuente!BB317</f>
        <v>0</v>
      </c>
      <c r="Z313" s="485">
        <f>Fuente!BC317</f>
        <v>0</v>
      </c>
      <c r="AA313" s="467">
        <f>Fuente!BD317</f>
        <v>1</v>
      </c>
      <c r="AB313" s="477" t="s">
        <v>971</v>
      </c>
      <c r="AC313" s="477"/>
      <c r="AD313" s="477"/>
      <c r="AE313" s="477"/>
      <c r="AF313" s="482"/>
      <c r="AG313" s="480" t="str">
        <f>Fuente!AB313</f>
        <v>SECRETARÍA DE PLANEACIÓN</v>
      </c>
      <c r="AH313" s="81"/>
      <c r="AI313" s="81"/>
      <c r="AJ313" s="81"/>
    </row>
    <row r="314" spans="1:36" ht="63" x14ac:dyDescent="0.2">
      <c r="A314" s="76">
        <v>3</v>
      </c>
      <c r="B314" s="350" t="s">
        <v>1748</v>
      </c>
      <c r="C314" s="351" t="s">
        <v>1120</v>
      </c>
      <c r="D314" s="350" t="s">
        <v>1121</v>
      </c>
      <c r="E314" s="351" t="s">
        <v>1122</v>
      </c>
      <c r="F314" s="350" t="s">
        <v>1123</v>
      </c>
      <c r="G314" s="352"/>
      <c r="H314" s="352" t="s">
        <v>1138</v>
      </c>
      <c r="I314" s="350" t="s">
        <v>1139</v>
      </c>
      <c r="J314" s="76">
        <v>0</v>
      </c>
      <c r="K314" s="484">
        <v>1</v>
      </c>
      <c r="L314" s="486"/>
      <c r="M314" s="350" t="s">
        <v>1140</v>
      </c>
      <c r="N314" s="350" t="s">
        <v>1140</v>
      </c>
      <c r="O314" s="76">
        <v>0</v>
      </c>
      <c r="P314" s="351">
        <v>1</v>
      </c>
      <c r="Q314" s="485">
        <f>Fuente!AT318</f>
        <v>0</v>
      </c>
      <c r="R314" s="485">
        <f>Fuente!AU318</f>
        <v>0</v>
      </c>
      <c r="S314" s="485">
        <f>Fuente!AV318</f>
        <v>0</v>
      </c>
      <c r="T314" s="485">
        <f>Fuente!AW318</f>
        <v>0</v>
      </c>
      <c r="U314" s="467">
        <f>Fuente!AM318</f>
        <v>0</v>
      </c>
      <c r="V314" s="485" t="str">
        <f>Fuente!AY318</f>
        <v>NP</v>
      </c>
      <c r="W314" s="485">
        <f>Fuente!AZ318</f>
        <v>0</v>
      </c>
      <c r="X314" s="485">
        <f>Fuente!BA318</f>
        <v>0</v>
      </c>
      <c r="Y314" s="485">
        <f>Fuente!BB318</f>
        <v>0</v>
      </c>
      <c r="Z314" s="485">
        <f>Fuente!BC318</f>
        <v>0</v>
      </c>
      <c r="AA314" s="467" t="str">
        <f>Fuente!BD318</f>
        <v>NP</v>
      </c>
      <c r="AB314" s="477" t="s">
        <v>971</v>
      </c>
      <c r="AC314" s="477"/>
      <c r="AD314" s="477"/>
      <c r="AE314" s="477"/>
      <c r="AF314" s="482"/>
      <c r="AG314" s="480" t="str">
        <f>Fuente!AB314</f>
        <v>SECRETARÍA DE PLANEACIÓN</v>
      </c>
      <c r="AH314" s="81"/>
      <c r="AI314" s="81"/>
      <c r="AJ314" s="81"/>
    </row>
    <row r="315" spans="1:36" ht="75" x14ac:dyDescent="0.2">
      <c r="A315" s="76">
        <v>3</v>
      </c>
      <c r="B315" s="350" t="s">
        <v>1748</v>
      </c>
      <c r="C315" s="351" t="s">
        <v>1120</v>
      </c>
      <c r="D315" s="350" t="s">
        <v>1121</v>
      </c>
      <c r="E315" s="351" t="s">
        <v>1122</v>
      </c>
      <c r="F315" s="350" t="s">
        <v>1123</v>
      </c>
      <c r="G315" s="352"/>
      <c r="H315" s="352" t="s">
        <v>1141</v>
      </c>
      <c r="I315" s="350" t="s">
        <v>1142</v>
      </c>
      <c r="J315" s="76">
        <v>0</v>
      </c>
      <c r="K315" s="484">
        <v>1</v>
      </c>
      <c r="L315" s="486"/>
      <c r="M315" s="350" t="s">
        <v>1143</v>
      </c>
      <c r="N315" s="350" t="s">
        <v>1143</v>
      </c>
      <c r="O315" s="76">
        <v>0</v>
      </c>
      <c r="P315" s="351">
        <v>1</v>
      </c>
      <c r="Q315" s="485">
        <f>Fuente!AT319</f>
        <v>0</v>
      </c>
      <c r="R315" s="485">
        <f>Fuente!AU319</f>
        <v>0</v>
      </c>
      <c r="S315" s="485">
        <f>Fuente!AV319</f>
        <v>0</v>
      </c>
      <c r="T315" s="485">
        <f>Fuente!AW319</f>
        <v>0</v>
      </c>
      <c r="U315" s="467">
        <f>Fuente!AM319</f>
        <v>0</v>
      </c>
      <c r="V315" s="485">
        <f>Fuente!AY319</f>
        <v>1</v>
      </c>
      <c r="W315" s="485">
        <f>Fuente!AZ319</f>
        <v>0</v>
      </c>
      <c r="X315" s="485">
        <f>Fuente!BA319</f>
        <v>0</v>
      </c>
      <c r="Y315" s="485">
        <f>Fuente!BB319</f>
        <v>0</v>
      </c>
      <c r="Z315" s="485">
        <f>Fuente!BC319</f>
        <v>0</v>
      </c>
      <c r="AA315" s="467">
        <f>Fuente!BD319</f>
        <v>0</v>
      </c>
      <c r="AB315" s="477" t="s">
        <v>971</v>
      </c>
      <c r="AC315" s="477"/>
      <c r="AD315" s="480" t="s">
        <v>1127</v>
      </c>
      <c r="AE315" s="477" t="s">
        <v>1128</v>
      </c>
      <c r="AF315" s="494" t="s">
        <v>1129</v>
      </c>
      <c r="AG315" s="480" t="str">
        <f>Fuente!AB315</f>
        <v>SECRETARÍA DE DESARROLLO REGIONAL Y ORDENAMIENTO TERRITORIAL</v>
      </c>
      <c r="AH315" s="81"/>
      <c r="AI315" s="81"/>
      <c r="AJ315" s="81"/>
    </row>
    <row r="316" spans="1:36" ht="75" x14ac:dyDescent="0.2">
      <c r="A316" s="76">
        <v>3</v>
      </c>
      <c r="B316" s="350" t="s">
        <v>1748</v>
      </c>
      <c r="C316" s="351" t="s">
        <v>1144</v>
      </c>
      <c r="D316" s="350" t="s">
        <v>1145</v>
      </c>
      <c r="E316" s="351" t="s">
        <v>1146</v>
      </c>
      <c r="F316" s="350" t="s">
        <v>1147</v>
      </c>
      <c r="G316" s="352"/>
      <c r="H316" s="352" t="s">
        <v>1148</v>
      </c>
      <c r="I316" s="350" t="s">
        <v>1149</v>
      </c>
      <c r="J316" s="498">
        <v>0.2727</v>
      </c>
      <c r="K316" s="498">
        <v>0.81820000000000004</v>
      </c>
      <c r="L316" s="499"/>
      <c r="M316" s="350" t="s">
        <v>1150</v>
      </c>
      <c r="N316" s="350" t="s">
        <v>1150</v>
      </c>
      <c r="O316" s="76">
        <v>3</v>
      </c>
      <c r="P316" s="351">
        <v>4</v>
      </c>
      <c r="Q316" s="485">
        <f>Fuente!AT320</f>
        <v>0</v>
      </c>
      <c r="R316" s="485">
        <f>Fuente!AU320</f>
        <v>0</v>
      </c>
      <c r="S316" s="485">
        <f>Fuente!AV320</f>
        <v>0</v>
      </c>
      <c r="T316" s="485">
        <f>Fuente!AW320</f>
        <v>0</v>
      </c>
      <c r="U316" s="467">
        <f>Fuente!AM320</f>
        <v>0</v>
      </c>
      <c r="V316" s="485">
        <f>Fuente!AY320</f>
        <v>1</v>
      </c>
      <c r="W316" s="485">
        <f>Fuente!AZ320</f>
        <v>0</v>
      </c>
      <c r="X316" s="485">
        <f>Fuente!BA320</f>
        <v>0</v>
      </c>
      <c r="Y316" s="485">
        <f>Fuente!BB320</f>
        <v>0</v>
      </c>
      <c r="Z316" s="485">
        <f>Fuente!BC320</f>
        <v>0</v>
      </c>
      <c r="AA316" s="467">
        <f>Fuente!BD320</f>
        <v>0</v>
      </c>
      <c r="AB316" s="477" t="s">
        <v>971</v>
      </c>
      <c r="AC316" s="477"/>
      <c r="AD316" s="480" t="s">
        <v>1133</v>
      </c>
      <c r="AE316" s="477" t="s">
        <v>1128</v>
      </c>
      <c r="AF316" s="494" t="s">
        <v>1134</v>
      </c>
      <c r="AG316" s="480" t="str">
        <f>Fuente!AB316</f>
        <v>SECRETARÍA DE DESARROLLO REGIONAL Y ORDENAMIENTO TERRITORIAL</v>
      </c>
      <c r="AH316" s="81"/>
      <c r="AI316" s="81"/>
      <c r="AJ316" s="81"/>
    </row>
    <row r="317" spans="1:36" ht="75" x14ac:dyDescent="0.2">
      <c r="A317" s="76">
        <v>3</v>
      </c>
      <c r="B317" s="350" t="s">
        <v>1748</v>
      </c>
      <c r="C317" s="351" t="s">
        <v>1144</v>
      </c>
      <c r="D317" s="350" t="s">
        <v>1145</v>
      </c>
      <c r="E317" s="351" t="s">
        <v>1146</v>
      </c>
      <c r="F317" s="350" t="s">
        <v>1147</v>
      </c>
      <c r="G317" s="352"/>
      <c r="H317" s="352" t="s">
        <v>1154</v>
      </c>
      <c r="I317" s="350" t="s">
        <v>1155</v>
      </c>
      <c r="J317" s="498">
        <v>0.28570000000000001</v>
      </c>
      <c r="K317" s="498">
        <v>0.57140000000000002</v>
      </c>
      <c r="L317" s="499"/>
      <c r="M317" s="350" t="s">
        <v>1156</v>
      </c>
      <c r="N317" s="350" t="s">
        <v>1156</v>
      </c>
      <c r="O317" s="76">
        <v>2</v>
      </c>
      <c r="P317" s="351">
        <v>2</v>
      </c>
      <c r="Q317" s="485">
        <f>Fuente!AT321</f>
        <v>4</v>
      </c>
      <c r="R317" s="485">
        <f>Fuente!AU321</f>
        <v>0</v>
      </c>
      <c r="S317" s="485">
        <f>Fuente!AV321</f>
        <v>0</v>
      </c>
      <c r="T317" s="485">
        <f>Fuente!AW321</f>
        <v>0</v>
      </c>
      <c r="U317" s="467">
        <f>Fuente!AM321</f>
        <v>1</v>
      </c>
      <c r="V317" s="485">
        <f>Fuente!AY321</f>
        <v>2</v>
      </c>
      <c r="W317" s="485">
        <f>Fuente!AZ321</f>
        <v>2</v>
      </c>
      <c r="X317" s="485">
        <f>Fuente!BA321</f>
        <v>0</v>
      </c>
      <c r="Y317" s="485">
        <f>Fuente!BB321</f>
        <v>0</v>
      </c>
      <c r="Z317" s="485">
        <f>Fuente!BC321</f>
        <v>0</v>
      </c>
      <c r="AA317" s="467">
        <f>Fuente!BD321</f>
        <v>1</v>
      </c>
      <c r="AB317" s="477" t="s">
        <v>971</v>
      </c>
      <c r="AC317" s="477"/>
      <c r="AD317" s="480" t="s">
        <v>1127</v>
      </c>
      <c r="AE317" s="477" t="s">
        <v>1128</v>
      </c>
      <c r="AF317" s="494" t="s">
        <v>1129</v>
      </c>
      <c r="AG317" s="480" t="str">
        <f>Fuente!AB317</f>
        <v>SECRETARÍA DE DESARROLLO REGIONAL Y ORDENAMIENTO TERRITORIAL</v>
      </c>
      <c r="AH317" s="81"/>
      <c r="AI317" s="81"/>
      <c r="AJ317" s="81"/>
    </row>
    <row r="318" spans="1:36" ht="75" x14ac:dyDescent="0.2">
      <c r="A318" s="76">
        <v>3</v>
      </c>
      <c r="B318" s="350" t="s">
        <v>1748</v>
      </c>
      <c r="C318" s="351" t="s">
        <v>1144</v>
      </c>
      <c r="D318" s="350" t="s">
        <v>1145</v>
      </c>
      <c r="E318" s="351" t="s">
        <v>1146</v>
      </c>
      <c r="F318" s="350" t="s">
        <v>1147</v>
      </c>
      <c r="G318" s="352"/>
      <c r="H318" s="352" t="s">
        <v>1158</v>
      </c>
      <c r="I318" s="350" t="s">
        <v>1159</v>
      </c>
      <c r="J318" s="484">
        <v>0.5</v>
      </c>
      <c r="K318" s="484">
        <v>1</v>
      </c>
      <c r="L318" s="486"/>
      <c r="M318" s="350" t="s">
        <v>1160</v>
      </c>
      <c r="N318" s="350" t="s">
        <v>1160</v>
      </c>
      <c r="O318" s="76">
        <v>6</v>
      </c>
      <c r="P318" s="351">
        <v>6</v>
      </c>
      <c r="Q318" s="485">
        <f>Fuente!AT322</f>
        <v>1</v>
      </c>
      <c r="R318" s="485">
        <f>Fuente!AU322</f>
        <v>0</v>
      </c>
      <c r="S318" s="485">
        <f>Fuente!AV322</f>
        <v>0</v>
      </c>
      <c r="T318" s="485">
        <f>Fuente!AW322</f>
        <v>0</v>
      </c>
      <c r="U318" s="467">
        <f>Fuente!AM322</f>
        <v>0.16666666666666666</v>
      </c>
      <c r="V318" s="485">
        <f>Fuente!AY322</f>
        <v>1</v>
      </c>
      <c r="W318" s="485">
        <f>Fuente!AZ322</f>
        <v>0</v>
      </c>
      <c r="X318" s="485">
        <f>Fuente!BA322</f>
        <v>0</v>
      </c>
      <c r="Y318" s="485">
        <f>Fuente!BB322</f>
        <v>0</v>
      </c>
      <c r="Z318" s="485">
        <f>Fuente!BC322</f>
        <v>0</v>
      </c>
      <c r="AA318" s="467">
        <f>Fuente!BD322</f>
        <v>0</v>
      </c>
      <c r="AB318" s="477" t="s">
        <v>971</v>
      </c>
      <c r="AC318" s="477"/>
      <c r="AD318" s="480" t="s">
        <v>1127</v>
      </c>
      <c r="AE318" s="477" t="s">
        <v>1128</v>
      </c>
      <c r="AF318" s="494" t="s">
        <v>1129</v>
      </c>
      <c r="AG318" s="480" t="str">
        <f>Fuente!AB318</f>
        <v>SECRETARÍA DE DESARROLLO REGIONAL Y ORDENAMIENTO TERRITORIAL</v>
      </c>
      <c r="AH318" s="81"/>
      <c r="AI318" s="81"/>
      <c r="AJ318" s="81"/>
    </row>
    <row r="319" spans="1:36" ht="75" x14ac:dyDescent="0.2">
      <c r="A319" s="76">
        <v>3</v>
      </c>
      <c r="B319" s="350" t="s">
        <v>1748</v>
      </c>
      <c r="C319" s="351" t="s">
        <v>1144</v>
      </c>
      <c r="D319" s="350" t="s">
        <v>1145</v>
      </c>
      <c r="E319" s="351" t="s">
        <v>1146</v>
      </c>
      <c r="F319" s="350" t="s">
        <v>1147</v>
      </c>
      <c r="G319" s="352"/>
      <c r="H319" s="352" t="s">
        <v>1161</v>
      </c>
      <c r="I319" s="350" t="s">
        <v>1162</v>
      </c>
      <c r="J319" s="498">
        <v>0.33329999999999999</v>
      </c>
      <c r="K319" s="498">
        <v>0.66659999999999997</v>
      </c>
      <c r="L319" s="499"/>
      <c r="M319" s="350" t="s">
        <v>1163</v>
      </c>
      <c r="N319" s="350" t="s">
        <v>1163</v>
      </c>
      <c r="O319" s="76">
        <v>1</v>
      </c>
      <c r="P319" s="351">
        <v>1</v>
      </c>
      <c r="Q319" s="485">
        <f>Fuente!AT323</f>
        <v>0</v>
      </c>
      <c r="R319" s="485">
        <f>Fuente!AU323</f>
        <v>0</v>
      </c>
      <c r="S319" s="485">
        <f>Fuente!AV323</f>
        <v>0</v>
      </c>
      <c r="T319" s="485">
        <f>Fuente!AW323</f>
        <v>0</v>
      </c>
      <c r="U319" s="467">
        <f>Fuente!AM323</f>
        <v>0</v>
      </c>
      <c r="V319" s="485">
        <f>Fuente!AY323</f>
        <v>1</v>
      </c>
      <c r="W319" s="485">
        <f>Fuente!AZ323</f>
        <v>0</v>
      </c>
      <c r="X319" s="485">
        <f>Fuente!BA323</f>
        <v>0</v>
      </c>
      <c r="Y319" s="485">
        <f>Fuente!BB323</f>
        <v>0</v>
      </c>
      <c r="Z319" s="485">
        <f>Fuente!BC323</f>
        <v>0</v>
      </c>
      <c r="AA319" s="467">
        <f>Fuente!BD323</f>
        <v>0</v>
      </c>
      <c r="AB319" s="477" t="s">
        <v>971</v>
      </c>
      <c r="AC319" s="477"/>
      <c r="AD319" s="480" t="s">
        <v>1127</v>
      </c>
      <c r="AE319" s="477" t="s">
        <v>1128</v>
      </c>
      <c r="AF319" s="494" t="s">
        <v>1129</v>
      </c>
      <c r="AG319" s="480" t="str">
        <f>Fuente!AB319</f>
        <v>SECRETARÍA DE DESARROLLO REGIONAL Y ORDENAMIENTO TERRITORIAL</v>
      </c>
      <c r="AH319" s="81"/>
      <c r="AI319" s="81"/>
      <c r="AJ319" s="81"/>
    </row>
    <row r="320" spans="1:36" ht="75" x14ac:dyDescent="0.2">
      <c r="A320" s="76">
        <v>3</v>
      </c>
      <c r="B320" s="350" t="s">
        <v>1748</v>
      </c>
      <c r="C320" s="351" t="s">
        <v>1144</v>
      </c>
      <c r="D320" s="350" t="s">
        <v>1145</v>
      </c>
      <c r="E320" s="351" t="s">
        <v>1146</v>
      </c>
      <c r="F320" s="350" t="s">
        <v>1147</v>
      </c>
      <c r="G320" s="352"/>
      <c r="H320" s="352" t="s">
        <v>1164</v>
      </c>
      <c r="I320" s="350" t="s">
        <v>1165</v>
      </c>
      <c r="J320" s="76">
        <v>0</v>
      </c>
      <c r="K320" s="484">
        <v>1</v>
      </c>
      <c r="L320" s="486"/>
      <c r="M320" s="350" t="s">
        <v>1166</v>
      </c>
      <c r="N320" s="350" t="s">
        <v>1166</v>
      </c>
      <c r="O320" s="76">
        <v>0</v>
      </c>
      <c r="P320" s="351">
        <v>1</v>
      </c>
      <c r="Q320" s="485">
        <f>Fuente!AT324</f>
        <v>0</v>
      </c>
      <c r="R320" s="485">
        <f>Fuente!AU324</f>
        <v>0</v>
      </c>
      <c r="S320" s="485">
        <f>Fuente!AV324</f>
        <v>0</v>
      </c>
      <c r="T320" s="485">
        <f>Fuente!AW324</f>
        <v>0</v>
      </c>
      <c r="U320" s="467">
        <f>Fuente!AM324</f>
        <v>0</v>
      </c>
      <c r="V320" s="485" t="str">
        <f>Fuente!AY324</f>
        <v>NP</v>
      </c>
      <c r="W320" s="485">
        <f>Fuente!AZ324</f>
        <v>0</v>
      </c>
      <c r="X320" s="485">
        <f>Fuente!BA324</f>
        <v>0</v>
      </c>
      <c r="Y320" s="485">
        <f>Fuente!BB324</f>
        <v>0</v>
      </c>
      <c r="Z320" s="485">
        <f>Fuente!BC324</f>
        <v>0</v>
      </c>
      <c r="AA320" s="467" t="str">
        <f>Fuente!BD324</f>
        <v>NP</v>
      </c>
      <c r="AB320" s="477" t="s">
        <v>971</v>
      </c>
      <c r="AC320" s="477"/>
      <c r="AD320" s="477" t="s">
        <v>1151</v>
      </c>
      <c r="AE320" s="477" t="s">
        <v>1152</v>
      </c>
      <c r="AF320" s="494" t="s">
        <v>1153</v>
      </c>
      <c r="AG320" s="480" t="str">
        <f>Fuente!AB320</f>
        <v>SECRETARÍA DE DESARROLLO REGIONAL Y ORDENAMIENTO TERRITORIAL</v>
      </c>
      <c r="AH320" s="81"/>
      <c r="AI320" s="81"/>
      <c r="AJ320" s="81"/>
    </row>
    <row r="321" spans="1:36" ht="75" x14ac:dyDescent="0.2">
      <c r="A321" s="76">
        <v>3</v>
      </c>
      <c r="B321" s="350" t="s">
        <v>1748</v>
      </c>
      <c r="C321" s="351" t="s">
        <v>1167</v>
      </c>
      <c r="D321" s="350" t="s">
        <v>1168</v>
      </c>
      <c r="E321" s="351" t="s">
        <v>1169</v>
      </c>
      <c r="F321" s="350" t="s">
        <v>1170</v>
      </c>
      <c r="G321" s="352"/>
      <c r="H321" s="352" t="s">
        <v>1171</v>
      </c>
      <c r="I321" s="350" t="s">
        <v>1172</v>
      </c>
      <c r="J321" s="76">
        <v>0</v>
      </c>
      <c r="K321" s="484">
        <v>1</v>
      </c>
      <c r="L321" s="486"/>
      <c r="M321" s="350" t="s">
        <v>1173</v>
      </c>
      <c r="N321" s="350" t="s">
        <v>1173</v>
      </c>
      <c r="O321" s="76">
        <v>0</v>
      </c>
      <c r="P321" s="351">
        <v>1</v>
      </c>
      <c r="Q321" s="485">
        <f>Fuente!AT325</f>
        <v>0.05</v>
      </c>
      <c r="R321" s="485">
        <f>Fuente!AU325</f>
        <v>0</v>
      </c>
      <c r="S321" s="485">
        <f>Fuente!AV325</f>
        <v>0</v>
      </c>
      <c r="T321" s="485">
        <f>Fuente!AW325</f>
        <v>0</v>
      </c>
      <c r="U321" s="467">
        <f>Fuente!AM325</f>
        <v>0</v>
      </c>
      <c r="V321" s="485">
        <f>Fuente!AY325</f>
        <v>1</v>
      </c>
      <c r="W321" s="485">
        <f>Fuente!AZ325</f>
        <v>0.05</v>
      </c>
      <c r="X321" s="485">
        <f>Fuente!BA325</f>
        <v>0</v>
      </c>
      <c r="Y321" s="485">
        <f>Fuente!BB325</f>
        <v>0</v>
      </c>
      <c r="Z321" s="485">
        <f>Fuente!BC325</f>
        <v>0</v>
      </c>
      <c r="AA321" s="467">
        <f>Fuente!BD325</f>
        <v>0.05</v>
      </c>
      <c r="AB321" s="477" t="s">
        <v>971</v>
      </c>
      <c r="AC321" s="477"/>
      <c r="AD321" s="477" t="s">
        <v>1151</v>
      </c>
      <c r="AE321" s="477" t="s">
        <v>1152</v>
      </c>
      <c r="AF321" s="494" t="s">
        <v>1157</v>
      </c>
      <c r="AG321" s="480" t="str">
        <f>Fuente!AB321</f>
        <v>SECRETARÍA DE DESARROLLO REGIONAL Y ORDENAMIENTO TERRITORIAL</v>
      </c>
      <c r="AH321" s="81"/>
      <c r="AI321" s="81"/>
      <c r="AJ321" s="81"/>
    </row>
    <row r="322" spans="1:36" ht="75" x14ac:dyDescent="0.2">
      <c r="A322" s="76">
        <v>3</v>
      </c>
      <c r="B322" s="350" t="s">
        <v>1748</v>
      </c>
      <c r="C322" s="351" t="s">
        <v>1167</v>
      </c>
      <c r="D322" s="350" t="s">
        <v>1168</v>
      </c>
      <c r="E322" s="351" t="s">
        <v>1169</v>
      </c>
      <c r="F322" s="350" t="s">
        <v>1170</v>
      </c>
      <c r="G322" s="352"/>
      <c r="H322" s="352" t="s">
        <v>1175</v>
      </c>
      <c r="I322" s="350" t="s">
        <v>1176</v>
      </c>
      <c r="J322" s="76">
        <v>0</v>
      </c>
      <c r="K322" s="484">
        <v>1</v>
      </c>
      <c r="L322" s="486"/>
      <c r="M322" s="350" t="s">
        <v>1177</v>
      </c>
      <c r="N322" s="350" t="s">
        <v>1177</v>
      </c>
      <c r="O322" s="76">
        <v>0</v>
      </c>
      <c r="P322" s="351">
        <v>45</v>
      </c>
      <c r="Q322" s="485">
        <f>Fuente!AT326</f>
        <v>0</v>
      </c>
      <c r="R322" s="485">
        <f>Fuente!AU326</f>
        <v>0</v>
      </c>
      <c r="S322" s="485">
        <f>Fuente!AV326</f>
        <v>0</v>
      </c>
      <c r="T322" s="485">
        <f>Fuente!AW326</f>
        <v>0</v>
      </c>
      <c r="U322" s="467">
        <f>Fuente!AM326</f>
        <v>0</v>
      </c>
      <c r="V322" s="485" t="str">
        <f>Fuente!AY326</f>
        <v>NP</v>
      </c>
      <c r="W322" s="485">
        <f>Fuente!AZ326</f>
        <v>0</v>
      </c>
      <c r="X322" s="485">
        <f>Fuente!BA326</f>
        <v>0</v>
      </c>
      <c r="Y322" s="485">
        <f>Fuente!BB326</f>
        <v>0</v>
      </c>
      <c r="Z322" s="485">
        <f>Fuente!BC326</f>
        <v>0</v>
      </c>
      <c r="AA322" s="467" t="str">
        <f>Fuente!BD326</f>
        <v>NP</v>
      </c>
      <c r="AB322" s="477" t="s">
        <v>971</v>
      </c>
      <c r="AC322" s="477"/>
      <c r="AD322" s="477" t="s">
        <v>1151</v>
      </c>
      <c r="AE322" s="477" t="s">
        <v>1152</v>
      </c>
      <c r="AF322" s="494" t="s">
        <v>1157</v>
      </c>
      <c r="AG322" s="480" t="str">
        <f>Fuente!AB322</f>
        <v>SECRETARÍA DE DESARROLLO REGIONAL Y ORDENAMIENTO TERRITORIAL</v>
      </c>
      <c r="AH322" s="81"/>
      <c r="AI322" s="81"/>
      <c r="AJ322" s="81"/>
    </row>
    <row r="323" spans="1:36" ht="75" x14ac:dyDescent="0.2">
      <c r="A323" s="76">
        <v>3</v>
      </c>
      <c r="B323" s="350" t="s">
        <v>1748</v>
      </c>
      <c r="C323" s="351" t="s">
        <v>1178</v>
      </c>
      <c r="D323" s="353" t="s">
        <v>1179</v>
      </c>
      <c r="E323" s="76" t="s">
        <v>1180</v>
      </c>
      <c r="F323" s="350" t="s">
        <v>1181</v>
      </c>
      <c r="G323" s="352"/>
      <c r="H323" s="352" t="s">
        <v>1182</v>
      </c>
      <c r="I323" s="350" t="s">
        <v>1182</v>
      </c>
      <c r="J323" s="76">
        <v>56</v>
      </c>
      <c r="K323" s="484">
        <v>1</v>
      </c>
      <c r="L323" s="486"/>
      <c r="M323" s="350" t="s">
        <v>1988</v>
      </c>
      <c r="N323" s="350" t="s">
        <v>1971</v>
      </c>
      <c r="O323" s="76">
        <v>56</v>
      </c>
      <c r="P323" s="351">
        <v>112</v>
      </c>
      <c r="Q323" s="485">
        <f>Fuente!AT327</f>
        <v>40</v>
      </c>
      <c r="R323" s="485">
        <f>Fuente!AU327</f>
        <v>0</v>
      </c>
      <c r="S323" s="485">
        <f>Fuente!AV327</f>
        <v>0</v>
      </c>
      <c r="T323" s="485">
        <f>Fuente!AW327</f>
        <v>0</v>
      </c>
      <c r="U323" s="467">
        <f>Fuente!AM327</f>
        <v>0</v>
      </c>
      <c r="V323" s="485">
        <f>Fuente!AY327</f>
        <v>30</v>
      </c>
      <c r="W323" s="485">
        <f>Fuente!AZ327</f>
        <v>40</v>
      </c>
      <c r="X323" s="485">
        <f>Fuente!BA327</f>
        <v>0</v>
      </c>
      <c r="Y323" s="485">
        <f>Fuente!BB327</f>
        <v>0</v>
      </c>
      <c r="Z323" s="485">
        <f>Fuente!BC327</f>
        <v>0</v>
      </c>
      <c r="AA323" s="467">
        <f>Fuente!BD327</f>
        <v>1</v>
      </c>
      <c r="AB323" s="477" t="s">
        <v>971</v>
      </c>
      <c r="AC323" s="477"/>
      <c r="AD323" s="477" t="s">
        <v>1151</v>
      </c>
      <c r="AE323" s="477" t="s">
        <v>1152</v>
      </c>
      <c r="AF323" s="494" t="s">
        <v>1134</v>
      </c>
      <c r="AG323" s="480" t="str">
        <f>Fuente!AB323</f>
        <v>SECRETARÍA DE DESARROLLO REGIONAL Y ORDENAMIENTO TERRITORIAL</v>
      </c>
      <c r="AH323" s="81"/>
      <c r="AI323" s="81"/>
      <c r="AJ323" s="81"/>
    </row>
    <row r="324" spans="1:36" ht="110.25" x14ac:dyDescent="0.2">
      <c r="A324" s="76">
        <v>3</v>
      </c>
      <c r="B324" s="350" t="s">
        <v>1748</v>
      </c>
      <c r="C324" s="351" t="s">
        <v>1178</v>
      </c>
      <c r="D324" s="353" t="s">
        <v>1179</v>
      </c>
      <c r="E324" s="76" t="s">
        <v>1180</v>
      </c>
      <c r="F324" s="350" t="s">
        <v>1181</v>
      </c>
      <c r="G324" s="352"/>
      <c r="H324" s="352" t="s">
        <v>1183</v>
      </c>
      <c r="I324" s="350" t="s">
        <v>1183</v>
      </c>
      <c r="J324" s="76">
        <v>0</v>
      </c>
      <c r="K324" s="484">
        <v>1</v>
      </c>
      <c r="L324" s="486"/>
      <c r="M324" s="350" t="s">
        <v>1184</v>
      </c>
      <c r="N324" s="350" t="s">
        <v>1184</v>
      </c>
      <c r="O324" s="76">
        <v>0</v>
      </c>
      <c r="P324" s="351">
        <v>1</v>
      </c>
      <c r="Q324" s="485">
        <f>Fuente!AT328</f>
        <v>0.2</v>
      </c>
      <c r="R324" s="485">
        <f>Fuente!AU328</f>
        <v>0</v>
      </c>
      <c r="S324" s="485">
        <f>Fuente!AV328</f>
        <v>0</v>
      </c>
      <c r="T324" s="485">
        <f>Fuente!AW328</f>
        <v>0</v>
      </c>
      <c r="U324" s="467">
        <f>Fuente!AM328</f>
        <v>0</v>
      </c>
      <c r="V324" s="485">
        <f>Fuente!AY328</f>
        <v>0.5</v>
      </c>
      <c r="W324" s="485">
        <f>Fuente!AZ328</f>
        <v>0.2</v>
      </c>
      <c r="X324" s="485">
        <f>Fuente!BA328</f>
        <v>0</v>
      </c>
      <c r="Y324" s="485">
        <f>Fuente!BB328</f>
        <v>0</v>
      </c>
      <c r="Z324" s="485">
        <f>Fuente!BC328</f>
        <v>0</v>
      </c>
      <c r="AA324" s="467">
        <f>Fuente!BD328</f>
        <v>0.4</v>
      </c>
      <c r="AB324" s="477" t="s">
        <v>971</v>
      </c>
      <c r="AC324" s="477"/>
      <c r="AD324" s="477" t="s">
        <v>1151</v>
      </c>
      <c r="AE324" s="477" t="s">
        <v>1152</v>
      </c>
      <c r="AF324" s="494" t="s">
        <v>1157</v>
      </c>
      <c r="AG324" s="480" t="str">
        <f>Fuente!AB324</f>
        <v>SECRETARÍA DE DESARROLLO REGIONAL Y ORDENAMIENTO TERRITORIAL</v>
      </c>
      <c r="AH324" s="81"/>
      <c r="AI324" s="81"/>
      <c r="AJ324" s="81"/>
    </row>
    <row r="325" spans="1:36" ht="105" x14ac:dyDescent="0.2">
      <c r="A325" s="76">
        <v>3</v>
      </c>
      <c r="B325" s="350" t="s">
        <v>1748</v>
      </c>
      <c r="C325" s="351" t="s">
        <v>1178</v>
      </c>
      <c r="D325" s="353" t="s">
        <v>1179</v>
      </c>
      <c r="E325" s="76" t="s">
        <v>1180</v>
      </c>
      <c r="F325" s="350" t="s">
        <v>1181</v>
      </c>
      <c r="G325" s="352"/>
      <c r="H325" s="352" t="s">
        <v>1185</v>
      </c>
      <c r="I325" s="350" t="s">
        <v>1185</v>
      </c>
      <c r="J325" s="76">
        <v>56</v>
      </c>
      <c r="K325" s="76">
        <v>100</v>
      </c>
      <c r="L325" s="353"/>
      <c r="M325" s="350" t="s">
        <v>1186</v>
      </c>
      <c r="N325" s="350" t="s">
        <v>1186</v>
      </c>
      <c r="O325" s="76">
        <v>46</v>
      </c>
      <c r="P325" s="76">
        <v>46</v>
      </c>
      <c r="Q325" s="485">
        <f>Fuente!AT329</f>
        <v>13.5</v>
      </c>
      <c r="R325" s="485">
        <f>Fuente!AU329</f>
        <v>0</v>
      </c>
      <c r="S325" s="485">
        <f>Fuente!AV329</f>
        <v>0</v>
      </c>
      <c r="T325" s="485">
        <f>Fuente!AW329</f>
        <v>0</v>
      </c>
      <c r="U325" s="467">
        <f>Fuente!AM329</f>
        <v>1</v>
      </c>
      <c r="V325" s="485">
        <f>Fuente!AY329</f>
        <v>46</v>
      </c>
      <c r="W325" s="485">
        <f>Fuente!AZ329</f>
        <v>8</v>
      </c>
      <c r="X325" s="485">
        <f>Fuente!BA329</f>
        <v>0</v>
      </c>
      <c r="Y325" s="485">
        <f>Fuente!BB329</f>
        <v>0</v>
      </c>
      <c r="Z325" s="485">
        <f>Fuente!BC329</f>
        <v>0</v>
      </c>
      <c r="AA325" s="467">
        <f>Fuente!BD329</f>
        <v>0.17391304347826086</v>
      </c>
      <c r="AB325" s="477" t="s">
        <v>971</v>
      </c>
      <c r="AC325" s="477"/>
      <c r="AD325" s="477" t="s">
        <v>1151</v>
      </c>
      <c r="AE325" s="477" t="s">
        <v>1152</v>
      </c>
      <c r="AF325" s="494" t="s">
        <v>1174</v>
      </c>
      <c r="AG325" s="480" t="str">
        <f>Fuente!AB325</f>
        <v>SECRETARÍA DE DESARROLLO REGIONAL Y ORDENAMIENTO TERRITORIAL - SECRETARÍA DE PLANEACIÓN</v>
      </c>
      <c r="AH325" s="81"/>
      <c r="AI325" s="81"/>
      <c r="AJ325" s="81"/>
    </row>
    <row r="326" spans="1:36" ht="105" x14ac:dyDescent="0.2">
      <c r="A326" s="76">
        <v>3</v>
      </c>
      <c r="B326" s="350" t="s">
        <v>1748</v>
      </c>
      <c r="C326" s="351" t="s">
        <v>1178</v>
      </c>
      <c r="D326" s="353" t="s">
        <v>1179</v>
      </c>
      <c r="E326" s="76" t="s">
        <v>1187</v>
      </c>
      <c r="F326" s="350" t="s">
        <v>1188</v>
      </c>
      <c r="G326" s="352"/>
      <c r="H326" s="352" t="s">
        <v>1189</v>
      </c>
      <c r="I326" s="350" t="s">
        <v>1189</v>
      </c>
      <c r="J326" s="76">
        <v>0</v>
      </c>
      <c r="K326" s="484">
        <v>0.02</v>
      </c>
      <c r="L326" s="486"/>
      <c r="M326" s="350" t="s">
        <v>1190</v>
      </c>
      <c r="N326" s="350" t="s">
        <v>1190</v>
      </c>
      <c r="O326" s="76">
        <v>0</v>
      </c>
      <c r="P326" s="351">
        <v>2</v>
      </c>
      <c r="Q326" s="485">
        <f>Fuente!AT330</f>
        <v>0.15</v>
      </c>
      <c r="R326" s="485">
        <f>Fuente!AU330</f>
        <v>0</v>
      </c>
      <c r="S326" s="485">
        <f>Fuente!AV330</f>
        <v>0</v>
      </c>
      <c r="T326" s="485">
        <f>Fuente!AW330</f>
        <v>0</v>
      </c>
      <c r="U326" s="467">
        <f>Fuente!AM330</f>
        <v>0</v>
      </c>
      <c r="V326" s="485">
        <f>Fuente!AY330</f>
        <v>1</v>
      </c>
      <c r="W326" s="485">
        <f>Fuente!AZ330</f>
        <v>0.15</v>
      </c>
      <c r="X326" s="485">
        <f>Fuente!BA330</f>
        <v>0</v>
      </c>
      <c r="Y326" s="485">
        <f>Fuente!BB330</f>
        <v>0</v>
      </c>
      <c r="Z326" s="485">
        <f>Fuente!BC330</f>
        <v>0</v>
      </c>
      <c r="AA326" s="467">
        <f>Fuente!BD330</f>
        <v>0.15</v>
      </c>
      <c r="AB326" s="477" t="s">
        <v>971</v>
      </c>
      <c r="AC326" s="477"/>
      <c r="AD326" s="477" t="s">
        <v>1151</v>
      </c>
      <c r="AE326" s="477" t="s">
        <v>1152</v>
      </c>
      <c r="AF326" s="494" t="s">
        <v>1174</v>
      </c>
      <c r="AG326" s="480" t="str">
        <f>Fuente!AB326</f>
        <v>SECRETARÍA DE DESARROLLO REGIONAL Y ORDENAMIENTO TERRITORIAL - SECRETARÍA DE PLANEACIÓN</v>
      </c>
      <c r="AH326" s="81"/>
      <c r="AI326" s="81"/>
      <c r="AJ326" s="81"/>
    </row>
    <row r="327" spans="1:36" ht="63" x14ac:dyDescent="0.2">
      <c r="A327" s="76">
        <v>3</v>
      </c>
      <c r="B327" s="350" t="s">
        <v>1748</v>
      </c>
      <c r="C327" s="351" t="s">
        <v>1178</v>
      </c>
      <c r="D327" s="353" t="s">
        <v>1179</v>
      </c>
      <c r="E327" s="76" t="s">
        <v>1187</v>
      </c>
      <c r="F327" s="350" t="s">
        <v>1188</v>
      </c>
      <c r="G327" s="352"/>
      <c r="H327" s="352" t="s">
        <v>1191</v>
      </c>
      <c r="I327" s="350" t="s">
        <v>1191</v>
      </c>
      <c r="J327" s="498">
        <v>1.8E-3</v>
      </c>
      <c r="K327" s="498">
        <v>2.3999999999999998E-3</v>
      </c>
      <c r="L327" s="499"/>
      <c r="M327" s="350" t="s">
        <v>1192</v>
      </c>
      <c r="N327" s="350" t="s">
        <v>1192</v>
      </c>
      <c r="O327" s="76">
        <v>1.8E-3</v>
      </c>
      <c r="P327" s="500">
        <v>2.3999999999999998E-3</v>
      </c>
      <c r="Q327" s="485">
        <f>Fuente!AT331</f>
        <v>1.8E-3</v>
      </c>
      <c r="R327" s="485">
        <f>Fuente!AU331</f>
        <v>0</v>
      </c>
      <c r="S327" s="485">
        <f>Fuente!AV331</f>
        <v>0</v>
      </c>
      <c r="T327" s="485">
        <f>Fuente!AW331</f>
        <v>0</v>
      </c>
      <c r="U327" s="467">
        <f>Fuente!AM331</f>
        <v>0.75</v>
      </c>
      <c r="V327" s="485">
        <f>Fuente!AY331</f>
        <v>0.2</v>
      </c>
      <c r="W327" s="485">
        <f>Fuente!AZ331</f>
        <v>0</v>
      </c>
      <c r="X327" s="485">
        <f>Fuente!BA331</f>
        <v>0</v>
      </c>
      <c r="Y327" s="485">
        <f>Fuente!BB331</f>
        <v>0</v>
      </c>
      <c r="Z327" s="485">
        <f>Fuente!BC331</f>
        <v>0</v>
      </c>
      <c r="AA327" s="467">
        <f>Fuente!BD331</f>
        <v>0</v>
      </c>
      <c r="AB327" s="477" t="s">
        <v>49</v>
      </c>
      <c r="AC327" s="477"/>
      <c r="AD327" s="477"/>
      <c r="AE327" s="477"/>
      <c r="AF327" s="482"/>
      <c r="AG327" s="480" t="str">
        <f>Fuente!AB327</f>
        <v>GESTIÓN DE RIESGO</v>
      </c>
      <c r="AH327" s="81"/>
      <c r="AI327" s="81"/>
      <c r="AJ327" s="81"/>
    </row>
    <row r="328" spans="1:36" ht="78.75" x14ac:dyDescent="0.2">
      <c r="A328" s="76">
        <v>3</v>
      </c>
      <c r="B328" s="350" t="s">
        <v>1748</v>
      </c>
      <c r="C328" s="351" t="s">
        <v>1178</v>
      </c>
      <c r="D328" s="353" t="s">
        <v>1179</v>
      </c>
      <c r="E328" s="76" t="s">
        <v>1187</v>
      </c>
      <c r="F328" s="350" t="s">
        <v>1188</v>
      </c>
      <c r="G328" s="352"/>
      <c r="H328" s="352" t="s">
        <v>1193</v>
      </c>
      <c r="I328" s="350" t="s">
        <v>1194</v>
      </c>
      <c r="J328" s="76">
        <v>102900</v>
      </c>
      <c r="K328" s="484">
        <v>0.06</v>
      </c>
      <c r="L328" s="486"/>
      <c r="M328" s="350" t="s">
        <v>1195</v>
      </c>
      <c r="N328" s="350" t="s">
        <v>1195</v>
      </c>
      <c r="O328" s="76">
        <v>102900</v>
      </c>
      <c r="P328" s="351">
        <v>124000</v>
      </c>
      <c r="Q328" s="485">
        <f>Fuente!AT332</f>
        <v>102900</v>
      </c>
      <c r="R328" s="485">
        <f>Fuente!AU332</f>
        <v>0</v>
      </c>
      <c r="S328" s="485">
        <f>Fuente!AV332</f>
        <v>0</v>
      </c>
      <c r="T328" s="485">
        <f>Fuente!AW332</f>
        <v>0</v>
      </c>
      <c r="U328" s="467">
        <f>Fuente!AM332</f>
        <v>0.82983870967741935</v>
      </c>
      <c r="V328" s="485" t="str">
        <f>Fuente!AY332</f>
        <v>NP</v>
      </c>
      <c r="W328" s="485">
        <f>Fuente!AZ332</f>
        <v>0</v>
      </c>
      <c r="X328" s="485">
        <f>Fuente!BA332</f>
        <v>0</v>
      </c>
      <c r="Y328" s="485">
        <f>Fuente!BB332</f>
        <v>0</v>
      </c>
      <c r="Z328" s="485">
        <f>Fuente!BC332</f>
        <v>0</v>
      </c>
      <c r="AA328" s="467" t="str">
        <f>Fuente!BD332</f>
        <v>NP</v>
      </c>
      <c r="AB328" s="477" t="s">
        <v>49</v>
      </c>
      <c r="AC328" s="477"/>
      <c r="AD328" s="477"/>
      <c r="AE328" s="477"/>
      <c r="AF328" s="482"/>
      <c r="AG328" s="480" t="str">
        <f>Fuente!AB328</f>
        <v>GESTIÓN DE RIESGO</v>
      </c>
      <c r="AH328" s="81"/>
      <c r="AI328" s="81"/>
      <c r="AJ328" s="81"/>
    </row>
    <row r="329" spans="1:36" ht="63" x14ac:dyDescent="0.2">
      <c r="A329" s="76">
        <v>3</v>
      </c>
      <c r="B329" s="350" t="s">
        <v>1748</v>
      </c>
      <c r="C329" s="351" t="s">
        <v>1178</v>
      </c>
      <c r="D329" s="353" t="s">
        <v>1179</v>
      </c>
      <c r="E329" s="76" t="s">
        <v>1196</v>
      </c>
      <c r="F329" s="350" t="s">
        <v>1197</v>
      </c>
      <c r="G329" s="352"/>
      <c r="H329" s="352" t="s">
        <v>1198</v>
      </c>
      <c r="I329" s="350" t="s">
        <v>1198</v>
      </c>
      <c r="J329" s="484">
        <v>1</v>
      </c>
      <c r="K329" s="498">
        <v>0.8155</v>
      </c>
      <c r="L329" s="499"/>
      <c r="M329" s="350" t="s">
        <v>1199</v>
      </c>
      <c r="N329" s="350" t="s">
        <v>1199</v>
      </c>
      <c r="O329" s="351">
        <v>147150</v>
      </c>
      <c r="P329" s="351">
        <v>120000</v>
      </c>
      <c r="Q329" s="485">
        <f>Fuente!AT333</f>
        <v>242654</v>
      </c>
      <c r="R329" s="485">
        <f>Fuente!AU333</f>
        <v>0</v>
      </c>
      <c r="S329" s="485">
        <f>Fuente!AV333</f>
        <v>0</v>
      </c>
      <c r="T329" s="485">
        <f>Fuente!AW333</f>
        <v>0</v>
      </c>
      <c r="U329" s="467">
        <f>Fuente!AM333</f>
        <v>1</v>
      </c>
      <c r="V329" s="485">
        <f>Fuente!AY333</f>
        <v>30000</v>
      </c>
      <c r="W329" s="485">
        <f>Fuente!AZ333</f>
        <v>95504</v>
      </c>
      <c r="X329" s="485">
        <f>Fuente!BA333</f>
        <v>0</v>
      </c>
      <c r="Y329" s="485">
        <f>Fuente!BB333</f>
        <v>0</v>
      </c>
      <c r="Z329" s="485">
        <f>Fuente!BC333</f>
        <v>0</v>
      </c>
      <c r="AA329" s="467">
        <f>Fuente!BD333</f>
        <v>1</v>
      </c>
      <c r="AB329" s="477" t="s">
        <v>78</v>
      </c>
      <c r="AC329" s="477"/>
      <c r="AD329" s="477"/>
      <c r="AE329" s="477"/>
      <c r="AF329" s="482"/>
      <c r="AG329" s="480" t="str">
        <f>Fuente!AB329</f>
        <v>GESTIÓN DE RIESGO</v>
      </c>
      <c r="AH329" s="81"/>
      <c r="AI329" s="81"/>
      <c r="AJ329" s="81"/>
    </row>
    <row r="330" spans="1:36" ht="78.75" x14ac:dyDescent="0.2">
      <c r="A330" s="76">
        <v>3</v>
      </c>
      <c r="B330" s="350" t="s">
        <v>1748</v>
      </c>
      <c r="C330" s="351" t="s">
        <v>1178</v>
      </c>
      <c r="D330" s="353" t="s">
        <v>1179</v>
      </c>
      <c r="E330" s="76" t="s">
        <v>1196</v>
      </c>
      <c r="F330" s="350" t="s">
        <v>1197</v>
      </c>
      <c r="G330" s="352"/>
      <c r="H330" s="352" t="s">
        <v>1200</v>
      </c>
      <c r="I330" s="350" t="s">
        <v>1200</v>
      </c>
      <c r="J330" s="484">
        <v>0.85</v>
      </c>
      <c r="K330" s="484">
        <v>1</v>
      </c>
      <c r="L330" s="486"/>
      <c r="M330" s="350" t="s">
        <v>1989</v>
      </c>
      <c r="N330" s="350" t="s">
        <v>1201</v>
      </c>
      <c r="O330" s="76">
        <v>50</v>
      </c>
      <c r="P330" s="351">
        <v>30</v>
      </c>
      <c r="Q330" s="485">
        <f>Fuente!AT334</f>
        <v>99</v>
      </c>
      <c r="R330" s="485">
        <f>Fuente!AU334</f>
        <v>0</v>
      </c>
      <c r="S330" s="485">
        <f>Fuente!AV334</f>
        <v>0</v>
      </c>
      <c r="T330" s="485">
        <f>Fuente!AW334</f>
        <v>0</v>
      </c>
      <c r="U330" s="467">
        <f>Fuente!AM334</f>
        <v>1</v>
      </c>
      <c r="V330" s="485">
        <f>Fuente!AY334</f>
        <v>20</v>
      </c>
      <c r="W330" s="485">
        <f>Fuente!AZ334</f>
        <v>2</v>
      </c>
      <c r="X330" s="485">
        <f>Fuente!BA334</f>
        <v>0</v>
      </c>
      <c r="Y330" s="485">
        <f>Fuente!BB334</f>
        <v>0</v>
      </c>
      <c r="Z330" s="485">
        <f>Fuente!BC334</f>
        <v>0</v>
      </c>
      <c r="AA330" s="467">
        <f>Fuente!BD334</f>
        <v>0.1</v>
      </c>
      <c r="AB330" s="477" t="s">
        <v>49</v>
      </c>
      <c r="AC330" s="477"/>
      <c r="AD330" s="477"/>
      <c r="AE330" s="477"/>
      <c r="AF330" s="482"/>
      <c r="AG330" s="480" t="str">
        <f>Fuente!AB330</f>
        <v>GESTIÓN DE RIESGO</v>
      </c>
      <c r="AH330" s="81"/>
      <c r="AI330" s="81"/>
      <c r="AJ330" s="81"/>
    </row>
    <row r="331" spans="1:36" ht="90" x14ac:dyDescent="0.2">
      <c r="A331" s="76">
        <v>3</v>
      </c>
      <c r="B331" s="350" t="s">
        <v>1748</v>
      </c>
      <c r="C331" s="351" t="s">
        <v>1178</v>
      </c>
      <c r="D331" s="353" t="s">
        <v>1179</v>
      </c>
      <c r="E331" s="76" t="s">
        <v>1196</v>
      </c>
      <c r="F331" s="350" t="s">
        <v>1197</v>
      </c>
      <c r="G331" s="352"/>
      <c r="H331" s="352"/>
      <c r="I331" s="501" t="s">
        <v>1991</v>
      </c>
      <c r="J331" s="76">
        <v>50</v>
      </c>
      <c r="K331" s="76">
        <v>25</v>
      </c>
      <c r="L331" s="486"/>
      <c r="M331" s="502" t="s">
        <v>1990</v>
      </c>
      <c r="N331" s="502" t="s">
        <v>1990</v>
      </c>
      <c r="O331" s="76">
        <v>50</v>
      </c>
      <c r="P331" s="351">
        <v>25</v>
      </c>
      <c r="Q331" s="485">
        <f>Fuente!AT335</f>
        <v>0</v>
      </c>
      <c r="R331" s="485">
        <f>Fuente!AU335</f>
        <v>0</v>
      </c>
      <c r="S331" s="485">
        <f>Fuente!AV335</f>
        <v>0</v>
      </c>
      <c r="T331" s="485">
        <f>Fuente!AW335</f>
        <v>0</v>
      </c>
      <c r="U331" s="467">
        <f>Fuente!AM335</f>
        <v>0</v>
      </c>
      <c r="V331" s="485">
        <f>Fuente!AY335</f>
        <v>6</v>
      </c>
      <c r="W331" s="485">
        <f>Fuente!AZ335</f>
        <v>0</v>
      </c>
      <c r="X331" s="485">
        <f>Fuente!BA335</f>
        <v>0</v>
      </c>
      <c r="Y331" s="485">
        <f>Fuente!BB335</f>
        <v>0</v>
      </c>
      <c r="Z331" s="485">
        <f>Fuente!BC335</f>
        <v>0</v>
      </c>
      <c r="AA331" s="467">
        <f>Fuente!BD335</f>
        <v>0</v>
      </c>
      <c r="AB331" s="477" t="s">
        <v>49</v>
      </c>
      <c r="AC331" s="477"/>
      <c r="AD331" s="477"/>
      <c r="AE331" s="477"/>
      <c r="AF331" s="482"/>
      <c r="AG331" s="480" t="str">
        <f>Fuente!AB331</f>
        <v>GESTIÓN DE RIESGO</v>
      </c>
      <c r="AH331" s="81"/>
      <c r="AI331" s="81"/>
      <c r="AJ331" s="81"/>
    </row>
    <row r="332" spans="1:36" ht="63" x14ac:dyDescent="0.2">
      <c r="A332" s="76">
        <v>3</v>
      </c>
      <c r="B332" s="350" t="s">
        <v>1748</v>
      </c>
      <c r="C332" s="351" t="s">
        <v>1178</v>
      </c>
      <c r="D332" s="353" t="s">
        <v>1179</v>
      </c>
      <c r="E332" s="76" t="s">
        <v>1196</v>
      </c>
      <c r="F332" s="350" t="s">
        <v>1197</v>
      </c>
      <c r="G332" s="352"/>
      <c r="H332" s="352" t="s">
        <v>1202</v>
      </c>
      <c r="I332" s="350" t="s">
        <v>1202</v>
      </c>
      <c r="J332" s="484">
        <v>1</v>
      </c>
      <c r="K332" s="498">
        <v>0.65900000000000003</v>
      </c>
      <c r="L332" s="499"/>
      <c r="M332" s="350" t="s">
        <v>1203</v>
      </c>
      <c r="N332" s="350" t="s">
        <v>1203</v>
      </c>
      <c r="O332" s="76">
        <v>800</v>
      </c>
      <c r="P332" s="351">
        <v>300</v>
      </c>
      <c r="Q332" s="485">
        <f>Fuente!AT336</f>
        <v>106</v>
      </c>
      <c r="R332" s="485">
        <f>Fuente!AU336</f>
        <v>0</v>
      </c>
      <c r="S332" s="485">
        <f>Fuente!AV336</f>
        <v>0</v>
      </c>
      <c r="T332" s="485">
        <f>Fuente!AW336</f>
        <v>0</v>
      </c>
      <c r="U332" s="467">
        <f>Fuente!AM336</f>
        <v>0</v>
      </c>
      <c r="V332" s="485">
        <f>Fuente!AY336</f>
        <v>100</v>
      </c>
      <c r="W332" s="485">
        <f>Fuente!AZ336</f>
        <v>106</v>
      </c>
      <c r="X332" s="485">
        <f>Fuente!BA336</f>
        <v>0</v>
      </c>
      <c r="Y332" s="485">
        <f>Fuente!BB336</f>
        <v>0</v>
      </c>
      <c r="Z332" s="485">
        <f>Fuente!BC336</f>
        <v>0</v>
      </c>
      <c r="AA332" s="467">
        <f>Fuente!BD336</f>
        <v>1</v>
      </c>
      <c r="AB332" s="477" t="s">
        <v>49</v>
      </c>
      <c r="AC332" s="477"/>
      <c r="AD332" s="477"/>
      <c r="AE332" s="477"/>
      <c r="AF332" s="482"/>
      <c r="AG332" s="480" t="str">
        <f>Fuente!AB332</f>
        <v>GESTIÓN DE RIESGO</v>
      </c>
      <c r="AH332" s="81"/>
      <c r="AI332" s="81"/>
      <c r="AJ332" s="81"/>
    </row>
    <row r="333" spans="1:36" ht="63" x14ac:dyDescent="0.2">
      <c r="A333" s="76">
        <v>3</v>
      </c>
      <c r="B333" s="350" t="s">
        <v>1748</v>
      </c>
      <c r="C333" s="351" t="s">
        <v>1178</v>
      </c>
      <c r="D333" s="353" t="s">
        <v>1179</v>
      </c>
      <c r="E333" s="76" t="s">
        <v>1196</v>
      </c>
      <c r="F333" s="350" t="s">
        <v>1197</v>
      </c>
      <c r="G333" s="352"/>
      <c r="H333" s="352" t="s">
        <v>1204</v>
      </c>
      <c r="I333" s="350" t="s">
        <v>1204</v>
      </c>
      <c r="J333" s="484">
        <v>0.1</v>
      </c>
      <c r="K333" s="484">
        <v>0.5</v>
      </c>
      <c r="L333" s="486"/>
      <c r="M333" s="350" t="s">
        <v>1205</v>
      </c>
      <c r="N333" s="350" t="s">
        <v>1205</v>
      </c>
      <c r="O333" s="76">
        <v>0</v>
      </c>
      <c r="P333" s="351">
        <v>1000</v>
      </c>
      <c r="Q333" s="485">
        <f>Fuente!AT337</f>
        <v>0</v>
      </c>
      <c r="R333" s="485">
        <f>Fuente!AU337</f>
        <v>0</v>
      </c>
      <c r="S333" s="485">
        <f>Fuente!AV337</f>
        <v>0</v>
      </c>
      <c r="T333" s="485">
        <f>Fuente!AW337</f>
        <v>0</v>
      </c>
      <c r="U333" s="467">
        <f>Fuente!AM337</f>
        <v>0</v>
      </c>
      <c r="V333" s="485">
        <f>Fuente!AY337</f>
        <v>200</v>
      </c>
      <c r="W333" s="485">
        <f>Fuente!AZ337</f>
        <v>0</v>
      </c>
      <c r="X333" s="485">
        <f>Fuente!BA337</f>
        <v>0</v>
      </c>
      <c r="Y333" s="485">
        <f>Fuente!BB337</f>
        <v>0</v>
      </c>
      <c r="Z333" s="485">
        <f>Fuente!BC337</f>
        <v>0</v>
      </c>
      <c r="AA333" s="467">
        <f>Fuente!BD337</f>
        <v>0</v>
      </c>
      <c r="AB333" s="477" t="s">
        <v>49</v>
      </c>
      <c r="AC333" s="477"/>
      <c r="AD333" s="477"/>
      <c r="AE333" s="477"/>
      <c r="AF333" s="482"/>
      <c r="AG333" s="480" t="str">
        <f>Fuente!AB333</f>
        <v>GESTIÓN DE RIESGO</v>
      </c>
      <c r="AH333" s="81"/>
      <c r="AI333" s="81"/>
      <c r="AJ333" s="81"/>
    </row>
    <row r="334" spans="1:36" ht="63" x14ac:dyDescent="0.2">
      <c r="A334" s="76">
        <v>4</v>
      </c>
      <c r="B334" s="350" t="s">
        <v>1749</v>
      </c>
      <c r="C334" s="351" t="s">
        <v>1206</v>
      </c>
      <c r="D334" s="353" t="s">
        <v>1207</v>
      </c>
      <c r="E334" s="351" t="s">
        <v>1208</v>
      </c>
      <c r="F334" s="350" t="s">
        <v>1862</v>
      </c>
      <c r="G334" s="351"/>
      <c r="H334" s="351" t="s">
        <v>1209</v>
      </c>
      <c r="I334" s="351" t="s">
        <v>1209</v>
      </c>
      <c r="J334" s="76">
        <v>0</v>
      </c>
      <c r="K334" s="76">
        <v>50</v>
      </c>
      <c r="L334" s="353"/>
      <c r="M334" s="350" t="s">
        <v>1210</v>
      </c>
      <c r="N334" s="350" t="s">
        <v>1211</v>
      </c>
      <c r="O334" s="76">
        <v>100</v>
      </c>
      <c r="P334" s="76">
        <v>100</v>
      </c>
      <c r="Q334" s="485">
        <f>Fuente!AT338</f>
        <v>8.75</v>
      </c>
      <c r="R334" s="485">
        <f>Fuente!AU338</f>
        <v>0</v>
      </c>
      <c r="S334" s="485">
        <f>Fuente!AV338</f>
        <v>0</v>
      </c>
      <c r="T334" s="485">
        <f>Fuente!AW338</f>
        <v>0</v>
      </c>
      <c r="U334" s="467">
        <f>Fuente!AM338</f>
        <v>0.25</v>
      </c>
      <c r="V334" s="485">
        <f>Fuente!AY338</f>
        <v>25</v>
      </c>
      <c r="W334" s="485">
        <f>Fuente!AZ338</f>
        <v>10</v>
      </c>
      <c r="X334" s="485">
        <f>Fuente!BA338</f>
        <v>0</v>
      </c>
      <c r="Y334" s="485">
        <f>Fuente!BB338</f>
        <v>0</v>
      </c>
      <c r="Z334" s="485">
        <f>Fuente!BC338</f>
        <v>0</v>
      </c>
      <c r="AA334" s="467">
        <f>Fuente!BD338</f>
        <v>0.4</v>
      </c>
      <c r="AB334" s="477" t="s">
        <v>49</v>
      </c>
      <c r="AC334" s="477"/>
      <c r="AD334" s="477"/>
      <c r="AE334" s="477"/>
      <c r="AF334" s="482"/>
      <c r="AG334" s="480" t="str">
        <f>Fuente!AB334</f>
        <v>GESTIÓN DE RIESGO</v>
      </c>
      <c r="AH334" s="81"/>
      <c r="AI334" s="81"/>
      <c r="AJ334" s="81"/>
    </row>
    <row r="335" spans="1:36" ht="63" x14ac:dyDescent="0.2">
      <c r="A335" s="76">
        <v>4</v>
      </c>
      <c r="B335" s="350" t="s">
        <v>1749</v>
      </c>
      <c r="C335" s="351" t="s">
        <v>1206</v>
      </c>
      <c r="D335" s="353" t="s">
        <v>1207</v>
      </c>
      <c r="E335" s="351" t="s">
        <v>1208</v>
      </c>
      <c r="F335" s="350" t="s">
        <v>1862</v>
      </c>
      <c r="G335" s="351"/>
      <c r="H335" s="351" t="s">
        <v>1209</v>
      </c>
      <c r="I335" s="351" t="s">
        <v>1209</v>
      </c>
      <c r="J335" s="76">
        <v>0</v>
      </c>
      <c r="K335" s="76">
        <v>50</v>
      </c>
      <c r="L335" s="353"/>
      <c r="M335" s="350" t="s">
        <v>1213</v>
      </c>
      <c r="N335" s="350" t="s">
        <v>1211</v>
      </c>
      <c r="O335" s="76">
        <v>2</v>
      </c>
      <c r="P335" s="76">
        <v>6</v>
      </c>
      <c r="Q335" s="485">
        <f>Fuente!AT339</f>
        <v>0</v>
      </c>
      <c r="R335" s="485">
        <f>Fuente!AU339</f>
        <v>0</v>
      </c>
      <c r="S335" s="485">
        <f>Fuente!AV339</f>
        <v>0</v>
      </c>
      <c r="T335" s="485">
        <f>Fuente!AW339</f>
        <v>0</v>
      </c>
      <c r="U335" s="467">
        <f>Fuente!AM339</f>
        <v>0</v>
      </c>
      <c r="V335" s="485">
        <f>Fuente!AY339</f>
        <v>1</v>
      </c>
      <c r="W335" s="485">
        <f>Fuente!AZ339</f>
        <v>0</v>
      </c>
      <c r="X335" s="485">
        <f>Fuente!BA339</f>
        <v>0</v>
      </c>
      <c r="Y335" s="485">
        <f>Fuente!BB339</f>
        <v>0</v>
      </c>
      <c r="Z335" s="485">
        <f>Fuente!BC339</f>
        <v>0</v>
      </c>
      <c r="AA335" s="467">
        <f>Fuente!BD339</f>
        <v>0</v>
      </c>
      <c r="AB335" s="477" t="s">
        <v>49</v>
      </c>
      <c r="AC335" s="477"/>
      <c r="AD335" s="477"/>
      <c r="AE335" s="477"/>
      <c r="AF335" s="482"/>
      <c r="AG335" s="480" t="str">
        <f>Fuente!AB336</f>
        <v>GESTIÓN DE RIESGO</v>
      </c>
      <c r="AH335" s="81"/>
      <c r="AI335" s="81"/>
      <c r="AJ335" s="81"/>
    </row>
    <row r="336" spans="1:36" ht="63" x14ac:dyDescent="0.2">
      <c r="A336" s="76">
        <v>4</v>
      </c>
      <c r="B336" s="350" t="s">
        <v>1749</v>
      </c>
      <c r="C336" s="351" t="s">
        <v>1206</v>
      </c>
      <c r="D336" s="353" t="s">
        <v>1207</v>
      </c>
      <c r="E336" s="351" t="s">
        <v>1208</v>
      </c>
      <c r="F336" s="350" t="s">
        <v>1862</v>
      </c>
      <c r="G336" s="351"/>
      <c r="H336" s="351" t="s">
        <v>1209</v>
      </c>
      <c r="I336" s="351" t="s">
        <v>1209</v>
      </c>
      <c r="J336" s="76">
        <v>0</v>
      </c>
      <c r="K336" s="76">
        <v>50</v>
      </c>
      <c r="L336" s="353"/>
      <c r="M336" s="350" t="s">
        <v>1214</v>
      </c>
      <c r="N336" s="350" t="s">
        <v>1211</v>
      </c>
      <c r="O336" s="76">
        <v>100</v>
      </c>
      <c r="P336" s="76">
        <v>100</v>
      </c>
      <c r="Q336" s="485">
        <f>Fuente!AT340</f>
        <v>0.5</v>
      </c>
      <c r="R336" s="485">
        <f>Fuente!AU340</f>
        <v>0</v>
      </c>
      <c r="S336" s="485">
        <f>Fuente!AV340</f>
        <v>0</v>
      </c>
      <c r="T336" s="485">
        <f>Fuente!AW340</f>
        <v>0</v>
      </c>
      <c r="U336" s="467">
        <f>Fuente!AM340</f>
        <v>0</v>
      </c>
      <c r="V336" s="485">
        <f>Fuente!AY340</f>
        <v>20</v>
      </c>
      <c r="W336" s="485">
        <f>Fuente!AZ340</f>
        <v>2</v>
      </c>
      <c r="X336" s="485">
        <f>Fuente!BA340</f>
        <v>0</v>
      </c>
      <c r="Y336" s="485">
        <f>Fuente!BB340</f>
        <v>0</v>
      </c>
      <c r="Z336" s="485">
        <f>Fuente!BC340</f>
        <v>0</v>
      </c>
      <c r="AA336" s="467">
        <f>Fuente!BD340</f>
        <v>0.1</v>
      </c>
      <c r="AB336" s="477" t="s">
        <v>49</v>
      </c>
      <c r="AC336" s="477"/>
      <c r="AD336" s="477"/>
      <c r="AE336" s="477"/>
      <c r="AF336" s="482"/>
      <c r="AG336" s="480" t="str">
        <f>Fuente!AB337</f>
        <v>GESTIÓN DE RIESGO</v>
      </c>
      <c r="AH336" s="81"/>
      <c r="AI336" s="81"/>
      <c r="AJ336" s="81"/>
    </row>
    <row r="337" spans="1:36" ht="94.5" x14ac:dyDescent="0.2">
      <c r="A337" s="76">
        <v>4</v>
      </c>
      <c r="B337" s="350" t="s">
        <v>1749</v>
      </c>
      <c r="C337" s="351" t="s">
        <v>1206</v>
      </c>
      <c r="D337" s="353" t="s">
        <v>1207</v>
      </c>
      <c r="E337" s="351" t="s">
        <v>1208</v>
      </c>
      <c r="F337" s="350" t="s">
        <v>1862</v>
      </c>
      <c r="G337" s="351"/>
      <c r="H337" s="351" t="s">
        <v>1209</v>
      </c>
      <c r="I337" s="351" t="s">
        <v>1209</v>
      </c>
      <c r="J337" s="76">
        <v>0</v>
      </c>
      <c r="K337" s="76">
        <v>50</v>
      </c>
      <c r="L337" s="353"/>
      <c r="M337" s="350" t="s">
        <v>1215</v>
      </c>
      <c r="N337" s="350" t="s">
        <v>1215</v>
      </c>
      <c r="O337" s="76">
        <v>8</v>
      </c>
      <c r="P337" s="76">
        <v>12</v>
      </c>
      <c r="Q337" s="485">
        <f>Fuente!AT341</f>
        <v>1.75</v>
      </c>
      <c r="R337" s="485">
        <f>Fuente!AU341</f>
        <v>0</v>
      </c>
      <c r="S337" s="485">
        <f>Fuente!AV341</f>
        <v>0</v>
      </c>
      <c r="T337" s="485">
        <f>Fuente!AW341</f>
        <v>0</v>
      </c>
      <c r="U337" s="467">
        <f>Fuente!AM341</f>
        <v>0.33333333333333331</v>
      </c>
      <c r="V337" s="485">
        <f>Fuente!AY341</f>
        <v>6</v>
      </c>
      <c r="W337" s="485">
        <f>Fuente!AZ341</f>
        <v>3</v>
      </c>
      <c r="X337" s="485">
        <f>Fuente!BA341</f>
        <v>0</v>
      </c>
      <c r="Y337" s="485">
        <f>Fuente!BB341</f>
        <v>0</v>
      </c>
      <c r="Z337" s="485">
        <f>Fuente!BC341</f>
        <v>0</v>
      </c>
      <c r="AA337" s="467">
        <f>Fuente!BD341</f>
        <v>0.5</v>
      </c>
      <c r="AB337" s="477" t="s">
        <v>78</v>
      </c>
      <c r="AC337" s="480" t="s">
        <v>1212</v>
      </c>
      <c r="AD337" s="477">
        <v>45</v>
      </c>
      <c r="AE337" s="477">
        <v>16</v>
      </c>
      <c r="AF337" s="482"/>
      <c r="AG337" s="480" t="str">
        <f>Fuente!AB338</f>
        <v>SECRETARÍA DEL INTERIOR</v>
      </c>
      <c r="AH337" s="81"/>
      <c r="AI337" s="81"/>
      <c r="AJ337" s="81"/>
    </row>
    <row r="338" spans="1:36" ht="63" x14ac:dyDescent="0.2">
      <c r="A338" s="76">
        <v>4</v>
      </c>
      <c r="B338" s="350" t="s">
        <v>1749</v>
      </c>
      <c r="C338" s="351" t="s">
        <v>1216</v>
      </c>
      <c r="D338" s="350" t="s">
        <v>1815</v>
      </c>
      <c r="E338" s="351" t="s">
        <v>1217</v>
      </c>
      <c r="F338" s="350" t="s">
        <v>1863</v>
      </c>
      <c r="G338" s="351"/>
      <c r="H338" s="351" t="s">
        <v>1218</v>
      </c>
      <c r="I338" s="351" t="s">
        <v>1218</v>
      </c>
      <c r="J338" s="76">
        <v>0</v>
      </c>
      <c r="K338" s="76">
        <v>50</v>
      </c>
      <c r="L338" s="353"/>
      <c r="M338" s="350" t="s">
        <v>1219</v>
      </c>
      <c r="N338" s="350" t="s">
        <v>1220</v>
      </c>
      <c r="O338" s="76">
        <v>0</v>
      </c>
      <c r="P338" s="76">
        <v>80</v>
      </c>
      <c r="Q338" s="485">
        <f>Fuente!AT342</f>
        <v>10</v>
      </c>
      <c r="R338" s="485">
        <f>Fuente!AU342</f>
        <v>0</v>
      </c>
      <c r="S338" s="485">
        <f>Fuente!AV342</f>
        <v>0</v>
      </c>
      <c r="T338" s="485">
        <f>Fuente!AW342</f>
        <v>0</v>
      </c>
      <c r="U338" s="467">
        <f>Fuente!AM342</f>
        <v>6.25E-2</v>
      </c>
      <c r="V338" s="485">
        <f>Fuente!AY342</f>
        <v>15</v>
      </c>
      <c r="W338" s="485">
        <f>Fuente!AZ342</f>
        <v>5</v>
      </c>
      <c r="X338" s="485">
        <f>Fuente!BA342</f>
        <v>0</v>
      </c>
      <c r="Y338" s="485">
        <f>Fuente!BB342</f>
        <v>0</v>
      </c>
      <c r="Z338" s="485">
        <f>Fuente!BC342</f>
        <v>0</v>
      </c>
      <c r="AA338" s="467">
        <f>Fuente!BD342</f>
        <v>0.33333333333333331</v>
      </c>
      <c r="AB338" s="477" t="s">
        <v>78</v>
      </c>
      <c r="AC338" s="480" t="s">
        <v>1212</v>
      </c>
      <c r="AD338" s="477">
        <v>45</v>
      </c>
      <c r="AE338" s="477">
        <v>16</v>
      </c>
      <c r="AF338" s="482"/>
      <c r="AG338" s="480" t="str">
        <f>Fuente!AB339</f>
        <v>SECRETARÍA DEL INTERIOR</v>
      </c>
      <c r="AH338" s="81"/>
      <c r="AI338" s="81"/>
      <c r="AJ338" s="81"/>
    </row>
    <row r="339" spans="1:36" ht="63" x14ac:dyDescent="0.2">
      <c r="A339" s="76">
        <v>4</v>
      </c>
      <c r="B339" s="350" t="s">
        <v>1749</v>
      </c>
      <c r="C339" s="351" t="s">
        <v>1216</v>
      </c>
      <c r="D339" s="350" t="s">
        <v>1815</v>
      </c>
      <c r="E339" s="351" t="s">
        <v>1217</v>
      </c>
      <c r="F339" s="350" t="s">
        <v>1863</v>
      </c>
      <c r="G339" s="351"/>
      <c r="H339" s="351" t="s">
        <v>1218</v>
      </c>
      <c r="I339" s="351" t="s">
        <v>1218</v>
      </c>
      <c r="J339" s="76">
        <v>0</v>
      </c>
      <c r="K339" s="76">
        <v>50</v>
      </c>
      <c r="L339" s="353"/>
      <c r="M339" s="350" t="s">
        <v>1221</v>
      </c>
      <c r="N339" s="350" t="s">
        <v>1211</v>
      </c>
      <c r="O339" s="76">
        <v>0</v>
      </c>
      <c r="P339" s="76">
        <v>50</v>
      </c>
      <c r="Q339" s="485">
        <f>Fuente!AT343</f>
        <v>5</v>
      </c>
      <c r="R339" s="485">
        <f>Fuente!AU343</f>
        <v>0</v>
      </c>
      <c r="S339" s="485">
        <f>Fuente!AV343</f>
        <v>0</v>
      </c>
      <c r="T339" s="485">
        <f>Fuente!AW343</f>
        <v>0</v>
      </c>
      <c r="U339" s="467">
        <f>Fuente!AM343</f>
        <v>0.1</v>
      </c>
      <c r="V339" s="485">
        <f>Fuente!AY343</f>
        <v>15</v>
      </c>
      <c r="W339" s="485">
        <f>Fuente!AZ343</f>
        <v>0</v>
      </c>
      <c r="X339" s="485">
        <f>Fuente!BA343</f>
        <v>0</v>
      </c>
      <c r="Y339" s="485">
        <f>Fuente!BB343</f>
        <v>0</v>
      </c>
      <c r="Z339" s="485">
        <f>Fuente!BC343</f>
        <v>0</v>
      </c>
      <c r="AA339" s="467">
        <f>Fuente!BD343</f>
        <v>0</v>
      </c>
      <c r="AB339" s="477" t="s">
        <v>78</v>
      </c>
      <c r="AC339" s="480" t="s">
        <v>1212</v>
      </c>
      <c r="AD339" s="477">
        <v>45</v>
      </c>
      <c r="AE339" s="477">
        <v>16</v>
      </c>
      <c r="AF339" s="482"/>
      <c r="AG339" s="480" t="str">
        <f>Fuente!AB340</f>
        <v>SECRETARÍA DEL INTERIOR</v>
      </c>
      <c r="AH339" s="81"/>
      <c r="AI339" s="81"/>
      <c r="AJ339" s="81"/>
    </row>
    <row r="340" spans="1:36" ht="94.5" x14ac:dyDescent="0.2">
      <c r="A340" s="76">
        <v>4</v>
      </c>
      <c r="B340" s="350" t="s">
        <v>1749</v>
      </c>
      <c r="C340" s="351" t="s">
        <v>1216</v>
      </c>
      <c r="D340" s="350" t="s">
        <v>1815</v>
      </c>
      <c r="E340" s="351" t="s">
        <v>1217</v>
      </c>
      <c r="F340" s="350" t="s">
        <v>1863</v>
      </c>
      <c r="G340" s="351"/>
      <c r="H340" s="351" t="s">
        <v>1218</v>
      </c>
      <c r="I340" s="351" t="s">
        <v>1218</v>
      </c>
      <c r="J340" s="76">
        <v>0</v>
      </c>
      <c r="K340" s="76">
        <v>50</v>
      </c>
      <c r="L340" s="353"/>
      <c r="M340" s="350" t="s">
        <v>1222</v>
      </c>
      <c r="N340" s="350" t="s">
        <v>1222</v>
      </c>
      <c r="O340" s="76">
        <v>0</v>
      </c>
      <c r="P340" s="76">
        <v>200</v>
      </c>
      <c r="Q340" s="485">
        <f>Fuente!AT344</f>
        <v>20</v>
      </c>
      <c r="R340" s="485">
        <f>Fuente!AU344</f>
        <v>0</v>
      </c>
      <c r="S340" s="485">
        <f>Fuente!AV344</f>
        <v>0</v>
      </c>
      <c r="T340" s="485">
        <f>Fuente!AW344</f>
        <v>0</v>
      </c>
      <c r="U340" s="467">
        <f>Fuente!AM344</f>
        <v>0.1</v>
      </c>
      <c r="V340" s="485">
        <f>Fuente!AY344</f>
        <v>80</v>
      </c>
      <c r="W340" s="485">
        <f>Fuente!AZ344</f>
        <v>0</v>
      </c>
      <c r="X340" s="485">
        <f>Fuente!BA344</f>
        <v>0</v>
      </c>
      <c r="Y340" s="485">
        <f>Fuente!BB344</f>
        <v>0</v>
      </c>
      <c r="Z340" s="485">
        <f>Fuente!BC344</f>
        <v>0</v>
      </c>
      <c r="AA340" s="467">
        <f>Fuente!BD344</f>
        <v>0</v>
      </c>
      <c r="AB340" s="477" t="s">
        <v>78</v>
      </c>
      <c r="AC340" s="480" t="s">
        <v>1212</v>
      </c>
      <c r="AD340" s="477">
        <v>45</v>
      </c>
      <c r="AE340" s="477">
        <v>16</v>
      </c>
      <c r="AF340" s="482"/>
      <c r="AG340" s="480" t="str">
        <f>Fuente!AB341</f>
        <v>SECRETARÍA DEL INTERIOR</v>
      </c>
      <c r="AH340" s="81"/>
      <c r="AI340" s="81"/>
      <c r="AJ340" s="81"/>
    </row>
    <row r="341" spans="1:36" ht="78.75" x14ac:dyDescent="0.2">
      <c r="A341" s="76">
        <v>4</v>
      </c>
      <c r="B341" s="350" t="s">
        <v>1749</v>
      </c>
      <c r="C341" s="351" t="s">
        <v>1216</v>
      </c>
      <c r="D341" s="350" t="s">
        <v>1815</v>
      </c>
      <c r="E341" s="351" t="s">
        <v>1217</v>
      </c>
      <c r="F341" s="350" t="s">
        <v>1863</v>
      </c>
      <c r="G341" s="351"/>
      <c r="H341" s="351" t="s">
        <v>1218</v>
      </c>
      <c r="I341" s="351" t="s">
        <v>1218</v>
      </c>
      <c r="J341" s="76">
        <v>0</v>
      </c>
      <c r="K341" s="76">
        <v>50</v>
      </c>
      <c r="L341" s="353"/>
      <c r="M341" s="350" t="s">
        <v>1223</v>
      </c>
      <c r="N341" s="350" t="s">
        <v>1211</v>
      </c>
      <c r="O341" s="76">
        <v>0</v>
      </c>
      <c r="P341" s="76">
        <v>100</v>
      </c>
      <c r="Q341" s="485">
        <f>Fuente!AT345</f>
        <v>55</v>
      </c>
      <c r="R341" s="485">
        <f>Fuente!AU345</f>
        <v>0</v>
      </c>
      <c r="S341" s="485">
        <f>Fuente!AV345</f>
        <v>0</v>
      </c>
      <c r="T341" s="485">
        <f>Fuente!AW345</f>
        <v>0</v>
      </c>
      <c r="U341" s="467">
        <f>Fuente!AM345</f>
        <v>0.25</v>
      </c>
      <c r="V341" s="485">
        <f>Fuente!AY345</f>
        <v>100</v>
      </c>
      <c r="W341" s="485">
        <f>Fuente!AZ345</f>
        <v>30</v>
      </c>
      <c r="X341" s="485">
        <f>Fuente!BA345</f>
        <v>0</v>
      </c>
      <c r="Y341" s="485">
        <f>Fuente!BB345</f>
        <v>0</v>
      </c>
      <c r="Z341" s="485">
        <f>Fuente!BC345</f>
        <v>0</v>
      </c>
      <c r="AA341" s="467">
        <f>Fuente!BD345</f>
        <v>0.3</v>
      </c>
      <c r="AB341" s="477" t="s">
        <v>49</v>
      </c>
      <c r="AC341" s="480" t="s">
        <v>1212</v>
      </c>
      <c r="AD341" s="477">
        <v>45</v>
      </c>
      <c r="AE341" s="477">
        <v>16</v>
      </c>
      <c r="AF341" s="482"/>
      <c r="AG341" s="480" t="str">
        <f>Fuente!AB342</f>
        <v>SECRETARÍA DEL INTERIOR</v>
      </c>
      <c r="AH341" s="81"/>
      <c r="AI341" s="81"/>
      <c r="AJ341" s="81"/>
    </row>
    <row r="342" spans="1:36" ht="189" x14ac:dyDescent="0.2">
      <c r="A342" s="76">
        <v>4</v>
      </c>
      <c r="B342" s="350" t="s">
        <v>1749</v>
      </c>
      <c r="C342" s="351" t="s">
        <v>1216</v>
      </c>
      <c r="D342" s="350" t="s">
        <v>1815</v>
      </c>
      <c r="E342" s="351" t="s">
        <v>1217</v>
      </c>
      <c r="F342" s="350" t="s">
        <v>1863</v>
      </c>
      <c r="G342" s="351"/>
      <c r="H342" s="351" t="s">
        <v>1218</v>
      </c>
      <c r="I342" s="351" t="s">
        <v>1218</v>
      </c>
      <c r="J342" s="76">
        <v>0</v>
      </c>
      <c r="K342" s="76">
        <v>50</v>
      </c>
      <c r="L342" s="353"/>
      <c r="M342" s="350" t="s">
        <v>1224</v>
      </c>
      <c r="N342" s="350" t="s">
        <v>1224</v>
      </c>
      <c r="O342" s="76">
        <v>1</v>
      </c>
      <c r="P342" s="76">
        <v>4</v>
      </c>
      <c r="Q342" s="485">
        <f>Fuente!AT346</f>
        <v>2</v>
      </c>
      <c r="R342" s="485">
        <f>Fuente!AU346</f>
        <v>0</v>
      </c>
      <c r="S342" s="485">
        <f>Fuente!AV346</f>
        <v>0</v>
      </c>
      <c r="T342" s="485">
        <f>Fuente!AW346</f>
        <v>0</v>
      </c>
      <c r="U342" s="467">
        <f>Fuente!AM346</f>
        <v>0.25</v>
      </c>
      <c r="V342" s="485">
        <f>Fuente!AY346</f>
        <v>1</v>
      </c>
      <c r="W342" s="485">
        <f>Fuente!AZ346</f>
        <v>1</v>
      </c>
      <c r="X342" s="485">
        <f>Fuente!BA346</f>
        <v>0</v>
      </c>
      <c r="Y342" s="485">
        <f>Fuente!BB346</f>
        <v>0</v>
      </c>
      <c r="Z342" s="485">
        <f>Fuente!BC346</f>
        <v>0</v>
      </c>
      <c r="AA342" s="467">
        <f>Fuente!BD346</f>
        <v>1</v>
      </c>
      <c r="AB342" s="477" t="s">
        <v>203</v>
      </c>
      <c r="AC342" s="480" t="s">
        <v>1212</v>
      </c>
      <c r="AD342" s="477">
        <v>45</v>
      </c>
      <c r="AE342" s="477">
        <v>16</v>
      </c>
      <c r="AF342" s="482"/>
      <c r="AG342" s="480" t="str">
        <f>Fuente!AB343</f>
        <v>SECRETARÍA DEL INTERIOR</v>
      </c>
      <c r="AH342" s="81"/>
      <c r="AI342" s="81"/>
      <c r="AJ342" s="81"/>
    </row>
    <row r="343" spans="1:36" ht="126" x14ac:dyDescent="0.2">
      <c r="A343" s="76">
        <v>4</v>
      </c>
      <c r="B343" s="350" t="s">
        <v>1749</v>
      </c>
      <c r="C343" s="351" t="s">
        <v>1216</v>
      </c>
      <c r="D343" s="350" t="s">
        <v>1815</v>
      </c>
      <c r="E343" s="351" t="s">
        <v>1217</v>
      </c>
      <c r="F343" s="350" t="s">
        <v>1863</v>
      </c>
      <c r="G343" s="351"/>
      <c r="H343" s="351" t="s">
        <v>1218</v>
      </c>
      <c r="I343" s="351" t="s">
        <v>1218</v>
      </c>
      <c r="J343" s="76">
        <v>0</v>
      </c>
      <c r="K343" s="76">
        <v>50</v>
      </c>
      <c r="L343" s="353"/>
      <c r="M343" s="350" t="s">
        <v>1225</v>
      </c>
      <c r="N343" s="350" t="s">
        <v>1225</v>
      </c>
      <c r="O343" s="76">
        <v>1</v>
      </c>
      <c r="P343" s="76">
        <v>4</v>
      </c>
      <c r="Q343" s="485">
        <f>Fuente!AT347</f>
        <v>2</v>
      </c>
      <c r="R343" s="485">
        <f>Fuente!AU347</f>
        <v>0</v>
      </c>
      <c r="S343" s="485">
        <f>Fuente!AV347</f>
        <v>0</v>
      </c>
      <c r="T343" s="485">
        <f>Fuente!AW347</f>
        <v>0</v>
      </c>
      <c r="U343" s="467">
        <f>Fuente!AM347</f>
        <v>0.25</v>
      </c>
      <c r="V343" s="485">
        <f>Fuente!AY347</f>
        <v>1</v>
      </c>
      <c r="W343" s="485">
        <f>Fuente!AZ347</f>
        <v>1</v>
      </c>
      <c r="X343" s="485">
        <f>Fuente!BA347</f>
        <v>0</v>
      </c>
      <c r="Y343" s="485">
        <f>Fuente!BB347</f>
        <v>0</v>
      </c>
      <c r="Z343" s="485">
        <f>Fuente!BC347</f>
        <v>0</v>
      </c>
      <c r="AA343" s="467">
        <f>Fuente!BD347</f>
        <v>1</v>
      </c>
      <c r="AB343" s="477" t="s">
        <v>203</v>
      </c>
      <c r="AC343" s="480" t="s">
        <v>1212</v>
      </c>
      <c r="AD343" s="477">
        <v>45</v>
      </c>
      <c r="AE343" s="477">
        <v>16</v>
      </c>
      <c r="AF343" s="482"/>
      <c r="AG343" s="480" t="str">
        <f>Fuente!AB344</f>
        <v>SECRETARÍA DEL INTERIOR</v>
      </c>
      <c r="AH343" s="81"/>
      <c r="AI343" s="81"/>
      <c r="AJ343" s="81"/>
    </row>
    <row r="344" spans="1:36" ht="110.25" x14ac:dyDescent="0.2">
      <c r="A344" s="76">
        <v>4</v>
      </c>
      <c r="B344" s="350" t="s">
        <v>1749</v>
      </c>
      <c r="C344" s="351" t="s">
        <v>1216</v>
      </c>
      <c r="D344" s="350" t="s">
        <v>1815</v>
      </c>
      <c r="E344" s="351" t="s">
        <v>1217</v>
      </c>
      <c r="F344" s="350" t="s">
        <v>1863</v>
      </c>
      <c r="G344" s="351"/>
      <c r="H344" s="351" t="s">
        <v>1218</v>
      </c>
      <c r="I344" s="351" t="s">
        <v>1218</v>
      </c>
      <c r="J344" s="76">
        <v>0</v>
      </c>
      <c r="K344" s="76">
        <v>50</v>
      </c>
      <c r="L344" s="353"/>
      <c r="M344" s="350" t="s">
        <v>1226</v>
      </c>
      <c r="N344" s="350" t="s">
        <v>1226</v>
      </c>
      <c r="O344" s="76">
        <v>1</v>
      </c>
      <c r="P344" s="76">
        <v>4</v>
      </c>
      <c r="Q344" s="485">
        <f>Fuente!AT348</f>
        <v>2</v>
      </c>
      <c r="R344" s="485">
        <f>Fuente!AU348</f>
        <v>0</v>
      </c>
      <c r="S344" s="485">
        <f>Fuente!AV348</f>
        <v>0</v>
      </c>
      <c r="T344" s="485">
        <f>Fuente!AW348</f>
        <v>0</v>
      </c>
      <c r="U344" s="467">
        <f>Fuente!AM348</f>
        <v>0.25</v>
      </c>
      <c r="V344" s="485">
        <f>Fuente!AY348</f>
        <v>1</v>
      </c>
      <c r="W344" s="485">
        <f>Fuente!AZ348</f>
        <v>1</v>
      </c>
      <c r="X344" s="485">
        <f>Fuente!BA348</f>
        <v>0</v>
      </c>
      <c r="Y344" s="485">
        <f>Fuente!BB348</f>
        <v>0</v>
      </c>
      <c r="Z344" s="485">
        <f>Fuente!BC348</f>
        <v>0</v>
      </c>
      <c r="AA344" s="467">
        <f>Fuente!BD348</f>
        <v>1</v>
      </c>
      <c r="AB344" s="477" t="s">
        <v>49</v>
      </c>
      <c r="AC344" s="480" t="s">
        <v>1212</v>
      </c>
      <c r="AD344" s="477">
        <v>45</v>
      </c>
      <c r="AE344" s="477">
        <v>16</v>
      </c>
      <c r="AF344" s="482"/>
      <c r="AG344" s="480" t="str">
        <f>Fuente!AB345</f>
        <v>SECRETARÍA DEL INTERIOR</v>
      </c>
      <c r="AH344" s="81"/>
      <c r="AI344" s="81"/>
      <c r="AJ344" s="81"/>
    </row>
    <row r="345" spans="1:36" ht="63" x14ac:dyDescent="0.2">
      <c r="A345" s="76">
        <v>4</v>
      </c>
      <c r="B345" s="350" t="s">
        <v>1749</v>
      </c>
      <c r="C345" s="351" t="s">
        <v>1227</v>
      </c>
      <c r="D345" s="350" t="s">
        <v>1816</v>
      </c>
      <c r="E345" s="351" t="s">
        <v>1228</v>
      </c>
      <c r="F345" s="350" t="s">
        <v>1864</v>
      </c>
      <c r="G345" s="350"/>
      <c r="H345" s="350" t="s">
        <v>1229</v>
      </c>
      <c r="I345" s="350" t="s">
        <v>1229</v>
      </c>
      <c r="J345" s="31">
        <v>0.3</v>
      </c>
      <c r="K345" s="31">
        <v>1</v>
      </c>
      <c r="L345" s="39"/>
      <c r="M345" s="350" t="s">
        <v>1230</v>
      </c>
      <c r="N345" s="350" t="s">
        <v>1230</v>
      </c>
      <c r="O345" s="76">
        <v>0</v>
      </c>
      <c r="P345" s="76">
        <v>7</v>
      </c>
      <c r="Q345" s="485">
        <f>Fuente!AT349</f>
        <v>1</v>
      </c>
      <c r="R345" s="485">
        <f>Fuente!AU349</f>
        <v>0</v>
      </c>
      <c r="S345" s="485">
        <f>Fuente!AV349</f>
        <v>0</v>
      </c>
      <c r="T345" s="485">
        <f>Fuente!AW349</f>
        <v>0</v>
      </c>
      <c r="U345" s="467">
        <f>Fuente!AM349</f>
        <v>0.14285714285714285</v>
      </c>
      <c r="V345" s="485">
        <f>Fuente!AY349</f>
        <v>2</v>
      </c>
      <c r="W345" s="485">
        <f>Fuente!AZ349</f>
        <v>0</v>
      </c>
      <c r="X345" s="485">
        <f>Fuente!BA349</f>
        <v>0</v>
      </c>
      <c r="Y345" s="485">
        <f>Fuente!BB349</f>
        <v>0</v>
      </c>
      <c r="Z345" s="485">
        <f>Fuente!BC349</f>
        <v>0</v>
      </c>
      <c r="AA345" s="467">
        <f>Fuente!BD349</f>
        <v>0</v>
      </c>
      <c r="AB345" s="477" t="s">
        <v>49</v>
      </c>
      <c r="AC345" s="480" t="s">
        <v>1212</v>
      </c>
      <c r="AD345" s="477">
        <v>45</v>
      </c>
      <c r="AE345" s="477">
        <v>16</v>
      </c>
      <c r="AF345" s="482"/>
      <c r="AG345" s="480" t="str">
        <f>Fuente!AB346</f>
        <v>SECRETARÍA DEL INTERIOR</v>
      </c>
      <c r="AH345" s="81"/>
      <c r="AI345" s="81"/>
      <c r="AJ345" s="81"/>
    </row>
    <row r="346" spans="1:36" ht="63" x14ac:dyDescent="0.2">
      <c r="A346" s="76">
        <v>4</v>
      </c>
      <c r="B346" s="350" t="s">
        <v>1749</v>
      </c>
      <c r="C346" s="351" t="s">
        <v>1227</v>
      </c>
      <c r="D346" s="350" t="s">
        <v>1816</v>
      </c>
      <c r="E346" s="351" t="s">
        <v>1228</v>
      </c>
      <c r="F346" s="350" t="s">
        <v>1864</v>
      </c>
      <c r="G346" s="352"/>
      <c r="H346" s="352" t="s">
        <v>1233</v>
      </c>
      <c r="I346" s="352" t="s">
        <v>1233</v>
      </c>
      <c r="J346" s="31">
        <v>0.6</v>
      </c>
      <c r="K346" s="31">
        <v>1</v>
      </c>
      <c r="L346" s="39"/>
      <c r="M346" s="350" t="s">
        <v>1234</v>
      </c>
      <c r="N346" s="350" t="s">
        <v>1234</v>
      </c>
      <c r="O346" s="76">
        <v>0</v>
      </c>
      <c r="P346" s="76">
        <v>1</v>
      </c>
      <c r="Q346" s="485">
        <f>Fuente!AT350</f>
        <v>0</v>
      </c>
      <c r="R346" s="485">
        <f>Fuente!AU350</f>
        <v>0</v>
      </c>
      <c r="S346" s="485">
        <f>Fuente!AV350</f>
        <v>0</v>
      </c>
      <c r="T346" s="485">
        <f>Fuente!AW350</f>
        <v>0</v>
      </c>
      <c r="U346" s="467">
        <f>Fuente!AM350</f>
        <v>0</v>
      </c>
      <c r="V346" s="485">
        <f>Fuente!AY350</f>
        <v>1</v>
      </c>
      <c r="W346" s="485">
        <f>Fuente!AZ350</f>
        <v>0</v>
      </c>
      <c r="X346" s="485">
        <f>Fuente!BA350</f>
        <v>0</v>
      </c>
      <c r="Y346" s="485">
        <f>Fuente!BB350</f>
        <v>0</v>
      </c>
      <c r="Z346" s="485">
        <f>Fuente!BC350</f>
        <v>0</v>
      </c>
      <c r="AA346" s="467">
        <f>Fuente!BD350</f>
        <v>0</v>
      </c>
      <c r="AB346" s="477" t="s">
        <v>49</v>
      </c>
      <c r="AC346" s="480" t="s">
        <v>1212</v>
      </c>
      <c r="AD346" s="477">
        <v>45</v>
      </c>
      <c r="AE346" s="477">
        <v>16</v>
      </c>
      <c r="AF346" s="482"/>
      <c r="AG346" s="480" t="str">
        <f>Fuente!AB347</f>
        <v>SECRETARÍA DEL INTERIOR</v>
      </c>
      <c r="AH346" s="81"/>
      <c r="AI346" s="81"/>
      <c r="AJ346" s="81"/>
    </row>
    <row r="347" spans="1:36" ht="78.75" x14ac:dyDescent="0.2">
      <c r="A347" s="76">
        <v>4</v>
      </c>
      <c r="B347" s="350" t="s">
        <v>1749</v>
      </c>
      <c r="C347" s="351" t="s">
        <v>1227</v>
      </c>
      <c r="D347" s="350" t="s">
        <v>1816</v>
      </c>
      <c r="E347" s="351" t="s">
        <v>1228</v>
      </c>
      <c r="F347" s="350" t="s">
        <v>1864</v>
      </c>
      <c r="G347" s="350"/>
      <c r="H347" s="350" t="s">
        <v>1233</v>
      </c>
      <c r="I347" s="350" t="s">
        <v>1233</v>
      </c>
      <c r="J347" s="31">
        <v>0.6</v>
      </c>
      <c r="K347" s="31">
        <v>1</v>
      </c>
      <c r="L347" s="39"/>
      <c r="M347" s="350" t="s">
        <v>1235</v>
      </c>
      <c r="N347" s="350" t="s">
        <v>1235</v>
      </c>
      <c r="O347" s="76">
        <v>0</v>
      </c>
      <c r="P347" s="76">
        <v>10</v>
      </c>
      <c r="Q347" s="485">
        <f>Fuente!AT351</f>
        <v>3</v>
      </c>
      <c r="R347" s="485">
        <f>Fuente!AU351</f>
        <v>0</v>
      </c>
      <c r="S347" s="485">
        <f>Fuente!AV351</f>
        <v>0</v>
      </c>
      <c r="T347" s="485">
        <f>Fuente!AW351</f>
        <v>0</v>
      </c>
      <c r="U347" s="467">
        <f>Fuente!AM351</f>
        <v>0.2</v>
      </c>
      <c r="V347" s="485">
        <f>Fuente!AY351</f>
        <v>3</v>
      </c>
      <c r="W347" s="485">
        <f>Fuente!AZ351</f>
        <v>1</v>
      </c>
      <c r="X347" s="485">
        <f>Fuente!BA351</f>
        <v>0</v>
      </c>
      <c r="Y347" s="485">
        <f>Fuente!BB351</f>
        <v>0</v>
      </c>
      <c r="Z347" s="485">
        <f>Fuente!BC351</f>
        <v>0</v>
      </c>
      <c r="AA347" s="467">
        <f>Fuente!BD351</f>
        <v>0.33333333333333331</v>
      </c>
      <c r="AB347" s="477" t="s">
        <v>49</v>
      </c>
      <c r="AC347" s="480" t="s">
        <v>1212</v>
      </c>
      <c r="AD347" s="477">
        <v>45</v>
      </c>
      <c r="AE347" s="477">
        <v>16</v>
      </c>
      <c r="AF347" s="482"/>
      <c r="AG347" s="480" t="str">
        <f>Fuente!AB348</f>
        <v>SECRETARÍA DEL INTERIOR</v>
      </c>
      <c r="AH347" s="81"/>
      <c r="AI347" s="81"/>
      <c r="AJ347" s="81"/>
    </row>
    <row r="348" spans="1:36" ht="120" x14ac:dyDescent="0.2">
      <c r="A348" s="76">
        <v>4</v>
      </c>
      <c r="B348" s="350" t="s">
        <v>1749</v>
      </c>
      <c r="C348" s="351" t="s">
        <v>1227</v>
      </c>
      <c r="D348" s="350" t="s">
        <v>1816</v>
      </c>
      <c r="E348" s="351" t="s">
        <v>1228</v>
      </c>
      <c r="F348" s="350" t="s">
        <v>1864</v>
      </c>
      <c r="G348" s="350"/>
      <c r="H348" s="350" t="s">
        <v>1233</v>
      </c>
      <c r="I348" s="350" t="s">
        <v>1233</v>
      </c>
      <c r="J348" s="31">
        <v>0.6</v>
      </c>
      <c r="K348" s="31">
        <v>1</v>
      </c>
      <c r="L348" s="39"/>
      <c r="M348" s="350" t="s">
        <v>1236</v>
      </c>
      <c r="N348" s="350" t="s">
        <v>1236</v>
      </c>
      <c r="O348" s="76">
        <v>0</v>
      </c>
      <c r="P348" s="76">
        <v>1</v>
      </c>
      <c r="Q348" s="485">
        <f>Fuente!AT352</f>
        <v>1</v>
      </c>
      <c r="R348" s="485">
        <f>Fuente!AU352</f>
        <v>0</v>
      </c>
      <c r="S348" s="485">
        <f>Fuente!AV352</f>
        <v>0</v>
      </c>
      <c r="T348" s="485">
        <f>Fuente!AW352</f>
        <v>0</v>
      </c>
      <c r="U348" s="467">
        <f>Fuente!AM352</f>
        <v>1</v>
      </c>
      <c r="V348" s="485" t="str">
        <f>Fuente!AY352</f>
        <v>NP</v>
      </c>
      <c r="W348" s="485">
        <f>Fuente!AZ352</f>
        <v>0</v>
      </c>
      <c r="X348" s="485">
        <f>Fuente!BA352</f>
        <v>0</v>
      </c>
      <c r="Y348" s="485">
        <f>Fuente!BB352</f>
        <v>0</v>
      </c>
      <c r="Z348" s="485">
        <f>Fuente!BC352</f>
        <v>0</v>
      </c>
      <c r="AA348" s="467" t="str">
        <f>Fuente!BD352</f>
        <v>NP</v>
      </c>
      <c r="AB348" s="477" t="s">
        <v>49</v>
      </c>
      <c r="AC348" s="477"/>
      <c r="AD348" s="477" t="s">
        <v>1231</v>
      </c>
      <c r="AE348" s="477" t="s">
        <v>1128</v>
      </c>
      <c r="AF348" s="494" t="s">
        <v>1232</v>
      </c>
      <c r="AG348" s="480" t="str">
        <f>Fuente!AB349</f>
        <v>SECRETARÍA DE PLANEACIÓN</v>
      </c>
      <c r="AH348" s="81"/>
      <c r="AI348" s="81"/>
      <c r="AJ348" s="81"/>
    </row>
    <row r="349" spans="1:36" ht="63" x14ac:dyDescent="0.2">
      <c r="A349" s="76">
        <v>4</v>
      </c>
      <c r="B349" s="350" t="s">
        <v>1749</v>
      </c>
      <c r="C349" s="351" t="s">
        <v>1227</v>
      </c>
      <c r="D349" s="350" t="s">
        <v>1816</v>
      </c>
      <c r="E349" s="351" t="s">
        <v>1228</v>
      </c>
      <c r="F349" s="350" t="s">
        <v>1864</v>
      </c>
      <c r="G349" s="350"/>
      <c r="H349" s="350" t="s">
        <v>1233</v>
      </c>
      <c r="I349" s="350" t="s">
        <v>1233</v>
      </c>
      <c r="J349" s="31">
        <v>0.6</v>
      </c>
      <c r="K349" s="31">
        <v>1</v>
      </c>
      <c r="L349" s="39"/>
      <c r="M349" s="350" t="s">
        <v>1237</v>
      </c>
      <c r="N349" s="350" t="s">
        <v>1237</v>
      </c>
      <c r="O349" s="76">
        <v>0</v>
      </c>
      <c r="P349" s="76">
        <v>7</v>
      </c>
      <c r="Q349" s="485">
        <f>Fuente!AT353</f>
        <v>1</v>
      </c>
      <c r="R349" s="485">
        <f>Fuente!AU353</f>
        <v>0</v>
      </c>
      <c r="S349" s="485">
        <f>Fuente!AV353</f>
        <v>0</v>
      </c>
      <c r="T349" s="485">
        <f>Fuente!AW353</f>
        <v>0</v>
      </c>
      <c r="U349" s="467">
        <f>Fuente!AM353</f>
        <v>0.14285714285714285</v>
      </c>
      <c r="V349" s="485">
        <f>Fuente!AY353</f>
        <v>2</v>
      </c>
      <c r="W349" s="485">
        <f>Fuente!AZ353</f>
        <v>0</v>
      </c>
      <c r="X349" s="485">
        <f>Fuente!BA353</f>
        <v>0</v>
      </c>
      <c r="Y349" s="485">
        <f>Fuente!BB353</f>
        <v>0</v>
      </c>
      <c r="Z349" s="485">
        <f>Fuente!BC353</f>
        <v>0</v>
      </c>
      <c r="AA349" s="467">
        <f>Fuente!BD353</f>
        <v>0</v>
      </c>
      <c r="AB349" s="477" t="s">
        <v>49</v>
      </c>
      <c r="AC349" s="477"/>
      <c r="AD349" s="477">
        <v>1</v>
      </c>
      <c r="AE349" s="477">
        <v>0</v>
      </c>
      <c r="AF349" s="482">
        <v>0</v>
      </c>
      <c r="AG349" s="480" t="str">
        <f>Fuente!AB350</f>
        <v>SECRETARÍA DE PLANEACIÓN</v>
      </c>
      <c r="AH349" s="81"/>
      <c r="AI349" s="81"/>
      <c r="AJ349" s="81"/>
    </row>
    <row r="350" spans="1:36" ht="120" x14ac:dyDescent="0.2">
      <c r="A350" s="76">
        <v>4</v>
      </c>
      <c r="B350" s="350" t="s">
        <v>1749</v>
      </c>
      <c r="C350" s="351" t="s">
        <v>1227</v>
      </c>
      <c r="D350" s="350" t="s">
        <v>1816</v>
      </c>
      <c r="E350" s="351" t="s">
        <v>1228</v>
      </c>
      <c r="F350" s="350" t="s">
        <v>1864</v>
      </c>
      <c r="G350" s="352"/>
      <c r="H350" s="352" t="s">
        <v>1233</v>
      </c>
      <c r="I350" s="352" t="s">
        <v>1233</v>
      </c>
      <c r="J350" s="31">
        <v>0.6</v>
      </c>
      <c r="K350" s="31">
        <v>1</v>
      </c>
      <c r="L350" s="39"/>
      <c r="M350" s="350" t="s">
        <v>1238</v>
      </c>
      <c r="N350" s="350" t="s">
        <v>1238</v>
      </c>
      <c r="O350" s="76" t="s">
        <v>55</v>
      </c>
      <c r="P350" s="76">
        <v>1</v>
      </c>
      <c r="Q350" s="485">
        <f>Fuente!AT354</f>
        <v>1</v>
      </c>
      <c r="R350" s="485">
        <f>Fuente!AU354</f>
        <v>0</v>
      </c>
      <c r="S350" s="485">
        <f>Fuente!AV354</f>
        <v>0</v>
      </c>
      <c r="T350" s="485">
        <f>Fuente!AW354</f>
        <v>0</v>
      </c>
      <c r="U350" s="467">
        <f>Fuente!AM354</f>
        <v>0</v>
      </c>
      <c r="V350" s="485">
        <f>Fuente!AY354</f>
        <v>1</v>
      </c>
      <c r="W350" s="485">
        <f>Fuente!AZ354</f>
        <v>1</v>
      </c>
      <c r="X350" s="485">
        <f>Fuente!BA354</f>
        <v>0</v>
      </c>
      <c r="Y350" s="485">
        <f>Fuente!BB354</f>
        <v>0</v>
      </c>
      <c r="Z350" s="485">
        <f>Fuente!BC354</f>
        <v>0</v>
      </c>
      <c r="AA350" s="467">
        <f>Fuente!BD354</f>
        <v>1</v>
      </c>
      <c r="AB350" s="477" t="s">
        <v>49</v>
      </c>
      <c r="AC350" s="477"/>
      <c r="AD350" s="480" t="s">
        <v>1231</v>
      </c>
      <c r="AE350" s="480" t="s">
        <v>1128</v>
      </c>
      <c r="AF350" s="494" t="s">
        <v>1232</v>
      </c>
      <c r="AG350" s="480" t="str">
        <f>Fuente!AB351</f>
        <v>SECRETARÍA DE PLANEACIÓN</v>
      </c>
      <c r="AH350" s="81"/>
      <c r="AI350" s="81"/>
      <c r="AJ350" s="81"/>
    </row>
    <row r="351" spans="1:36" ht="120" x14ac:dyDescent="0.2">
      <c r="A351" s="76">
        <v>4</v>
      </c>
      <c r="B351" s="350" t="s">
        <v>1749</v>
      </c>
      <c r="C351" s="351" t="s">
        <v>1227</v>
      </c>
      <c r="D351" s="350" t="s">
        <v>1816</v>
      </c>
      <c r="E351" s="351" t="s">
        <v>1228</v>
      </c>
      <c r="F351" s="350" t="s">
        <v>1864</v>
      </c>
      <c r="G351" s="350"/>
      <c r="H351" s="350" t="s">
        <v>1233</v>
      </c>
      <c r="I351" s="350" t="s">
        <v>1233</v>
      </c>
      <c r="J351" s="31">
        <v>0.6</v>
      </c>
      <c r="K351" s="31">
        <v>1</v>
      </c>
      <c r="L351" s="39"/>
      <c r="M351" s="350" t="s">
        <v>1239</v>
      </c>
      <c r="N351" s="350" t="s">
        <v>1239</v>
      </c>
      <c r="O351" s="76">
        <v>45</v>
      </c>
      <c r="P351" s="76">
        <v>45</v>
      </c>
      <c r="Q351" s="485">
        <f>Fuente!AT355</f>
        <v>22.5</v>
      </c>
      <c r="R351" s="485">
        <f>Fuente!AU355</f>
        <v>0</v>
      </c>
      <c r="S351" s="485">
        <f>Fuente!AV355</f>
        <v>0</v>
      </c>
      <c r="T351" s="485">
        <f>Fuente!AW355</f>
        <v>0</v>
      </c>
      <c r="U351" s="467">
        <f>Fuente!AM355</f>
        <v>1</v>
      </c>
      <c r="V351" s="485">
        <f>Fuente!AY355</f>
        <v>45</v>
      </c>
      <c r="W351" s="485">
        <f>Fuente!AZ355</f>
        <v>45</v>
      </c>
      <c r="X351" s="485">
        <f>Fuente!BA355</f>
        <v>0</v>
      </c>
      <c r="Y351" s="485">
        <f>Fuente!BB355</f>
        <v>0</v>
      </c>
      <c r="Z351" s="485">
        <f>Fuente!BC355</f>
        <v>0</v>
      </c>
      <c r="AA351" s="467">
        <f>Fuente!BD355</f>
        <v>1</v>
      </c>
      <c r="AB351" s="477" t="s">
        <v>49</v>
      </c>
      <c r="AC351" s="477"/>
      <c r="AD351" s="480" t="s">
        <v>1231</v>
      </c>
      <c r="AE351" s="480" t="s">
        <v>1128</v>
      </c>
      <c r="AF351" s="494" t="s">
        <v>1232</v>
      </c>
      <c r="AG351" s="480" t="str">
        <f>Fuente!AB352</f>
        <v>SECRETARÍA DE PLANEACIÓN</v>
      </c>
      <c r="AH351" s="81"/>
      <c r="AI351" s="81"/>
      <c r="AJ351" s="81"/>
    </row>
    <row r="352" spans="1:36" ht="120" x14ac:dyDescent="0.2">
      <c r="A352" s="76">
        <v>4</v>
      </c>
      <c r="B352" s="350" t="s">
        <v>1749</v>
      </c>
      <c r="C352" s="351" t="s">
        <v>1227</v>
      </c>
      <c r="D352" s="350" t="s">
        <v>1816</v>
      </c>
      <c r="E352" s="351" t="s">
        <v>1228</v>
      </c>
      <c r="F352" s="350" t="s">
        <v>1864</v>
      </c>
      <c r="G352" s="350"/>
      <c r="H352" s="350" t="s">
        <v>1233</v>
      </c>
      <c r="I352" s="350" t="s">
        <v>1233</v>
      </c>
      <c r="J352" s="31">
        <v>0.6</v>
      </c>
      <c r="K352" s="31">
        <v>1</v>
      </c>
      <c r="L352" s="39"/>
      <c r="M352" s="350" t="s">
        <v>1240</v>
      </c>
      <c r="N352" s="350" t="s">
        <v>1240</v>
      </c>
      <c r="O352" s="76">
        <v>15</v>
      </c>
      <c r="P352" s="76">
        <v>20</v>
      </c>
      <c r="Q352" s="485">
        <f>Fuente!AT356</f>
        <v>1</v>
      </c>
      <c r="R352" s="485">
        <f>Fuente!AU356</f>
        <v>0</v>
      </c>
      <c r="S352" s="485">
        <f>Fuente!AV356</f>
        <v>0</v>
      </c>
      <c r="T352" s="485">
        <f>Fuente!AW356</f>
        <v>0</v>
      </c>
      <c r="U352" s="467">
        <f>Fuente!AM356</f>
        <v>0.05</v>
      </c>
      <c r="V352" s="485">
        <f>Fuente!AY356</f>
        <v>5</v>
      </c>
      <c r="W352" s="485">
        <f>Fuente!AZ356</f>
        <v>0</v>
      </c>
      <c r="X352" s="485">
        <f>Fuente!BA356</f>
        <v>0</v>
      </c>
      <c r="Y352" s="485">
        <f>Fuente!BB356</f>
        <v>0</v>
      </c>
      <c r="Z352" s="485">
        <f>Fuente!BC356</f>
        <v>0</v>
      </c>
      <c r="AA352" s="467">
        <f>Fuente!BD356</f>
        <v>0</v>
      </c>
      <c r="AB352" s="477" t="s">
        <v>49</v>
      </c>
      <c r="AC352" s="477"/>
      <c r="AD352" s="480" t="s">
        <v>1231</v>
      </c>
      <c r="AE352" s="480" t="s">
        <v>1128</v>
      </c>
      <c r="AF352" s="494" t="s">
        <v>1232</v>
      </c>
      <c r="AG352" s="480" t="str">
        <f>Fuente!AB353</f>
        <v>SECRETARÍA DE PLANEACIÓN</v>
      </c>
      <c r="AH352" s="81"/>
      <c r="AI352" s="81"/>
      <c r="AJ352" s="81"/>
    </row>
    <row r="353" spans="1:36" ht="63" x14ac:dyDescent="0.2">
      <c r="A353" s="76">
        <v>4</v>
      </c>
      <c r="B353" s="350" t="s">
        <v>1749</v>
      </c>
      <c r="C353" s="351" t="s">
        <v>1227</v>
      </c>
      <c r="D353" s="350" t="s">
        <v>1816</v>
      </c>
      <c r="E353" s="351" t="s">
        <v>1241</v>
      </c>
      <c r="F353" s="350" t="s">
        <v>1865</v>
      </c>
      <c r="G353" s="352"/>
      <c r="H353" s="352" t="s">
        <v>1242</v>
      </c>
      <c r="I353" s="352" t="s">
        <v>1242</v>
      </c>
      <c r="J353" s="76" t="s">
        <v>55</v>
      </c>
      <c r="K353" s="484">
        <v>0.43</v>
      </c>
      <c r="L353" s="486"/>
      <c r="M353" s="350" t="s">
        <v>1243</v>
      </c>
      <c r="N353" s="350" t="s">
        <v>1243</v>
      </c>
      <c r="O353" s="76">
        <v>0</v>
      </c>
      <c r="P353" s="76">
        <v>2</v>
      </c>
      <c r="Q353" s="485">
        <f>Fuente!AT357</f>
        <v>1</v>
      </c>
      <c r="R353" s="485">
        <f>Fuente!AU357</f>
        <v>0</v>
      </c>
      <c r="S353" s="485">
        <f>Fuente!AV357</f>
        <v>0</v>
      </c>
      <c r="T353" s="485">
        <f>Fuente!AW357</f>
        <v>0</v>
      </c>
      <c r="U353" s="467">
        <f>Fuente!AM357</f>
        <v>0</v>
      </c>
      <c r="V353" s="485">
        <f>Fuente!AY357</f>
        <v>1</v>
      </c>
      <c r="W353" s="485">
        <f>Fuente!AZ357</f>
        <v>1</v>
      </c>
      <c r="X353" s="485">
        <f>Fuente!BA357</f>
        <v>0</v>
      </c>
      <c r="Y353" s="485">
        <f>Fuente!BB357</f>
        <v>0</v>
      </c>
      <c r="Z353" s="485">
        <f>Fuente!BC357</f>
        <v>0</v>
      </c>
      <c r="AA353" s="467">
        <f>Fuente!BD357</f>
        <v>1</v>
      </c>
      <c r="AB353" s="477" t="s">
        <v>49</v>
      </c>
      <c r="AC353" s="477"/>
      <c r="AD353" s="477">
        <v>0</v>
      </c>
      <c r="AE353" s="477"/>
      <c r="AF353" s="482"/>
      <c r="AG353" s="480" t="str">
        <f>Fuente!AB354</f>
        <v>SECRETARÍA DE PLANEACIÓN</v>
      </c>
      <c r="AH353" s="81"/>
      <c r="AI353" s="81"/>
      <c r="AJ353" s="81"/>
    </row>
    <row r="354" spans="1:36" ht="120" x14ac:dyDescent="0.2">
      <c r="A354" s="76">
        <v>4</v>
      </c>
      <c r="B354" s="350" t="s">
        <v>1749</v>
      </c>
      <c r="C354" s="351" t="s">
        <v>1227</v>
      </c>
      <c r="D354" s="350" t="s">
        <v>1816</v>
      </c>
      <c r="E354" s="351" t="s">
        <v>1241</v>
      </c>
      <c r="F354" s="350" t="s">
        <v>1865</v>
      </c>
      <c r="G354" s="350"/>
      <c r="H354" s="350" t="s">
        <v>1242</v>
      </c>
      <c r="I354" s="350" t="s">
        <v>1242</v>
      </c>
      <c r="J354" s="76" t="s">
        <v>55</v>
      </c>
      <c r="K354" s="484">
        <v>0.43</v>
      </c>
      <c r="L354" s="486"/>
      <c r="M354" s="350" t="s">
        <v>1244</v>
      </c>
      <c r="N354" s="350" t="s">
        <v>1244</v>
      </c>
      <c r="O354" s="76">
        <v>45</v>
      </c>
      <c r="P354" s="76">
        <v>45</v>
      </c>
      <c r="Q354" s="485">
        <f>Fuente!AT358</f>
        <v>13.75</v>
      </c>
      <c r="R354" s="485">
        <f>Fuente!AU358</f>
        <v>0</v>
      </c>
      <c r="S354" s="485">
        <f>Fuente!AV358</f>
        <v>0</v>
      </c>
      <c r="T354" s="485">
        <f>Fuente!AW358</f>
        <v>0</v>
      </c>
      <c r="U354" s="467">
        <f>Fuente!AM358</f>
        <v>1</v>
      </c>
      <c r="V354" s="485">
        <f>Fuente!AY358</f>
        <v>45</v>
      </c>
      <c r="W354" s="485">
        <f>Fuente!AZ358</f>
        <v>10</v>
      </c>
      <c r="X354" s="485">
        <f>Fuente!BA358</f>
        <v>0</v>
      </c>
      <c r="Y354" s="485">
        <f>Fuente!BB358</f>
        <v>0</v>
      </c>
      <c r="Z354" s="485">
        <f>Fuente!BC358</f>
        <v>0</v>
      </c>
      <c r="AA354" s="467">
        <f>Fuente!BD358</f>
        <v>0.22222222222222221</v>
      </c>
      <c r="AB354" s="477" t="s">
        <v>78</v>
      </c>
      <c r="AC354" s="477"/>
      <c r="AD354" s="480" t="s">
        <v>1231</v>
      </c>
      <c r="AE354" s="480" t="s">
        <v>1128</v>
      </c>
      <c r="AF354" s="494" t="s">
        <v>1232</v>
      </c>
      <c r="AG354" s="480" t="str">
        <f>Fuente!AB355</f>
        <v>SECRETARÍA DE PLANEACIÓN</v>
      </c>
      <c r="AH354" s="81"/>
      <c r="AI354" s="81"/>
      <c r="AJ354" s="81"/>
    </row>
    <row r="355" spans="1:36" ht="120" x14ac:dyDescent="0.2">
      <c r="A355" s="76">
        <v>4</v>
      </c>
      <c r="B355" s="350" t="s">
        <v>1749</v>
      </c>
      <c r="C355" s="351" t="s">
        <v>1227</v>
      </c>
      <c r="D355" s="350" t="s">
        <v>1816</v>
      </c>
      <c r="E355" s="351" t="s">
        <v>1241</v>
      </c>
      <c r="F355" s="350" t="s">
        <v>1865</v>
      </c>
      <c r="G355" s="350"/>
      <c r="H355" s="350" t="s">
        <v>1242</v>
      </c>
      <c r="I355" s="350" t="s">
        <v>1242</v>
      </c>
      <c r="J355" s="76" t="s">
        <v>55</v>
      </c>
      <c r="K355" s="484">
        <v>0.43</v>
      </c>
      <c r="L355" s="486"/>
      <c r="M355" s="350" t="s">
        <v>1245</v>
      </c>
      <c r="N355" s="350" t="s">
        <v>1245</v>
      </c>
      <c r="O355" s="76">
        <v>0</v>
      </c>
      <c r="P355" s="76">
        <v>10</v>
      </c>
      <c r="Q355" s="485">
        <f>Fuente!AT359</f>
        <v>1</v>
      </c>
      <c r="R355" s="485">
        <f>Fuente!AU359</f>
        <v>0</v>
      </c>
      <c r="S355" s="485">
        <f>Fuente!AV359</f>
        <v>0</v>
      </c>
      <c r="T355" s="485">
        <f>Fuente!AW359</f>
        <v>0</v>
      </c>
      <c r="U355" s="467">
        <f>Fuente!AM359</f>
        <v>0.1</v>
      </c>
      <c r="V355" s="485">
        <f>Fuente!AY359</f>
        <v>4</v>
      </c>
      <c r="W355" s="485">
        <f>Fuente!AZ359</f>
        <v>0</v>
      </c>
      <c r="X355" s="485">
        <f>Fuente!BA359</f>
        <v>0</v>
      </c>
      <c r="Y355" s="485">
        <f>Fuente!BB359</f>
        <v>0</v>
      </c>
      <c r="Z355" s="485">
        <f>Fuente!BC359</f>
        <v>0</v>
      </c>
      <c r="AA355" s="467">
        <f>Fuente!BD359</f>
        <v>0</v>
      </c>
      <c r="AB355" s="477" t="s">
        <v>49</v>
      </c>
      <c r="AC355" s="477"/>
      <c r="AD355" s="480" t="s">
        <v>1231</v>
      </c>
      <c r="AE355" s="480" t="s">
        <v>1128</v>
      </c>
      <c r="AF355" s="494" t="s">
        <v>1232</v>
      </c>
      <c r="AG355" s="480" t="str">
        <f>Fuente!AB356</f>
        <v>SECRETARÍA DE PLANEACIÓN</v>
      </c>
      <c r="AH355" s="81"/>
      <c r="AI355" s="81"/>
      <c r="AJ355" s="81"/>
    </row>
    <row r="356" spans="1:36" ht="63" x14ac:dyDescent="0.2">
      <c r="A356" s="76">
        <v>4</v>
      </c>
      <c r="B356" s="350" t="s">
        <v>1749</v>
      </c>
      <c r="C356" s="351" t="s">
        <v>1227</v>
      </c>
      <c r="D356" s="350" t="s">
        <v>1816</v>
      </c>
      <c r="E356" s="351" t="s">
        <v>1241</v>
      </c>
      <c r="F356" s="350" t="s">
        <v>1865</v>
      </c>
      <c r="G356" s="350"/>
      <c r="H356" s="350" t="s">
        <v>1242</v>
      </c>
      <c r="I356" s="350" t="s">
        <v>1242</v>
      </c>
      <c r="J356" s="76" t="s">
        <v>55</v>
      </c>
      <c r="K356" s="484">
        <v>0.43</v>
      </c>
      <c r="L356" s="486"/>
      <c r="M356" s="350" t="s">
        <v>1942</v>
      </c>
      <c r="N356" s="350" t="s">
        <v>1942</v>
      </c>
      <c r="O356" s="76">
        <v>0</v>
      </c>
      <c r="P356" s="76">
        <v>1</v>
      </c>
      <c r="Q356" s="485">
        <f>Fuente!AT360</f>
        <v>0</v>
      </c>
      <c r="R356" s="485">
        <f>Fuente!AU360</f>
        <v>0</v>
      </c>
      <c r="S356" s="485">
        <f>Fuente!AV360</f>
        <v>0</v>
      </c>
      <c r="T356" s="485">
        <f>Fuente!AW360</f>
        <v>0</v>
      </c>
      <c r="U356" s="467">
        <f>Fuente!AM360</f>
        <v>0</v>
      </c>
      <c r="V356" s="485">
        <f>Fuente!AY360</f>
        <v>1</v>
      </c>
      <c r="W356" s="485">
        <f>Fuente!AZ360</f>
        <v>0</v>
      </c>
      <c r="X356" s="485">
        <f>Fuente!BA360</f>
        <v>0</v>
      </c>
      <c r="Y356" s="485">
        <f>Fuente!BB360</f>
        <v>0</v>
      </c>
      <c r="Z356" s="485">
        <f>Fuente!BC360</f>
        <v>0</v>
      </c>
      <c r="AA356" s="467">
        <f>Fuente!BD360</f>
        <v>0</v>
      </c>
      <c r="AB356" s="477" t="s">
        <v>49</v>
      </c>
      <c r="AC356" s="477"/>
      <c r="AD356" s="477">
        <v>0</v>
      </c>
      <c r="AE356" s="477"/>
      <c r="AF356" s="482"/>
      <c r="AG356" s="480" t="str">
        <f>Fuente!AB357</f>
        <v>SECRETARÍA DE PLANEACIÓN</v>
      </c>
      <c r="AH356" s="81"/>
      <c r="AI356" s="81"/>
      <c r="AJ356" s="81"/>
    </row>
    <row r="357" spans="1:36" ht="120" x14ac:dyDescent="0.2">
      <c r="A357" s="76">
        <v>4</v>
      </c>
      <c r="B357" s="350" t="s">
        <v>1749</v>
      </c>
      <c r="C357" s="351" t="s">
        <v>1227</v>
      </c>
      <c r="D357" s="350" t="s">
        <v>1816</v>
      </c>
      <c r="E357" s="351" t="s">
        <v>1241</v>
      </c>
      <c r="F357" s="350" t="s">
        <v>1865</v>
      </c>
      <c r="G357" s="350"/>
      <c r="H357" s="350" t="s">
        <v>1242</v>
      </c>
      <c r="I357" s="350" t="s">
        <v>1242</v>
      </c>
      <c r="J357" s="76" t="s">
        <v>55</v>
      </c>
      <c r="K357" s="484">
        <v>0.43</v>
      </c>
      <c r="L357" s="486"/>
      <c r="M357" s="350" t="s">
        <v>1246</v>
      </c>
      <c r="N357" s="350" t="s">
        <v>1246</v>
      </c>
      <c r="O357" s="76">
        <v>0</v>
      </c>
      <c r="P357" s="76">
        <v>30</v>
      </c>
      <c r="Q357" s="485">
        <f>Fuente!AT361</f>
        <v>7</v>
      </c>
      <c r="R357" s="485">
        <f>Fuente!AU361</f>
        <v>0</v>
      </c>
      <c r="S357" s="485">
        <f>Fuente!AV361</f>
        <v>0</v>
      </c>
      <c r="T357" s="485">
        <f>Fuente!AW361</f>
        <v>0</v>
      </c>
      <c r="U357" s="467">
        <f>Fuente!AM361</f>
        <v>0.16666666666666666</v>
      </c>
      <c r="V357" s="485">
        <f>Fuente!AY361</f>
        <v>10</v>
      </c>
      <c r="W357" s="485">
        <f>Fuente!AZ361</f>
        <v>2</v>
      </c>
      <c r="X357" s="485">
        <f>Fuente!BA361</f>
        <v>0</v>
      </c>
      <c r="Y357" s="485">
        <f>Fuente!BB361</f>
        <v>0</v>
      </c>
      <c r="Z357" s="485">
        <f>Fuente!BC361</f>
        <v>0</v>
      </c>
      <c r="AA357" s="467">
        <f>Fuente!BD361</f>
        <v>0.2</v>
      </c>
      <c r="AB357" s="477" t="s">
        <v>78</v>
      </c>
      <c r="AC357" s="477"/>
      <c r="AD357" s="480" t="s">
        <v>1231</v>
      </c>
      <c r="AE357" s="480" t="s">
        <v>1128</v>
      </c>
      <c r="AF357" s="494" t="s">
        <v>1232</v>
      </c>
      <c r="AG357" s="480" t="str">
        <f>Fuente!AB358</f>
        <v>SECRETARÍA DE PLANEACIÓN</v>
      </c>
      <c r="AH357" s="81"/>
      <c r="AI357" s="81"/>
      <c r="AJ357" s="81"/>
    </row>
    <row r="358" spans="1:36" ht="120" x14ac:dyDescent="0.2">
      <c r="A358" s="76">
        <v>4</v>
      </c>
      <c r="B358" s="350" t="s">
        <v>1749</v>
      </c>
      <c r="C358" s="351" t="s">
        <v>1247</v>
      </c>
      <c r="D358" s="350" t="s">
        <v>1329</v>
      </c>
      <c r="E358" s="351" t="s">
        <v>1248</v>
      </c>
      <c r="F358" s="350" t="s">
        <v>1866</v>
      </c>
      <c r="G358" s="352"/>
      <c r="H358" s="352" t="s">
        <v>1249</v>
      </c>
      <c r="I358" s="352" t="s">
        <v>1249</v>
      </c>
      <c r="J358" s="76" t="s">
        <v>1250</v>
      </c>
      <c r="K358" s="76" t="s">
        <v>1251</v>
      </c>
      <c r="L358" s="353"/>
      <c r="M358" s="350" t="s">
        <v>1252</v>
      </c>
      <c r="N358" s="350" t="s">
        <v>1252</v>
      </c>
      <c r="O358" s="76" t="s">
        <v>1250</v>
      </c>
      <c r="P358" s="76">
        <v>80</v>
      </c>
      <c r="Q358" s="485">
        <f>Fuente!AT362</f>
        <v>0</v>
      </c>
      <c r="R358" s="485">
        <f>Fuente!AU362</f>
        <v>0</v>
      </c>
      <c r="S358" s="485">
        <f>Fuente!AV362</f>
        <v>0</v>
      </c>
      <c r="T358" s="485">
        <f>Fuente!AW362</f>
        <v>0</v>
      </c>
      <c r="U358" s="467">
        <f>Fuente!AM362</f>
        <v>0</v>
      </c>
      <c r="V358" s="485">
        <f>Fuente!AY362</f>
        <v>5</v>
      </c>
      <c r="W358" s="485">
        <f>Fuente!AZ362</f>
        <v>0</v>
      </c>
      <c r="X358" s="485">
        <f>Fuente!BA362</f>
        <v>0</v>
      </c>
      <c r="Y358" s="485">
        <f>Fuente!BB362</f>
        <v>0</v>
      </c>
      <c r="Z358" s="485">
        <f>Fuente!BC362</f>
        <v>0</v>
      </c>
      <c r="AA358" s="467">
        <f>Fuente!BD362</f>
        <v>0</v>
      </c>
      <c r="AB358" s="477" t="s">
        <v>49</v>
      </c>
      <c r="AC358" s="477"/>
      <c r="AD358" s="480" t="s">
        <v>1231</v>
      </c>
      <c r="AE358" s="480" t="s">
        <v>1128</v>
      </c>
      <c r="AF358" s="494" t="s">
        <v>1232</v>
      </c>
      <c r="AG358" s="480" t="str">
        <f>Fuente!AB359</f>
        <v>SECRETARÍA DE PLANEACIÓN</v>
      </c>
      <c r="AH358" s="81"/>
      <c r="AI358" s="81"/>
      <c r="AJ358" s="81"/>
    </row>
    <row r="359" spans="1:36" ht="120" x14ac:dyDescent="0.2">
      <c r="A359" s="76">
        <v>4</v>
      </c>
      <c r="B359" s="350" t="s">
        <v>1749</v>
      </c>
      <c r="C359" s="351" t="s">
        <v>1247</v>
      </c>
      <c r="D359" s="350" t="s">
        <v>1329</v>
      </c>
      <c r="E359" s="351" t="s">
        <v>1248</v>
      </c>
      <c r="F359" s="350" t="s">
        <v>1866</v>
      </c>
      <c r="G359" s="352"/>
      <c r="H359" s="352" t="s">
        <v>1249</v>
      </c>
      <c r="I359" s="352" t="s">
        <v>1249</v>
      </c>
      <c r="J359" s="76" t="s">
        <v>1250</v>
      </c>
      <c r="K359" s="76" t="s">
        <v>1251</v>
      </c>
      <c r="L359" s="353"/>
      <c r="M359" s="350" t="s">
        <v>1256</v>
      </c>
      <c r="N359" s="350" t="s">
        <v>1256</v>
      </c>
      <c r="O359" s="76" t="s">
        <v>1250</v>
      </c>
      <c r="P359" s="76">
        <v>80</v>
      </c>
      <c r="Q359" s="485">
        <f>Fuente!AT363</f>
        <v>53.05</v>
      </c>
      <c r="R359" s="485">
        <f>Fuente!AU363</f>
        <v>0</v>
      </c>
      <c r="S359" s="485">
        <f>Fuente!AV363</f>
        <v>0</v>
      </c>
      <c r="T359" s="485">
        <f>Fuente!AW363</f>
        <v>0</v>
      </c>
      <c r="U359" s="467">
        <f>Fuente!AM363</f>
        <v>0.66249999999999998</v>
      </c>
      <c r="V359" s="485">
        <f>Fuente!AY363</f>
        <v>5</v>
      </c>
      <c r="W359" s="485">
        <f>Fuente!AZ363</f>
        <v>0.05</v>
      </c>
      <c r="X359" s="485">
        <f>Fuente!BA363</f>
        <v>0</v>
      </c>
      <c r="Y359" s="485">
        <f>Fuente!BB363</f>
        <v>0</v>
      </c>
      <c r="Z359" s="485">
        <f>Fuente!BC363</f>
        <v>0</v>
      </c>
      <c r="AA359" s="467">
        <f>Fuente!BD363</f>
        <v>0.01</v>
      </c>
      <c r="AB359" s="477" t="s">
        <v>49</v>
      </c>
      <c r="AC359" s="477"/>
      <c r="AD359" s="480" t="s">
        <v>1231</v>
      </c>
      <c r="AE359" s="480" t="s">
        <v>1969</v>
      </c>
      <c r="AF359" s="494" t="s">
        <v>1232</v>
      </c>
      <c r="AG359" s="480" t="str">
        <f>Fuente!AB360</f>
        <v>SECRETARÍA DE PLANEACIÓN</v>
      </c>
      <c r="AH359" s="81"/>
      <c r="AI359" s="81"/>
      <c r="AJ359" s="81"/>
    </row>
    <row r="360" spans="1:36" ht="120" x14ac:dyDescent="0.2">
      <c r="A360" s="76">
        <v>4</v>
      </c>
      <c r="B360" s="350" t="s">
        <v>1749</v>
      </c>
      <c r="C360" s="351" t="s">
        <v>1247</v>
      </c>
      <c r="D360" s="350" t="s">
        <v>1329</v>
      </c>
      <c r="E360" s="351" t="s">
        <v>1248</v>
      </c>
      <c r="F360" s="350" t="s">
        <v>1866</v>
      </c>
      <c r="G360" s="352"/>
      <c r="H360" s="352" t="s">
        <v>1249</v>
      </c>
      <c r="I360" s="352" t="s">
        <v>1249</v>
      </c>
      <c r="J360" s="76" t="s">
        <v>1250</v>
      </c>
      <c r="K360" s="76" t="s">
        <v>1251</v>
      </c>
      <c r="L360" s="353"/>
      <c r="M360" s="350" t="s">
        <v>1257</v>
      </c>
      <c r="N360" s="350" t="s">
        <v>1257</v>
      </c>
      <c r="O360" s="76">
        <v>3</v>
      </c>
      <c r="P360" s="76">
        <v>6</v>
      </c>
      <c r="Q360" s="485">
        <f>Fuente!AT364</f>
        <v>1.05</v>
      </c>
      <c r="R360" s="485">
        <f>Fuente!AU364</f>
        <v>0</v>
      </c>
      <c r="S360" s="485">
        <f>Fuente!AV364</f>
        <v>0</v>
      </c>
      <c r="T360" s="485">
        <f>Fuente!AW364</f>
        <v>0</v>
      </c>
      <c r="U360" s="467">
        <f>Fuente!AM364</f>
        <v>0.16666666666666666</v>
      </c>
      <c r="V360" s="485">
        <f>Fuente!AY364</f>
        <v>1</v>
      </c>
      <c r="W360" s="485">
        <f>Fuente!AZ364</f>
        <v>0.05</v>
      </c>
      <c r="X360" s="485">
        <f>Fuente!BA364</f>
        <v>0</v>
      </c>
      <c r="Y360" s="485">
        <f>Fuente!BB364</f>
        <v>0</v>
      </c>
      <c r="Z360" s="485">
        <f>Fuente!BC364</f>
        <v>0</v>
      </c>
      <c r="AA360" s="467">
        <f>Fuente!BD364</f>
        <v>0.05</v>
      </c>
      <c r="AB360" s="477" t="s">
        <v>49</v>
      </c>
      <c r="AC360" s="477"/>
      <c r="AD360" s="480" t="s">
        <v>1231</v>
      </c>
      <c r="AE360" s="480" t="s">
        <v>1128</v>
      </c>
      <c r="AF360" s="494" t="s">
        <v>1232</v>
      </c>
      <c r="AG360" s="480" t="str">
        <f>Fuente!AB361</f>
        <v>SECRETARÍA DE PLANEACIÓN</v>
      </c>
      <c r="AH360" s="81"/>
      <c r="AI360" s="81"/>
      <c r="AJ360" s="81"/>
    </row>
    <row r="361" spans="1:36" ht="63" x14ac:dyDescent="0.2">
      <c r="A361" s="76">
        <v>4</v>
      </c>
      <c r="B361" s="350" t="s">
        <v>1749</v>
      </c>
      <c r="C361" s="351" t="s">
        <v>1247</v>
      </c>
      <c r="D361" s="350" t="s">
        <v>1329</v>
      </c>
      <c r="E361" s="351" t="s">
        <v>1248</v>
      </c>
      <c r="F361" s="350" t="s">
        <v>1866</v>
      </c>
      <c r="G361" s="352"/>
      <c r="H361" s="352" t="s">
        <v>1249</v>
      </c>
      <c r="I361" s="352" t="s">
        <v>1249</v>
      </c>
      <c r="J361" s="76" t="s">
        <v>1250</v>
      </c>
      <c r="K361" s="76" t="s">
        <v>1251</v>
      </c>
      <c r="L361" s="353"/>
      <c r="M361" s="350" t="s">
        <v>1258</v>
      </c>
      <c r="N361" s="350" t="s">
        <v>1258</v>
      </c>
      <c r="O361" s="76">
        <v>2</v>
      </c>
      <c r="P361" s="76">
        <v>8</v>
      </c>
      <c r="Q361" s="485">
        <f>Fuente!AT365</f>
        <v>0</v>
      </c>
      <c r="R361" s="485">
        <f>Fuente!AU365</f>
        <v>0</v>
      </c>
      <c r="S361" s="485">
        <f>Fuente!AV365</f>
        <v>0</v>
      </c>
      <c r="T361" s="485">
        <f>Fuente!AW365</f>
        <v>0</v>
      </c>
      <c r="U361" s="467">
        <f>Fuente!AM365</f>
        <v>0</v>
      </c>
      <c r="V361" s="485">
        <f>Fuente!AY365</f>
        <v>2</v>
      </c>
      <c r="W361" s="485">
        <f>Fuente!AZ365</f>
        <v>0</v>
      </c>
      <c r="X361" s="485">
        <f>Fuente!BA365</f>
        <v>0</v>
      </c>
      <c r="Y361" s="485">
        <f>Fuente!BB365</f>
        <v>0</v>
      </c>
      <c r="Z361" s="485">
        <f>Fuente!BC365</f>
        <v>0</v>
      </c>
      <c r="AA361" s="467">
        <f>Fuente!BD365</f>
        <v>0</v>
      </c>
      <c r="AB361" s="477" t="s">
        <v>49</v>
      </c>
      <c r="AC361" s="477"/>
      <c r="AD361" s="480" t="s">
        <v>1253</v>
      </c>
      <c r="AE361" s="477">
        <v>45</v>
      </c>
      <c r="AF361" s="494" t="s">
        <v>1254</v>
      </c>
      <c r="AG361" s="480" t="str">
        <f>Fuente!AB362</f>
        <v xml:space="preserve">SECRETARÍA GENERAL </v>
      </c>
      <c r="AH361" s="81"/>
      <c r="AI361" s="81"/>
      <c r="AJ361" s="81"/>
    </row>
    <row r="362" spans="1:36" ht="94.5" x14ac:dyDescent="0.2">
      <c r="A362" s="76">
        <v>4</v>
      </c>
      <c r="B362" s="350" t="s">
        <v>1749</v>
      </c>
      <c r="C362" s="351" t="s">
        <v>1247</v>
      </c>
      <c r="D362" s="350" t="s">
        <v>1329</v>
      </c>
      <c r="E362" s="351" t="s">
        <v>1248</v>
      </c>
      <c r="F362" s="350" t="s">
        <v>1866</v>
      </c>
      <c r="G362" s="352"/>
      <c r="H362" s="352" t="s">
        <v>1249</v>
      </c>
      <c r="I362" s="352" t="s">
        <v>1249</v>
      </c>
      <c r="J362" s="76" t="s">
        <v>1250</v>
      </c>
      <c r="K362" s="76" t="s">
        <v>1251</v>
      </c>
      <c r="L362" s="353"/>
      <c r="M362" s="350" t="s">
        <v>1259</v>
      </c>
      <c r="N362" s="350" t="s">
        <v>1259</v>
      </c>
      <c r="O362" s="76">
        <v>0</v>
      </c>
      <c r="P362" s="76">
        <v>1</v>
      </c>
      <c r="Q362" s="485">
        <f>Fuente!AT366</f>
        <v>0</v>
      </c>
      <c r="R362" s="485">
        <f>Fuente!AU366</f>
        <v>0</v>
      </c>
      <c r="S362" s="485">
        <f>Fuente!AV366</f>
        <v>0</v>
      </c>
      <c r="T362" s="485">
        <f>Fuente!AW366</f>
        <v>0</v>
      </c>
      <c r="U362" s="467">
        <f>Fuente!AM366</f>
        <v>0</v>
      </c>
      <c r="V362" s="485" t="str">
        <f>Fuente!AY366</f>
        <v>NP</v>
      </c>
      <c r="W362" s="485">
        <f>Fuente!AZ366</f>
        <v>0</v>
      </c>
      <c r="X362" s="485">
        <f>Fuente!BA366</f>
        <v>0</v>
      </c>
      <c r="Y362" s="485">
        <f>Fuente!BB366</f>
        <v>0</v>
      </c>
      <c r="Z362" s="485">
        <f>Fuente!BC366</f>
        <v>0</v>
      </c>
      <c r="AA362" s="467" t="str">
        <f>Fuente!BD366</f>
        <v>NP</v>
      </c>
      <c r="AB362" s="477" t="s">
        <v>49</v>
      </c>
      <c r="AC362" s="477"/>
      <c r="AD362" s="480" t="s">
        <v>1253</v>
      </c>
      <c r="AE362" s="477">
        <v>45</v>
      </c>
      <c r="AF362" s="494" t="s">
        <v>1254</v>
      </c>
      <c r="AG362" s="480" t="str">
        <f>Fuente!AB363</f>
        <v xml:space="preserve">SECRETARÍA GENERAL </v>
      </c>
      <c r="AH362" s="81"/>
      <c r="AI362" s="81"/>
      <c r="AJ362" s="81"/>
    </row>
    <row r="363" spans="1:36" ht="78.75" x14ac:dyDescent="0.2">
      <c r="A363" s="76">
        <v>4</v>
      </c>
      <c r="B363" s="350" t="s">
        <v>1749</v>
      </c>
      <c r="C363" s="351" t="s">
        <v>1247</v>
      </c>
      <c r="D363" s="350" t="s">
        <v>1329</v>
      </c>
      <c r="E363" s="351" t="s">
        <v>1260</v>
      </c>
      <c r="F363" s="350" t="s">
        <v>1867</v>
      </c>
      <c r="G363" s="352"/>
      <c r="H363" s="352" t="s">
        <v>1261</v>
      </c>
      <c r="I363" s="352" t="s">
        <v>1261</v>
      </c>
      <c r="J363" s="76">
        <v>65.599999999999994</v>
      </c>
      <c r="K363" s="76">
        <v>80</v>
      </c>
      <c r="L363" s="353"/>
      <c r="M363" s="350" t="s">
        <v>1262</v>
      </c>
      <c r="N363" s="350" t="s">
        <v>1262</v>
      </c>
      <c r="O363" s="76">
        <v>0</v>
      </c>
      <c r="P363" s="76">
        <v>1</v>
      </c>
      <c r="Q363" s="485">
        <f>Fuente!AT367</f>
        <v>0</v>
      </c>
      <c r="R363" s="485">
        <f>Fuente!AU367</f>
        <v>0</v>
      </c>
      <c r="S363" s="485">
        <f>Fuente!AV367</f>
        <v>0</v>
      </c>
      <c r="T363" s="485">
        <f>Fuente!AW367</f>
        <v>0</v>
      </c>
      <c r="U363" s="467">
        <f>Fuente!AM367</f>
        <v>0</v>
      </c>
      <c r="V363" s="485" t="str">
        <f>Fuente!AY367</f>
        <v>NP</v>
      </c>
      <c r="W363" s="485">
        <f>Fuente!AZ367</f>
        <v>0</v>
      </c>
      <c r="X363" s="485">
        <f>Fuente!BA367</f>
        <v>0</v>
      </c>
      <c r="Y363" s="485">
        <f>Fuente!BB367</f>
        <v>0</v>
      </c>
      <c r="Z363" s="485">
        <f>Fuente!BC367</f>
        <v>0</v>
      </c>
      <c r="AA363" s="467" t="str">
        <f>Fuente!BD367</f>
        <v>NP</v>
      </c>
      <c r="AB363" s="477" t="s">
        <v>49</v>
      </c>
      <c r="AC363" s="477"/>
      <c r="AD363" s="480" t="s">
        <v>1253</v>
      </c>
      <c r="AE363" s="477">
        <v>45</v>
      </c>
      <c r="AF363" s="494" t="s">
        <v>1254</v>
      </c>
      <c r="AG363" s="480" t="str">
        <f>Fuente!AB364</f>
        <v xml:space="preserve">SECRETARÍA GENERAL </v>
      </c>
      <c r="AH363" s="81"/>
      <c r="AI363" s="81"/>
      <c r="AJ363" s="81"/>
    </row>
    <row r="364" spans="1:36" ht="78.75" x14ac:dyDescent="0.2">
      <c r="A364" s="76">
        <v>4</v>
      </c>
      <c r="B364" s="350" t="s">
        <v>1749</v>
      </c>
      <c r="C364" s="351" t="s">
        <v>1247</v>
      </c>
      <c r="D364" s="350" t="s">
        <v>1329</v>
      </c>
      <c r="E364" s="351" t="s">
        <v>1260</v>
      </c>
      <c r="F364" s="350" t="s">
        <v>1867</v>
      </c>
      <c r="G364" s="352"/>
      <c r="H364" s="352" t="s">
        <v>1261</v>
      </c>
      <c r="I364" s="352" t="s">
        <v>1261</v>
      </c>
      <c r="J364" s="76">
        <v>65.599999999999994</v>
      </c>
      <c r="K364" s="76">
        <v>80</v>
      </c>
      <c r="L364" s="353"/>
      <c r="M364" s="350" t="s">
        <v>1263</v>
      </c>
      <c r="N364" s="350" t="s">
        <v>1263</v>
      </c>
      <c r="O364" s="76">
        <v>0</v>
      </c>
      <c r="P364" s="76">
        <v>1</v>
      </c>
      <c r="Q364" s="485">
        <f>Fuente!AT368</f>
        <v>0</v>
      </c>
      <c r="R364" s="485">
        <f>Fuente!AU368</f>
        <v>0</v>
      </c>
      <c r="S364" s="485">
        <f>Fuente!AV368</f>
        <v>0</v>
      </c>
      <c r="T364" s="485">
        <f>Fuente!AW368</f>
        <v>0</v>
      </c>
      <c r="U364" s="467">
        <f>Fuente!AM368</f>
        <v>0</v>
      </c>
      <c r="V364" s="485" t="str">
        <f>Fuente!AY368</f>
        <v>NP</v>
      </c>
      <c r="W364" s="485">
        <f>Fuente!AZ368</f>
        <v>0</v>
      </c>
      <c r="X364" s="485">
        <f>Fuente!BA368</f>
        <v>0</v>
      </c>
      <c r="Y364" s="485">
        <f>Fuente!BB368</f>
        <v>0</v>
      </c>
      <c r="Z364" s="485">
        <f>Fuente!BC368</f>
        <v>0</v>
      </c>
      <c r="AA364" s="467" t="str">
        <f>Fuente!BD368</f>
        <v>NP</v>
      </c>
      <c r="AB364" s="477" t="s">
        <v>49</v>
      </c>
      <c r="AC364" s="477"/>
      <c r="AD364" s="480" t="s">
        <v>1253</v>
      </c>
      <c r="AE364" s="477">
        <v>45</v>
      </c>
      <c r="AF364" s="494" t="s">
        <v>1254</v>
      </c>
      <c r="AG364" s="480" t="str">
        <f>Fuente!AB365</f>
        <v xml:space="preserve">SECRETARÍA GENERAL </v>
      </c>
      <c r="AH364" s="81"/>
      <c r="AI364" s="81"/>
      <c r="AJ364" s="81"/>
    </row>
    <row r="365" spans="1:36" ht="78.75" x14ac:dyDescent="0.2">
      <c r="A365" s="76">
        <v>4</v>
      </c>
      <c r="B365" s="350" t="s">
        <v>1749</v>
      </c>
      <c r="C365" s="351" t="s">
        <v>1247</v>
      </c>
      <c r="D365" s="350" t="s">
        <v>1329</v>
      </c>
      <c r="E365" s="351" t="s">
        <v>1260</v>
      </c>
      <c r="F365" s="350" t="s">
        <v>1867</v>
      </c>
      <c r="G365" s="352"/>
      <c r="H365" s="352" t="s">
        <v>1261</v>
      </c>
      <c r="I365" s="352" t="s">
        <v>1261</v>
      </c>
      <c r="J365" s="76">
        <v>65.599999999999994</v>
      </c>
      <c r="K365" s="76">
        <v>80</v>
      </c>
      <c r="L365" s="353"/>
      <c r="M365" s="350" t="s">
        <v>1264</v>
      </c>
      <c r="N365" s="350" t="s">
        <v>1264</v>
      </c>
      <c r="O365" s="76">
        <v>60</v>
      </c>
      <c r="P365" s="76">
        <v>90</v>
      </c>
      <c r="Q365" s="485">
        <f>Fuente!AT369</f>
        <v>63.5</v>
      </c>
      <c r="R365" s="485">
        <f>Fuente!AU369</f>
        <v>0</v>
      </c>
      <c r="S365" s="485">
        <f>Fuente!AV369</f>
        <v>0</v>
      </c>
      <c r="T365" s="485">
        <f>Fuente!AW369</f>
        <v>0</v>
      </c>
      <c r="U365" s="467">
        <f>Fuente!AM369</f>
        <v>0.7</v>
      </c>
      <c r="V365" s="485">
        <f>Fuente!AY369</f>
        <v>5</v>
      </c>
      <c r="W365" s="485">
        <f>Fuente!AZ369</f>
        <v>0.5</v>
      </c>
      <c r="X365" s="485">
        <f>Fuente!BA369</f>
        <v>0</v>
      </c>
      <c r="Y365" s="485">
        <f>Fuente!BB369</f>
        <v>0</v>
      </c>
      <c r="Z365" s="485">
        <f>Fuente!BC369</f>
        <v>0</v>
      </c>
      <c r="AA365" s="467">
        <f>Fuente!BD369</f>
        <v>0.1</v>
      </c>
      <c r="AB365" s="477" t="s">
        <v>49</v>
      </c>
      <c r="AC365" s="477"/>
      <c r="AD365" s="480" t="s">
        <v>1253</v>
      </c>
      <c r="AE365" s="477">
        <v>45</v>
      </c>
      <c r="AF365" s="494" t="s">
        <v>1254</v>
      </c>
      <c r="AG365" s="480" t="str">
        <f>Fuente!AB366</f>
        <v xml:space="preserve">SECRETARÍA GENERAL </v>
      </c>
      <c r="AH365" s="81"/>
      <c r="AI365" s="81"/>
      <c r="AJ365" s="81"/>
    </row>
    <row r="366" spans="1:36" ht="78.75" x14ac:dyDescent="0.2">
      <c r="A366" s="76">
        <v>4</v>
      </c>
      <c r="B366" s="350" t="s">
        <v>1749</v>
      </c>
      <c r="C366" s="351" t="s">
        <v>1247</v>
      </c>
      <c r="D366" s="350" t="s">
        <v>1329</v>
      </c>
      <c r="E366" s="351" t="s">
        <v>1260</v>
      </c>
      <c r="F366" s="350" t="s">
        <v>1867</v>
      </c>
      <c r="G366" s="352"/>
      <c r="H366" s="352" t="s">
        <v>1261</v>
      </c>
      <c r="I366" s="352" t="s">
        <v>1261</v>
      </c>
      <c r="J366" s="76">
        <v>65.599999999999994</v>
      </c>
      <c r="K366" s="76">
        <v>80</v>
      </c>
      <c r="L366" s="353"/>
      <c r="M366" s="350" t="s">
        <v>1265</v>
      </c>
      <c r="N366" s="350" t="s">
        <v>1265</v>
      </c>
      <c r="O366" s="76">
        <v>50</v>
      </c>
      <c r="P366" s="76">
        <v>100</v>
      </c>
      <c r="Q366" s="485">
        <f>Fuente!AT370</f>
        <v>15.5</v>
      </c>
      <c r="R366" s="485">
        <f>Fuente!AU370</f>
        <v>0</v>
      </c>
      <c r="S366" s="485">
        <f>Fuente!AV370</f>
        <v>0</v>
      </c>
      <c r="T366" s="485">
        <f>Fuente!AW370</f>
        <v>0</v>
      </c>
      <c r="U366" s="467">
        <f>Fuente!AM370</f>
        <v>0.125</v>
      </c>
      <c r="V366" s="485">
        <f>Fuente!AY370</f>
        <v>12.5</v>
      </c>
      <c r="W366" s="485">
        <f>Fuente!AZ370</f>
        <v>3</v>
      </c>
      <c r="X366" s="485">
        <f>Fuente!BA370</f>
        <v>0</v>
      </c>
      <c r="Y366" s="485">
        <f>Fuente!BB370</f>
        <v>0</v>
      </c>
      <c r="Z366" s="485">
        <f>Fuente!BC370</f>
        <v>0</v>
      </c>
      <c r="AA366" s="467">
        <f>Fuente!BD370</f>
        <v>0.24</v>
      </c>
      <c r="AB366" s="477" t="s">
        <v>49</v>
      </c>
      <c r="AC366" s="477"/>
      <c r="AD366" s="480" t="s">
        <v>1253</v>
      </c>
      <c r="AE366" s="477">
        <v>45</v>
      </c>
      <c r="AF366" s="494" t="s">
        <v>1254</v>
      </c>
      <c r="AG366" s="480" t="str">
        <f>Fuente!AB367</f>
        <v xml:space="preserve">SECRETARÍA GENERAL </v>
      </c>
      <c r="AH366" s="81"/>
      <c r="AI366" s="81"/>
      <c r="AJ366" s="81"/>
    </row>
    <row r="367" spans="1:36" ht="63" x14ac:dyDescent="0.2">
      <c r="A367" s="76">
        <v>4</v>
      </c>
      <c r="B367" s="350" t="s">
        <v>1749</v>
      </c>
      <c r="C367" s="351" t="s">
        <v>1247</v>
      </c>
      <c r="D367" s="350" t="s">
        <v>1329</v>
      </c>
      <c r="E367" s="351" t="s">
        <v>1266</v>
      </c>
      <c r="F367" s="350" t="s">
        <v>1868</v>
      </c>
      <c r="G367" s="352"/>
      <c r="H367" s="478" t="s">
        <v>1267</v>
      </c>
      <c r="I367" s="478" t="s">
        <v>1267</v>
      </c>
      <c r="J367" s="76" t="s">
        <v>1268</v>
      </c>
      <c r="K367" s="76" t="s">
        <v>1269</v>
      </c>
      <c r="L367" s="353"/>
      <c r="M367" s="350" t="s">
        <v>1270</v>
      </c>
      <c r="N367" s="350" t="s">
        <v>1270</v>
      </c>
      <c r="O367" s="76" t="s">
        <v>1271</v>
      </c>
      <c r="P367" s="484">
        <v>0.95</v>
      </c>
      <c r="Q367" s="485">
        <f>Fuente!AT371</f>
        <v>0.82489999999999997</v>
      </c>
      <c r="R367" s="485">
        <f>Fuente!AU371</f>
        <v>0</v>
      </c>
      <c r="S367" s="485">
        <f>Fuente!AV371</f>
        <v>0</v>
      </c>
      <c r="T367" s="485">
        <f>Fuente!AW371</f>
        <v>0</v>
      </c>
      <c r="U367" s="467">
        <f>Fuente!AM371</f>
        <v>0.78947368421052633</v>
      </c>
      <c r="V367" s="485">
        <f>Fuente!AY371</f>
        <v>5.35</v>
      </c>
      <c r="W367" s="485">
        <f>Fuente!AZ371</f>
        <v>7.4899999999999994E-2</v>
      </c>
      <c r="X367" s="485">
        <f>Fuente!BA371</f>
        <v>0</v>
      </c>
      <c r="Y367" s="485">
        <f>Fuente!BB371</f>
        <v>0</v>
      </c>
      <c r="Z367" s="485">
        <f>Fuente!BC371</f>
        <v>0</v>
      </c>
      <c r="AA367" s="467">
        <f>Fuente!BD371</f>
        <v>1.4E-2</v>
      </c>
      <c r="AB367" s="477" t="s">
        <v>49</v>
      </c>
      <c r="AC367" s="477"/>
      <c r="AD367" s="480" t="s">
        <v>1253</v>
      </c>
      <c r="AE367" s="477">
        <v>45</v>
      </c>
      <c r="AF367" s="494" t="s">
        <v>1254</v>
      </c>
      <c r="AG367" s="480" t="str">
        <f>Fuente!AB368</f>
        <v xml:space="preserve">SECRETARÍA GENERAL </v>
      </c>
      <c r="AH367" s="81"/>
      <c r="AI367" s="81"/>
      <c r="AJ367" s="81"/>
    </row>
    <row r="368" spans="1:36" ht="63" x14ac:dyDescent="0.2">
      <c r="A368" s="76">
        <v>4</v>
      </c>
      <c r="B368" s="350" t="s">
        <v>1749</v>
      </c>
      <c r="C368" s="351" t="s">
        <v>1247</v>
      </c>
      <c r="D368" s="350" t="s">
        <v>1329</v>
      </c>
      <c r="E368" s="351" t="s">
        <v>1266</v>
      </c>
      <c r="F368" s="350" t="s">
        <v>1868</v>
      </c>
      <c r="G368" s="352"/>
      <c r="H368" s="478" t="s">
        <v>1267</v>
      </c>
      <c r="I368" s="478" t="s">
        <v>1267</v>
      </c>
      <c r="J368" s="76" t="s">
        <v>1268</v>
      </c>
      <c r="K368" s="76" t="s">
        <v>1269</v>
      </c>
      <c r="L368" s="353"/>
      <c r="M368" s="350" t="s">
        <v>1274</v>
      </c>
      <c r="N368" s="350" t="s">
        <v>1274</v>
      </c>
      <c r="O368" s="76" t="s">
        <v>1275</v>
      </c>
      <c r="P368" s="484">
        <v>0.6</v>
      </c>
      <c r="Q368" s="485">
        <f>Fuente!AT372</f>
        <v>0.17</v>
      </c>
      <c r="R368" s="485">
        <f>Fuente!AU372</f>
        <v>0</v>
      </c>
      <c r="S368" s="485">
        <f>Fuente!AV372</f>
        <v>0</v>
      </c>
      <c r="T368" s="485">
        <f>Fuente!AW372</f>
        <v>0</v>
      </c>
      <c r="U368" s="467">
        <f>Fuente!AM372</f>
        <v>0.05</v>
      </c>
      <c r="V368" s="485">
        <f>Fuente!AY372</f>
        <v>10</v>
      </c>
      <c r="W368" s="485">
        <f>Fuente!AZ372</f>
        <v>0.14000000000000001</v>
      </c>
      <c r="X368" s="485">
        <f>Fuente!BA372</f>
        <v>0</v>
      </c>
      <c r="Y368" s="485">
        <f>Fuente!BB372</f>
        <v>0</v>
      </c>
      <c r="Z368" s="485">
        <f>Fuente!BC372</f>
        <v>0</v>
      </c>
      <c r="AA368" s="467">
        <f>Fuente!BD372</f>
        <v>1.4000000000000002E-2</v>
      </c>
      <c r="AB368" s="477" t="s">
        <v>49</v>
      </c>
      <c r="AC368" s="477"/>
      <c r="AD368" s="480" t="s">
        <v>1253</v>
      </c>
      <c r="AE368" s="477">
        <v>45</v>
      </c>
      <c r="AF368" s="494" t="s">
        <v>1254</v>
      </c>
      <c r="AG368" s="480" t="str">
        <f>Fuente!AB369</f>
        <v xml:space="preserve">SECRETARÍA GENERAL </v>
      </c>
      <c r="AH368" s="81"/>
      <c r="AI368" s="81"/>
      <c r="AJ368" s="81"/>
    </row>
    <row r="369" spans="1:36" ht="63" x14ac:dyDescent="0.2">
      <c r="A369" s="76">
        <v>4</v>
      </c>
      <c r="B369" s="350" t="s">
        <v>1749</v>
      </c>
      <c r="C369" s="351" t="s">
        <v>1247</v>
      </c>
      <c r="D369" s="350" t="s">
        <v>1329</v>
      </c>
      <c r="E369" s="351" t="s">
        <v>1266</v>
      </c>
      <c r="F369" s="350" t="s">
        <v>1868</v>
      </c>
      <c r="G369" s="352"/>
      <c r="H369" s="478" t="s">
        <v>1267</v>
      </c>
      <c r="I369" s="478" t="s">
        <v>1267</v>
      </c>
      <c r="J369" s="76" t="s">
        <v>1268</v>
      </c>
      <c r="K369" s="76" t="s">
        <v>1269</v>
      </c>
      <c r="L369" s="353"/>
      <c r="M369" s="350" t="s">
        <v>1276</v>
      </c>
      <c r="N369" s="350" t="s">
        <v>1276</v>
      </c>
      <c r="O369" s="76" t="s">
        <v>1277</v>
      </c>
      <c r="P369" s="76">
        <v>100</v>
      </c>
      <c r="Q369" s="485">
        <f>Fuente!AT373</f>
        <v>25.35</v>
      </c>
      <c r="R369" s="485">
        <f>Fuente!AU373</f>
        <v>0</v>
      </c>
      <c r="S369" s="485">
        <f>Fuente!AV373</f>
        <v>0</v>
      </c>
      <c r="T369" s="485">
        <f>Fuente!AW373</f>
        <v>0</v>
      </c>
      <c r="U369" s="467">
        <f>Fuente!AM373</f>
        <v>1</v>
      </c>
      <c r="V369" s="485">
        <f>Fuente!AY373</f>
        <v>100</v>
      </c>
      <c r="W369" s="485">
        <f>Fuente!AZ373</f>
        <v>1.4</v>
      </c>
      <c r="X369" s="485">
        <f>Fuente!BA373</f>
        <v>0</v>
      </c>
      <c r="Y369" s="485">
        <f>Fuente!BB373</f>
        <v>0</v>
      </c>
      <c r="Z369" s="485">
        <f>Fuente!BC373</f>
        <v>0</v>
      </c>
      <c r="AA369" s="467">
        <f>Fuente!BD373</f>
        <v>1.3999999999999999E-2</v>
      </c>
      <c r="AB369" s="477" t="s">
        <v>49</v>
      </c>
      <c r="AC369" s="477"/>
      <c r="AD369" s="480" t="s">
        <v>1253</v>
      </c>
      <c r="AE369" s="477">
        <v>45</v>
      </c>
      <c r="AF369" s="494" t="s">
        <v>1254</v>
      </c>
      <c r="AG369" s="480" t="str">
        <f>Fuente!AB370</f>
        <v xml:space="preserve">SECRETARÍA GENERAL </v>
      </c>
      <c r="AH369" s="81"/>
      <c r="AI369" s="81"/>
      <c r="AJ369" s="81"/>
    </row>
    <row r="370" spans="1:36" ht="63" x14ac:dyDescent="0.2">
      <c r="A370" s="76">
        <v>4</v>
      </c>
      <c r="B370" s="350" t="s">
        <v>1749</v>
      </c>
      <c r="C370" s="351" t="s">
        <v>1247</v>
      </c>
      <c r="D370" s="350" t="s">
        <v>1329</v>
      </c>
      <c r="E370" s="351" t="s">
        <v>1266</v>
      </c>
      <c r="F370" s="350" t="s">
        <v>1868</v>
      </c>
      <c r="G370" s="352"/>
      <c r="H370" s="478" t="s">
        <v>1278</v>
      </c>
      <c r="I370" s="478" t="s">
        <v>1278</v>
      </c>
      <c r="J370" s="76" t="s">
        <v>1279</v>
      </c>
      <c r="K370" s="76" t="s">
        <v>1280</v>
      </c>
      <c r="L370" s="353"/>
      <c r="M370" s="350" t="s">
        <v>1281</v>
      </c>
      <c r="N370" s="350" t="s">
        <v>1281</v>
      </c>
      <c r="O370" s="76" t="s">
        <v>1282</v>
      </c>
      <c r="P370" s="76">
        <v>0.8</v>
      </c>
      <c r="Q370" s="485">
        <f>Fuente!AT374</f>
        <v>0.28500000000000003</v>
      </c>
      <c r="R370" s="485">
        <f>Fuente!AU374</f>
        <v>0</v>
      </c>
      <c r="S370" s="485">
        <f>Fuente!AV374</f>
        <v>0</v>
      </c>
      <c r="T370" s="485">
        <f>Fuente!AW374</f>
        <v>0</v>
      </c>
      <c r="U370" s="467">
        <f>Fuente!AM374</f>
        <v>0.19999999999999998</v>
      </c>
      <c r="V370" s="485">
        <f>Fuente!AY374</f>
        <v>0.5</v>
      </c>
      <c r="W370" s="485">
        <f>Fuente!AZ374</f>
        <v>0.125</v>
      </c>
      <c r="X370" s="485">
        <f>Fuente!BA374</f>
        <v>0</v>
      </c>
      <c r="Y370" s="485">
        <f>Fuente!BB374</f>
        <v>0</v>
      </c>
      <c r="Z370" s="485">
        <f>Fuente!BC374</f>
        <v>0</v>
      </c>
      <c r="AA370" s="467">
        <f>Fuente!BD374</f>
        <v>0.25</v>
      </c>
      <c r="AB370" s="477" t="s">
        <v>49</v>
      </c>
      <c r="AC370" s="477"/>
      <c r="AD370" s="480" t="s">
        <v>1273</v>
      </c>
      <c r="AE370" s="477">
        <v>23</v>
      </c>
      <c r="AF370" s="494" t="s">
        <v>1254</v>
      </c>
      <c r="AG370" s="480" t="str">
        <f>Fuente!AB371</f>
        <v xml:space="preserve">SECRETARÍA GENERAL </v>
      </c>
      <c r="AH370" s="81"/>
      <c r="AI370" s="81"/>
      <c r="AJ370" s="81"/>
    </row>
    <row r="371" spans="1:36" ht="63" x14ac:dyDescent="0.2">
      <c r="A371" s="76">
        <v>4</v>
      </c>
      <c r="B371" s="350" t="s">
        <v>1749</v>
      </c>
      <c r="C371" s="351" t="s">
        <v>1247</v>
      </c>
      <c r="D371" s="350" t="s">
        <v>1329</v>
      </c>
      <c r="E371" s="351" t="s">
        <v>1266</v>
      </c>
      <c r="F371" s="350" t="s">
        <v>1868</v>
      </c>
      <c r="G371" s="352"/>
      <c r="H371" s="478" t="s">
        <v>1278</v>
      </c>
      <c r="I371" s="478" t="s">
        <v>1278</v>
      </c>
      <c r="J371" s="76" t="s">
        <v>1279</v>
      </c>
      <c r="K371" s="76" t="s">
        <v>1280</v>
      </c>
      <c r="L371" s="353"/>
      <c r="M371" s="350" t="s">
        <v>1284</v>
      </c>
      <c r="N371" s="350" t="s">
        <v>1284</v>
      </c>
      <c r="O371" s="76" t="s">
        <v>1285</v>
      </c>
      <c r="P371" s="76">
        <v>0.7</v>
      </c>
      <c r="Q371" s="485">
        <f>Fuente!AT375</f>
        <v>1.4750000000000001</v>
      </c>
      <c r="R371" s="485">
        <f>Fuente!AU375</f>
        <v>0</v>
      </c>
      <c r="S371" s="485">
        <f>Fuente!AV375</f>
        <v>0</v>
      </c>
      <c r="T371" s="485">
        <f>Fuente!AW375</f>
        <v>0</v>
      </c>
      <c r="U371" s="467">
        <f>Fuente!AM375</f>
        <v>0.5</v>
      </c>
      <c r="V371" s="485">
        <f>Fuente!AY375</f>
        <v>4.5</v>
      </c>
      <c r="W371" s="485">
        <f>Fuente!AZ375</f>
        <v>1.125</v>
      </c>
      <c r="X371" s="485">
        <f>Fuente!BA375</f>
        <v>0</v>
      </c>
      <c r="Y371" s="485">
        <f>Fuente!BB375</f>
        <v>0</v>
      </c>
      <c r="Z371" s="485">
        <f>Fuente!BC375</f>
        <v>0</v>
      </c>
      <c r="AA371" s="467">
        <f>Fuente!BD375</f>
        <v>0.25</v>
      </c>
      <c r="AB371" s="477" t="s">
        <v>49</v>
      </c>
      <c r="AC371" s="477"/>
      <c r="AD371" s="480" t="s">
        <v>1273</v>
      </c>
      <c r="AE371" s="477">
        <v>23</v>
      </c>
      <c r="AF371" s="494" t="s">
        <v>1254</v>
      </c>
      <c r="AG371" s="480" t="str">
        <f>Fuente!AB372</f>
        <v xml:space="preserve">SECRETARÍA GENERAL </v>
      </c>
      <c r="AH371" s="81"/>
      <c r="AI371" s="81"/>
      <c r="AJ371" s="81"/>
    </row>
    <row r="372" spans="1:36" ht="63" x14ac:dyDescent="0.2">
      <c r="A372" s="76">
        <v>4</v>
      </c>
      <c r="B372" s="350" t="s">
        <v>1749</v>
      </c>
      <c r="C372" s="351" t="s">
        <v>1247</v>
      </c>
      <c r="D372" s="350" t="s">
        <v>1329</v>
      </c>
      <c r="E372" s="351" t="s">
        <v>1266</v>
      </c>
      <c r="F372" s="350" t="s">
        <v>1868</v>
      </c>
      <c r="G372" s="352"/>
      <c r="H372" s="478" t="s">
        <v>1278</v>
      </c>
      <c r="I372" s="478" t="s">
        <v>1278</v>
      </c>
      <c r="J372" s="76" t="s">
        <v>1279</v>
      </c>
      <c r="K372" s="76" t="s">
        <v>1280</v>
      </c>
      <c r="L372" s="353"/>
      <c r="M372" s="350" t="s">
        <v>1286</v>
      </c>
      <c r="N372" s="350" t="s">
        <v>1286</v>
      </c>
      <c r="O372" s="76" t="s">
        <v>1287</v>
      </c>
      <c r="P372" s="76">
        <v>0.7</v>
      </c>
      <c r="Q372" s="485">
        <f>Fuente!AT376</f>
        <v>0.77</v>
      </c>
      <c r="R372" s="485">
        <f>Fuente!AU376</f>
        <v>0</v>
      </c>
      <c r="S372" s="485">
        <f>Fuente!AV376</f>
        <v>0</v>
      </c>
      <c r="T372" s="485">
        <f>Fuente!AW376</f>
        <v>0</v>
      </c>
      <c r="U372" s="467">
        <f>Fuente!AM376</f>
        <v>1</v>
      </c>
      <c r="V372" s="485">
        <f>Fuente!AY376</f>
        <v>5</v>
      </c>
      <c r="W372" s="485">
        <f>Fuente!AZ376</f>
        <v>7.0000000000000007E-2</v>
      </c>
      <c r="X372" s="485">
        <f>Fuente!BA376</f>
        <v>0</v>
      </c>
      <c r="Y372" s="485">
        <f>Fuente!BB376</f>
        <v>0</v>
      </c>
      <c r="Z372" s="485">
        <f>Fuente!BC376</f>
        <v>0</v>
      </c>
      <c r="AA372" s="467">
        <f>Fuente!BD376</f>
        <v>1.4000000000000002E-2</v>
      </c>
      <c r="AB372" s="480" t="s">
        <v>78</v>
      </c>
      <c r="AC372" s="477"/>
      <c r="AD372" s="480" t="s">
        <v>1273</v>
      </c>
      <c r="AE372" s="477">
        <v>23</v>
      </c>
      <c r="AF372" s="494" t="s">
        <v>1254</v>
      </c>
      <c r="AG372" s="480" t="str">
        <f>Fuente!AB373</f>
        <v xml:space="preserve">SECRETARÍA GENERAL </v>
      </c>
      <c r="AH372" s="81"/>
      <c r="AI372" s="81"/>
      <c r="AJ372" s="81"/>
    </row>
    <row r="373" spans="1:36" ht="63" x14ac:dyDescent="0.2">
      <c r="A373" s="76">
        <v>4</v>
      </c>
      <c r="B373" s="350" t="s">
        <v>1749</v>
      </c>
      <c r="C373" s="351" t="s">
        <v>1247</v>
      </c>
      <c r="D373" s="350" t="s">
        <v>1329</v>
      </c>
      <c r="E373" s="351" t="s">
        <v>1266</v>
      </c>
      <c r="F373" s="350" t="s">
        <v>1868</v>
      </c>
      <c r="G373" s="352"/>
      <c r="H373" s="352" t="s">
        <v>1289</v>
      </c>
      <c r="I373" s="352" t="s">
        <v>1289</v>
      </c>
      <c r="J373" s="76" t="s">
        <v>1290</v>
      </c>
      <c r="K373" s="76" t="s">
        <v>1269</v>
      </c>
      <c r="L373" s="353"/>
      <c r="M373" s="350" t="s">
        <v>1291</v>
      </c>
      <c r="N373" s="350" t="s">
        <v>1291</v>
      </c>
      <c r="O373" s="76" t="s">
        <v>1292</v>
      </c>
      <c r="P373" s="76">
        <v>0.8</v>
      </c>
      <c r="Q373" s="485">
        <f>Fuente!AT377</f>
        <v>1.55</v>
      </c>
      <c r="R373" s="485">
        <f>Fuente!AU377</f>
        <v>0</v>
      </c>
      <c r="S373" s="485">
        <f>Fuente!AV377</f>
        <v>0</v>
      </c>
      <c r="T373" s="485">
        <f>Fuente!AW377</f>
        <v>0</v>
      </c>
      <c r="U373" s="467">
        <f>Fuente!AM377</f>
        <v>1</v>
      </c>
      <c r="V373" s="485">
        <f>Fuente!AY377</f>
        <v>3</v>
      </c>
      <c r="W373" s="485">
        <f>Fuente!AZ377</f>
        <v>0.75</v>
      </c>
      <c r="X373" s="485">
        <f>Fuente!BA377</f>
        <v>0</v>
      </c>
      <c r="Y373" s="485">
        <f>Fuente!BB377</f>
        <v>0</v>
      </c>
      <c r="Z373" s="485">
        <f>Fuente!BC377</f>
        <v>0</v>
      </c>
      <c r="AA373" s="467">
        <f>Fuente!BD377</f>
        <v>0.25</v>
      </c>
      <c r="AB373" s="477" t="s">
        <v>49</v>
      </c>
      <c r="AC373" s="477"/>
      <c r="AD373" s="480" t="s">
        <v>1273</v>
      </c>
      <c r="AE373" s="477">
        <v>23</v>
      </c>
      <c r="AF373" s="494" t="s">
        <v>1254</v>
      </c>
      <c r="AG373" s="480" t="str">
        <f>Fuente!AB374</f>
        <v xml:space="preserve">SECRETARÍA GENERAL </v>
      </c>
      <c r="AH373" s="81"/>
      <c r="AI373" s="81"/>
      <c r="AJ373" s="81"/>
    </row>
    <row r="374" spans="1:36" ht="63" x14ac:dyDescent="0.2">
      <c r="A374" s="76">
        <v>4</v>
      </c>
      <c r="B374" s="350" t="s">
        <v>1749</v>
      </c>
      <c r="C374" s="351" t="s">
        <v>1247</v>
      </c>
      <c r="D374" s="350" t="s">
        <v>1329</v>
      </c>
      <c r="E374" s="351" t="s">
        <v>1266</v>
      </c>
      <c r="F374" s="350" t="s">
        <v>1868</v>
      </c>
      <c r="G374" s="352"/>
      <c r="H374" s="352" t="s">
        <v>1289</v>
      </c>
      <c r="I374" s="352" t="s">
        <v>1289</v>
      </c>
      <c r="J374" s="76" t="s">
        <v>1290</v>
      </c>
      <c r="K374" s="76" t="s">
        <v>1269</v>
      </c>
      <c r="L374" s="353"/>
      <c r="M374" s="350" t="s">
        <v>1294</v>
      </c>
      <c r="N374" s="350" t="s">
        <v>1294</v>
      </c>
      <c r="O374" s="76" t="s">
        <v>1275</v>
      </c>
      <c r="P374" s="76">
        <v>0.6</v>
      </c>
      <c r="Q374" s="485">
        <f>Fuente!AT378</f>
        <v>1.35</v>
      </c>
      <c r="R374" s="485">
        <f>Fuente!AU378</f>
        <v>0</v>
      </c>
      <c r="S374" s="485">
        <f>Fuente!AV378</f>
        <v>0</v>
      </c>
      <c r="T374" s="485">
        <f>Fuente!AW378</f>
        <v>0</v>
      </c>
      <c r="U374" s="467">
        <f>Fuente!AM378</f>
        <v>1</v>
      </c>
      <c r="V374" s="485">
        <f>Fuente!AY378</f>
        <v>3</v>
      </c>
      <c r="W374" s="485">
        <f>Fuente!AZ378</f>
        <v>0.75</v>
      </c>
      <c r="X374" s="485">
        <f>Fuente!BA378</f>
        <v>0</v>
      </c>
      <c r="Y374" s="485">
        <f>Fuente!BB378</f>
        <v>0</v>
      </c>
      <c r="Z374" s="485">
        <f>Fuente!BC378</f>
        <v>0</v>
      </c>
      <c r="AA374" s="467">
        <f>Fuente!BD378</f>
        <v>0.25</v>
      </c>
      <c r="AB374" s="477" t="s">
        <v>49</v>
      </c>
      <c r="AC374" s="477"/>
      <c r="AD374" s="480" t="s">
        <v>1273</v>
      </c>
      <c r="AE374" s="477">
        <v>23</v>
      </c>
      <c r="AF374" s="494" t="s">
        <v>1254</v>
      </c>
      <c r="AG374" s="480" t="str">
        <f>Fuente!AB375</f>
        <v xml:space="preserve">SECRETARÍA GENERAL </v>
      </c>
      <c r="AH374" s="81"/>
      <c r="AI374" s="81"/>
      <c r="AJ374" s="81"/>
    </row>
    <row r="375" spans="1:36" ht="78.75" x14ac:dyDescent="0.2">
      <c r="A375" s="76">
        <v>4</v>
      </c>
      <c r="B375" s="350" t="s">
        <v>1749</v>
      </c>
      <c r="C375" s="351" t="s">
        <v>1247</v>
      </c>
      <c r="D375" s="350" t="s">
        <v>1329</v>
      </c>
      <c r="E375" s="351" t="s">
        <v>1295</v>
      </c>
      <c r="F375" s="350" t="s">
        <v>1869</v>
      </c>
      <c r="G375" s="352"/>
      <c r="H375" s="352" t="s">
        <v>1296</v>
      </c>
      <c r="I375" s="352" t="s">
        <v>1296</v>
      </c>
      <c r="J375" s="484">
        <v>0.6</v>
      </c>
      <c r="K375" s="484">
        <v>0.85</v>
      </c>
      <c r="L375" s="486"/>
      <c r="M375" s="350" t="s">
        <v>1297</v>
      </c>
      <c r="N375" s="350" t="s">
        <v>1211</v>
      </c>
      <c r="O375" s="484">
        <v>0.6</v>
      </c>
      <c r="P375" s="484">
        <v>0.85</v>
      </c>
      <c r="Q375" s="485">
        <f>Fuente!AT379</f>
        <v>0.62</v>
      </c>
      <c r="R375" s="485">
        <f>Fuente!AU379</f>
        <v>0</v>
      </c>
      <c r="S375" s="485">
        <f>Fuente!AV379</f>
        <v>0</v>
      </c>
      <c r="T375" s="485">
        <f>Fuente!AW379</f>
        <v>0</v>
      </c>
      <c r="U375" s="467">
        <f>Fuente!AM379</f>
        <v>0.72941176470588232</v>
      </c>
      <c r="V375" s="485">
        <f>Fuente!AY379</f>
        <v>2.5</v>
      </c>
      <c r="W375" s="485">
        <f>Fuente!AZ379</f>
        <v>0</v>
      </c>
      <c r="X375" s="485">
        <f>Fuente!BA379</f>
        <v>0</v>
      </c>
      <c r="Y375" s="485">
        <f>Fuente!BB379</f>
        <v>0</v>
      </c>
      <c r="Z375" s="485">
        <f>Fuente!BC379</f>
        <v>0</v>
      </c>
      <c r="AA375" s="467">
        <f>Fuente!BD379</f>
        <v>0</v>
      </c>
      <c r="AB375" s="477" t="s">
        <v>49</v>
      </c>
      <c r="AC375" s="477"/>
      <c r="AD375" s="480" t="s">
        <v>1273</v>
      </c>
      <c r="AE375" s="477">
        <v>23</v>
      </c>
      <c r="AF375" s="494" t="s">
        <v>1254</v>
      </c>
      <c r="AG375" s="480" t="str">
        <f>Fuente!AB376</f>
        <v xml:space="preserve">SECRETARÍA GENERAL </v>
      </c>
      <c r="AH375" s="81"/>
      <c r="AI375" s="81"/>
      <c r="AJ375" s="81"/>
    </row>
    <row r="376" spans="1:36" ht="78.75" x14ac:dyDescent="0.2">
      <c r="A376" s="76">
        <v>4</v>
      </c>
      <c r="B376" s="350" t="s">
        <v>1749</v>
      </c>
      <c r="C376" s="351" t="s">
        <v>1247</v>
      </c>
      <c r="D376" s="350" t="s">
        <v>1329</v>
      </c>
      <c r="E376" s="351" t="s">
        <v>1295</v>
      </c>
      <c r="F376" s="350" t="s">
        <v>1869</v>
      </c>
      <c r="G376" s="352"/>
      <c r="H376" s="352" t="s">
        <v>1296</v>
      </c>
      <c r="I376" s="352" t="s">
        <v>1296</v>
      </c>
      <c r="J376" s="484">
        <v>0.6</v>
      </c>
      <c r="K376" s="484">
        <v>0.85</v>
      </c>
      <c r="L376" s="486"/>
      <c r="M376" s="350" t="s">
        <v>1298</v>
      </c>
      <c r="N376" s="350" t="s">
        <v>1211</v>
      </c>
      <c r="O376" s="484">
        <v>0.6</v>
      </c>
      <c r="P376" s="484">
        <v>1</v>
      </c>
      <c r="Q376" s="485">
        <f>Fuente!AT380</f>
        <v>3</v>
      </c>
      <c r="R376" s="485">
        <f>Fuente!AU380</f>
        <v>0</v>
      </c>
      <c r="S376" s="485">
        <f>Fuente!AV380</f>
        <v>0</v>
      </c>
      <c r="T376" s="485">
        <f>Fuente!AW380</f>
        <v>0</v>
      </c>
      <c r="U376" s="467">
        <f>Fuente!AM380</f>
        <v>0.5</v>
      </c>
      <c r="V376" s="485">
        <f>Fuente!AY380</f>
        <v>10</v>
      </c>
      <c r="W376" s="485">
        <f>Fuente!AZ380</f>
        <v>2.5</v>
      </c>
      <c r="X376" s="485">
        <f>Fuente!BA380</f>
        <v>0</v>
      </c>
      <c r="Y376" s="485">
        <f>Fuente!BB380</f>
        <v>0</v>
      </c>
      <c r="Z376" s="485">
        <f>Fuente!BC380</f>
        <v>0</v>
      </c>
      <c r="AA376" s="467">
        <f>Fuente!BD380</f>
        <v>0.25</v>
      </c>
      <c r="AB376" s="477" t="s">
        <v>49</v>
      </c>
      <c r="AC376" s="477"/>
      <c r="AD376" s="480" t="s">
        <v>1273</v>
      </c>
      <c r="AE376" s="477">
        <v>23</v>
      </c>
      <c r="AF376" s="494" t="s">
        <v>1254</v>
      </c>
      <c r="AG376" s="480" t="str">
        <f>Fuente!AB377</f>
        <v xml:space="preserve">SECRETARÍA GENERAL </v>
      </c>
      <c r="AH376" s="81"/>
      <c r="AI376" s="81"/>
      <c r="AJ376" s="81"/>
    </row>
    <row r="377" spans="1:36" ht="78.75" x14ac:dyDescent="0.2">
      <c r="A377" s="76">
        <v>4</v>
      </c>
      <c r="B377" s="350" t="s">
        <v>1749</v>
      </c>
      <c r="C377" s="351" t="s">
        <v>1247</v>
      </c>
      <c r="D377" s="350" t="s">
        <v>1329</v>
      </c>
      <c r="E377" s="351" t="s">
        <v>1295</v>
      </c>
      <c r="F377" s="350" t="s">
        <v>1869</v>
      </c>
      <c r="G377" s="352"/>
      <c r="H377" s="352" t="s">
        <v>1296</v>
      </c>
      <c r="I377" s="352" t="s">
        <v>1296</v>
      </c>
      <c r="J377" s="484">
        <v>0.6</v>
      </c>
      <c r="K377" s="484">
        <v>0.85</v>
      </c>
      <c r="L377" s="486"/>
      <c r="M377" s="350" t="s">
        <v>1299</v>
      </c>
      <c r="N377" s="350" t="s">
        <v>1211</v>
      </c>
      <c r="O377" s="484">
        <v>0.5</v>
      </c>
      <c r="P377" s="484">
        <v>0.9</v>
      </c>
      <c r="Q377" s="485">
        <f>Fuente!AT381</f>
        <v>0.53</v>
      </c>
      <c r="R377" s="485">
        <f>Fuente!AU381</f>
        <v>0</v>
      </c>
      <c r="S377" s="485">
        <f>Fuente!AV381</f>
        <v>0</v>
      </c>
      <c r="T377" s="485">
        <f>Fuente!AW381</f>
        <v>0</v>
      </c>
      <c r="U377" s="467">
        <f>Fuente!AM381</f>
        <v>0.58888888888888891</v>
      </c>
      <c r="V377" s="485">
        <f>Fuente!AY381</f>
        <v>10</v>
      </c>
      <c r="W377" s="485">
        <f>Fuente!AZ381</f>
        <v>0</v>
      </c>
      <c r="X377" s="485">
        <f>Fuente!BA381</f>
        <v>0</v>
      </c>
      <c r="Y377" s="485">
        <f>Fuente!BB381</f>
        <v>0</v>
      </c>
      <c r="Z377" s="485">
        <f>Fuente!BC381</f>
        <v>0</v>
      </c>
      <c r="AA377" s="467">
        <f>Fuente!BD381</f>
        <v>0</v>
      </c>
      <c r="AB377" s="477" t="s">
        <v>49</v>
      </c>
      <c r="AC377" s="477"/>
      <c r="AD377" s="480" t="s">
        <v>1273</v>
      </c>
      <c r="AE377" s="477">
        <v>23</v>
      </c>
      <c r="AF377" s="494" t="s">
        <v>1254</v>
      </c>
      <c r="AG377" s="480" t="str">
        <f>Fuente!AB378</f>
        <v xml:space="preserve">SECRETARÍA GENERAL </v>
      </c>
      <c r="AH377" s="81"/>
      <c r="AI377" s="81"/>
      <c r="AJ377" s="81"/>
    </row>
    <row r="378" spans="1:36" ht="63" x14ac:dyDescent="0.2">
      <c r="A378" s="76">
        <v>4</v>
      </c>
      <c r="B378" s="350" t="s">
        <v>1749</v>
      </c>
      <c r="C378" s="351" t="s">
        <v>1247</v>
      </c>
      <c r="D378" s="350" t="s">
        <v>1329</v>
      </c>
      <c r="E378" s="351" t="s">
        <v>1300</v>
      </c>
      <c r="F378" s="350" t="s">
        <v>1870</v>
      </c>
      <c r="G378" s="351"/>
      <c r="H378" s="351" t="s">
        <v>1301</v>
      </c>
      <c r="I378" s="351" t="s">
        <v>1301</v>
      </c>
      <c r="J378" s="76">
        <v>45</v>
      </c>
      <c r="K378" s="76">
        <v>45</v>
      </c>
      <c r="L378" s="353"/>
      <c r="M378" s="350" t="s">
        <v>1302</v>
      </c>
      <c r="N378" s="350" t="s">
        <v>1302</v>
      </c>
      <c r="O378" s="76">
        <v>0</v>
      </c>
      <c r="P378" s="76">
        <v>10</v>
      </c>
      <c r="Q378" s="485">
        <f>Fuente!AT382</f>
        <v>2</v>
      </c>
      <c r="R378" s="485">
        <f>Fuente!AU382</f>
        <v>0</v>
      </c>
      <c r="S378" s="485">
        <f>Fuente!AV382</f>
        <v>0</v>
      </c>
      <c r="T378" s="485">
        <f>Fuente!AW382</f>
        <v>0</v>
      </c>
      <c r="U378" s="467">
        <f>Fuente!AM382</f>
        <v>0.1</v>
      </c>
      <c r="V378" s="485">
        <f>Fuente!AY382</f>
        <v>4</v>
      </c>
      <c r="W378" s="485">
        <f>Fuente!AZ382</f>
        <v>1</v>
      </c>
      <c r="X378" s="485">
        <f>Fuente!BA382</f>
        <v>0</v>
      </c>
      <c r="Y378" s="485">
        <f>Fuente!BB382</f>
        <v>0</v>
      </c>
      <c r="Z378" s="485">
        <f>Fuente!BC382</f>
        <v>0</v>
      </c>
      <c r="AA378" s="467">
        <f>Fuente!BD382</f>
        <v>0.25</v>
      </c>
      <c r="AB378" s="477" t="s">
        <v>49</v>
      </c>
      <c r="AC378" s="477"/>
      <c r="AD378" s="480" t="s">
        <v>1253</v>
      </c>
      <c r="AE378" s="477">
        <v>45</v>
      </c>
      <c r="AF378" s="494" t="s">
        <v>1254</v>
      </c>
      <c r="AG378" s="480" t="str">
        <f>Fuente!AB379</f>
        <v xml:space="preserve">SECRETARÍA GENERAL </v>
      </c>
      <c r="AH378" s="81"/>
      <c r="AI378" s="81"/>
      <c r="AJ378" s="81"/>
    </row>
    <row r="379" spans="1:36" ht="63" x14ac:dyDescent="0.2">
      <c r="A379" s="76">
        <v>4</v>
      </c>
      <c r="B379" s="350" t="s">
        <v>1749</v>
      </c>
      <c r="C379" s="351" t="s">
        <v>1247</v>
      </c>
      <c r="D379" s="350" t="s">
        <v>1329</v>
      </c>
      <c r="E379" s="351" t="s">
        <v>1303</v>
      </c>
      <c r="F379" s="350" t="s">
        <v>1871</v>
      </c>
      <c r="G379" s="351"/>
      <c r="H379" s="351" t="s">
        <v>1304</v>
      </c>
      <c r="I379" s="351" t="s">
        <v>1304</v>
      </c>
      <c r="J379" s="76">
        <v>16</v>
      </c>
      <c r="K379" s="76">
        <v>25</v>
      </c>
      <c r="L379" s="353"/>
      <c r="M379" s="350" t="s">
        <v>1305</v>
      </c>
      <c r="N379" s="350" t="s">
        <v>1305</v>
      </c>
      <c r="O379" s="76">
        <v>16</v>
      </c>
      <c r="P379" s="76">
        <v>25</v>
      </c>
      <c r="Q379" s="485">
        <f>Fuente!AT383</f>
        <v>3</v>
      </c>
      <c r="R379" s="485">
        <f>Fuente!AU383</f>
        <v>0</v>
      </c>
      <c r="S379" s="485">
        <f>Fuente!AV383</f>
        <v>0</v>
      </c>
      <c r="T379" s="485">
        <f>Fuente!AW383</f>
        <v>0</v>
      </c>
      <c r="U379" s="467">
        <f>Fuente!AM383</f>
        <v>0.08</v>
      </c>
      <c r="V379" s="485">
        <f>Fuente!AY383</f>
        <v>4</v>
      </c>
      <c r="W379" s="485">
        <f>Fuente!AZ383</f>
        <v>1</v>
      </c>
      <c r="X379" s="485">
        <f>Fuente!BA383</f>
        <v>0</v>
      </c>
      <c r="Y379" s="485">
        <f>Fuente!BB383</f>
        <v>0</v>
      </c>
      <c r="Z379" s="485">
        <f>Fuente!BC383</f>
        <v>0</v>
      </c>
      <c r="AA379" s="467">
        <f>Fuente!BD383</f>
        <v>0.25</v>
      </c>
      <c r="AB379" s="477" t="s">
        <v>49</v>
      </c>
      <c r="AC379" s="477"/>
      <c r="AD379" s="480" t="s">
        <v>1253</v>
      </c>
      <c r="AE379" s="477">
        <v>45</v>
      </c>
      <c r="AF379" s="494" t="s">
        <v>1254</v>
      </c>
      <c r="AG379" s="480" t="str">
        <f>Fuente!AB380</f>
        <v xml:space="preserve">SECRETARÍA GENERAL </v>
      </c>
      <c r="AH379" s="81"/>
      <c r="AI379" s="81"/>
      <c r="AJ379" s="81"/>
    </row>
    <row r="380" spans="1:36" ht="63" x14ac:dyDescent="0.2">
      <c r="A380" s="76">
        <v>4</v>
      </c>
      <c r="B380" s="350" t="s">
        <v>1749</v>
      </c>
      <c r="C380" s="351" t="s">
        <v>1247</v>
      </c>
      <c r="D380" s="350" t="s">
        <v>1329</v>
      </c>
      <c r="E380" s="351" t="s">
        <v>1306</v>
      </c>
      <c r="F380" s="350" t="s">
        <v>1872</v>
      </c>
      <c r="G380" s="352"/>
      <c r="H380" s="478" t="s">
        <v>1307</v>
      </c>
      <c r="I380" s="478" t="s">
        <v>1307</v>
      </c>
      <c r="J380" s="76">
        <v>0</v>
      </c>
      <c r="K380" s="76">
        <v>40</v>
      </c>
      <c r="L380" s="353"/>
      <c r="M380" s="350" t="s">
        <v>1308</v>
      </c>
      <c r="N380" s="350" t="s">
        <v>1308</v>
      </c>
      <c r="O380" s="76">
        <v>0</v>
      </c>
      <c r="P380" s="76">
        <v>1</v>
      </c>
      <c r="Q380" s="485">
        <f>Fuente!AT384</f>
        <v>0.5</v>
      </c>
      <c r="R380" s="485">
        <f>Fuente!AU384</f>
        <v>0</v>
      </c>
      <c r="S380" s="485">
        <f>Fuente!AV384</f>
        <v>0</v>
      </c>
      <c r="T380" s="485">
        <f>Fuente!AW384</f>
        <v>0</v>
      </c>
      <c r="U380" s="467">
        <f>Fuente!AM384</f>
        <v>0.5</v>
      </c>
      <c r="V380" s="485">
        <f>Fuente!AY384</f>
        <v>1</v>
      </c>
      <c r="W380" s="485">
        <f>Fuente!AZ384</f>
        <v>0</v>
      </c>
      <c r="X380" s="485">
        <f>Fuente!BA384</f>
        <v>0</v>
      </c>
      <c r="Y380" s="485">
        <f>Fuente!BB384</f>
        <v>0</v>
      </c>
      <c r="Z380" s="485">
        <f>Fuente!BC384</f>
        <v>0</v>
      </c>
      <c r="AA380" s="467">
        <f>Fuente!BD384</f>
        <v>0</v>
      </c>
      <c r="AB380" s="477" t="s">
        <v>49</v>
      </c>
      <c r="AC380" s="477"/>
      <c r="AD380" s="480" t="s">
        <v>1253</v>
      </c>
      <c r="AE380" s="477">
        <v>45</v>
      </c>
      <c r="AF380" s="494" t="s">
        <v>1254</v>
      </c>
      <c r="AG380" s="480" t="str">
        <f>Fuente!AB381</f>
        <v xml:space="preserve">SECRETARÍA GENERAL </v>
      </c>
      <c r="AH380" s="81"/>
      <c r="AI380" s="81"/>
      <c r="AJ380" s="81"/>
    </row>
    <row r="381" spans="1:36" ht="63" x14ac:dyDescent="0.2">
      <c r="A381" s="76">
        <v>4</v>
      </c>
      <c r="B381" s="350" t="s">
        <v>1749</v>
      </c>
      <c r="C381" s="351" t="s">
        <v>1247</v>
      </c>
      <c r="D381" s="350" t="s">
        <v>1329</v>
      </c>
      <c r="E381" s="351" t="s">
        <v>1309</v>
      </c>
      <c r="F381" s="350" t="s">
        <v>1873</v>
      </c>
      <c r="G381" s="351"/>
      <c r="H381" s="352" t="s">
        <v>1310</v>
      </c>
      <c r="I381" s="350" t="s">
        <v>1310</v>
      </c>
      <c r="J381" s="76">
        <v>0</v>
      </c>
      <c r="K381" s="76">
        <v>46</v>
      </c>
      <c r="L381" s="76"/>
      <c r="M381" s="350" t="s">
        <v>1311</v>
      </c>
      <c r="N381" s="350" t="s">
        <v>1311</v>
      </c>
      <c r="O381" s="76">
        <v>0</v>
      </c>
      <c r="P381" s="76">
        <v>5</v>
      </c>
      <c r="Q381" s="485">
        <f>Fuente!AT385</f>
        <v>0</v>
      </c>
      <c r="R381" s="485">
        <f>Fuente!AU385</f>
        <v>0</v>
      </c>
      <c r="S381" s="485">
        <f>Fuente!AV385</f>
        <v>0</v>
      </c>
      <c r="T381" s="485">
        <f>Fuente!AW385</f>
        <v>0</v>
      </c>
      <c r="U381" s="467">
        <f>Fuente!AM385</f>
        <v>0</v>
      </c>
      <c r="V381" s="485">
        <f>Fuente!AY385</f>
        <v>1.6</v>
      </c>
      <c r="W381" s="485">
        <f>Fuente!AZ385</f>
        <v>0</v>
      </c>
      <c r="X381" s="485">
        <f>Fuente!BA385</f>
        <v>0</v>
      </c>
      <c r="Y381" s="485">
        <f>Fuente!BB385</f>
        <v>0</v>
      </c>
      <c r="Z381" s="485">
        <f>Fuente!BC385</f>
        <v>0</v>
      </c>
      <c r="AA381" s="467">
        <f>Fuente!BD385</f>
        <v>0</v>
      </c>
      <c r="AB381" s="477" t="s">
        <v>203</v>
      </c>
      <c r="AC381" s="477"/>
      <c r="AD381" s="480" t="s">
        <v>1212</v>
      </c>
      <c r="AE381" s="477">
        <v>45</v>
      </c>
      <c r="AF381" s="482">
        <v>16</v>
      </c>
      <c r="AG381" s="480" t="str">
        <f>Fuente!AB382</f>
        <v>SECRETARÍA DEL INTERIOR</v>
      </c>
      <c r="AH381" s="81"/>
      <c r="AI381" s="81"/>
      <c r="AJ381" s="81"/>
    </row>
    <row r="382" spans="1:36" ht="63" x14ac:dyDescent="0.2">
      <c r="A382" s="76">
        <v>4</v>
      </c>
      <c r="B382" s="350" t="s">
        <v>1749</v>
      </c>
      <c r="C382" s="351" t="s">
        <v>1247</v>
      </c>
      <c r="D382" s="350" t="s">
        <v>1329</v>
      </c>
      <c r="E382" s="351" t="s">
        <v>1309</v>
      </c>
      <c r="F382" s="350" t="s">
        <v>1873</v>
      </c>
      <c r="G382" s="351"/>
      <c r="H382" s="352" t="s">
        <v>1310</v>
      </c>
      <c r="I382" s="350" t="s">
        <v>1310</v>
      </c>
      <c r="J382" s="76">
        <v>0</v>
      </c>
      <c r="K382" s="76">
        <v>46</v>
      </c>
      <c r="L382" s="76"/>
      <c r="M382" s="350" t="s">
        <v>1313</v>
      </c>
      <c r="N382" s="350" t="s">
        <v>1313</v>
      </c>
      <c r="O382" s="76">
        <v>0</v>
      </c>
      <c r="P382" s="76">
        <v>46</v>
      </c>
      <c r="Q382" s="485">
        <f>Fuente!AT386</f>
        <v>0</v>
      </c>
      <c r="R382" s="485">
        <f>Fuente!AU386</f>
        <v>0</v>
      </c>
      <c r="S382" s="485">
        <f>Fuente!AV386</f>
        <v>0</v>
      </c>
      <c r="T382" s="485">
        <f>Fuente!AW386</f>
        <v>0</v>
      </c>
      <c r="U382" s="467">
        <f>Fuente!AM386</f>
        <v>0</v>
      </c>
      <c r="V382" s="485">
        <f>Fuente!AY386</f>
        <v>15.33</v>
      </c>
      <c r="W382" s="485">
        <f>Fuente!AZ386</f>
        <v>0</v>
      </c>
      <c r="X382" s="485">
        <f>Fuente!BA386</f>
        <v>0</v>
      </c>
      <c r="Y382" s="485">
        <f>Fuente!BB386</f>
        <v>0</v>
      </c>
      <c r="Z382" s="485">
        <f>Fuente!BC386</f>
        <v>0</v>
      </c>
      <c r="AA382" s="467">
        <f>Fuente!BD386</f>
        <v>0</v>
      </c>
      <c r="AB382" s="477" t="s">
        <v>203</v>
      </c>
      <c r="AC382" s="477"/>
      <c r="AD382" s="480" t="s">
        <v>1212</v>
      </c>
      <c r="AE382" s="477">
        <v>45</v>
      </c>
      <c r="AF382" s="482">
        <v>16</v>
      </c>
      <c r="AG382" s="480" t="str">
        <f>Fuente!AB383</f>
        <v>SECRETARÍA DEL INTERIOR</v>
      </c>
      <c r="AH382" s="81"/>
      <c r="AI382" s="81"/>
      <c r="AJ382" s="81"/>
    </row>
    <row r="383" spans="1:36" ht="63" x14ac:dyDescent="0.2">
      <c r="A383" s="76">
        <v>4</v>
      </c>
      <c r="B383" s="350" t="s">
        <v>1749</v>
      </c>
      <c r="C383" s="351" t="s">
        <v>1247</v>
      </c>
      <c r="D383" s="350" t="s">
        <v>1329</v>
      </c>
      <c r="E383" s="351" t="s">
        <v>1309</v>
      </c>
      <c r="F383" s="350" t="s">
        <v>1873</v>
      </c>
      <c r="G383" s="351"/>
      <c r="H383" s="352" t="s">
        <v>1310</v>
      </c>
      <c r="I383" s="350" t="s">
        <v>1310</v>
      </c>
      <c r="J383" s="76">
        <v>0</v>
      </c>
      <c r="K383" s="76">
        <v>46</v>
      </c>
      <c r="L383" s="76"/>
      <c r="M383" s="350" t="s">
        <v>1314</v>
      </c>
      <c r="N383" s="350" t="s">
        <v>1314</v>
      </c>
      <c r="O383" s="76">
        <v>0</v>
      </c>
      <c r="P383" s="76">
        <v>5</v>
      </c>
      <c r="Q383" s="485">
        <f>Fuente!AT387</f>
        <v>0.5</v>
      </c>
      <c r="R383" s="485">
        <f>Fuente!AU387</f>
        <v>0</v>
      </c>
      <c r="S383" s="485">
        <f>Fuente!AV387</f>
        <v>0</v>
      </c>
      <c r="T383" s="485">
        <f>Fuente!AW387</f>
        <v>0</v>
      </c>
      <c r="U383" s="467">
        <f>Fuente!AM387</f>
        <v>0</v>
      </c>
      <c r="V383" s="485">
        <f>Fuente!AY387</f>
        <v>1.6</v>
      </c>
      <c r="W383" s="485">
        <f>Fuente!AZ387</f>
        <v>0.5</v>
      </c>
      <c r="X383" s="485">
        <f>Fuente!BA387</f>
        <v>0</v>
      </c>
      <c r="Y383" s="485">
        <f>Fuente!BB387</f>
        <v>0</v>
      </c>
      <c r="Z383" s="485">
        <f>Fuente!BC387</f>
        <v>0</v>
      </c>
      <c r="AA383" s="467">
        <f>Fuente!BD387</f>
        <v>0.3125</v>
      </c>
      <c r="AB383" s="477" t="s">
        <v>49</v>
      </c>
      <c r="AC383" s="477"/>
      <c r="AD383" s="480" t="s">
        <v>1253</v>
      </c>
      <c r="AE383" s="477">
        <v>45</v>
      </c>
      <c r="AF383" s="494" t="s">
        <v>1254</v>
      </c>
      <c r="AG383" s="480" t="str">
        <f>Fuente!AB384</f>
        <v xml:space="preserve">SECRETARÍA GENERAL </v>
      </c>
      <c r="AH383" s="81"/>
      <c r="AI383" s="81"/>
      <c r="AJ383" s="81"/>
    </row>
    <row r="384" spans="1:36" ht="63" x14ac:dyDescent="0.2">
      <c r="A384" s="76">
        <v>4</v>
      </c>
      <c r="B384" s="350" t="s">
        <v>1749</v>
      </c>
      <c r="C384" s="351" t="s">
        <v>1315</v>
      </c>
      <c r="D384" s="350" t="s">
        <v>1817</v>
      </c>
      <c r="E384" s="351" t="s">
        <v>1316</v>
      </c>
      <c r="F384" s="350" t="s">
        <v>1874</v>
      </c>
      <c r="G384" s="352"/>
      <c r="H384" s="352" t="s">
        <v>1317</v>
      </c>
      <c r="I384" s="350" t="s">
        <v>1317</v>
      </c>
      <c r="J384" s="76">
        <v>0</v>
      </c>
      <c r="K384" s="484">
        <v>0.12</v>
      </c>
      <c r="L384" s="486"/>
      <c r="M384" s="350" t="s">
        <v>1318</v>
      </c>
      <c r="N384" s="350" t="s">
        <v>1318</v>
      </c>
      <c r="O384" s="76">
        <v>0</v>
      </c>
      <c r="P384" s="76">
        <v>1</v>
      </c>
      <c r="Q384" s="485">
        <f>Fuente!AT388</f>
        <v>0</v>
      </c>
      <c r="R384" s="485">
        <f>Fuente!AU388</f>
        <v>0</v>
      </c>
      <c r="S384" s="485">
        <f>Fuente!AV388</f>
        <v>0</v>
      </c>
      <c r="T384" s="485">
        <f>Fuente!AW388</f>
        <v>0</v>
      </c>
      <c r="U384" s="467">
        <f>Fuente!AM388</f>
        <v>0</v>
      </c>
      <c r="V384" s="485">
        <f>Fuente!AY388</f>
        <v>1</v>
      </c>
      <c r="W384" s="485">
        <f>Fuente!AZ388</f>
        <v>0</v>
      </c>
      <c r="X384" s="485">
        <f>Fuente!BA388</f>
        <v>0</v>
      </c>
      <c r="Y384" s="485">
        <f>Fuente!BB388</f>
        <v>0</v>
      </c>
      <c r="Z384" s="485">
        <f>Fuente!BC388</f>
        <v>0</v>
      </c>
      <c r="AA384" s="467">
        <f>Fuente!BD388</f>
        <v>0</v>
      </c>
      <c r="AB384" s="477" t="s">
        <v>49</v>
      </c>
      <c r="AC384" s="477"/>
      <c r="AD384" s="477"/>
      <c r="AE384" s="477"/>
      <c r="AF384" s="482"/>
      <c r="AG384" s="480" t="str">
        <f>Fuente!AB385</f>
        <v>SECRETARIA PRIVADA</v>
      </c>
      <c r="AH384" s="81"/>
      <c r="AI384" s="81"/>
      <c r="AJ384" s="81"/>
    </row>
    <row r="385" spans="1:36" ht="63" x14ac:dyDescent="0.2">
      <c r="A385" s="76">
        <v>4</v>
      </c>
      <c r="B385" s="350" t="s">
        <v>1749</v>
      </c>
      <c r="C385" s="351" t="s">
        <v>1315</v>
      </c>
      <c r="D385" s="350" t="s">
        <v>1817</v>
      </c>
      <c r="E385" s="351" t="s">
        <v>1316</v>
      </c>
      <c r="F385" s="350" t="s">
        <v>1874</v>
      </c>
      <c r="G385" s="352"/>
      <c r="H385" s="352" t="s">
        <v>1317</v>
      </c>
      <c r="I385" s="350" t="s">
        <v>1317</v>
      </c>
      <c r="J385" s="76">
        <v>0</v>
      </c>
      <c r="K385" s="484">
        <v>0.12</v>
      </c>
      <c r="L385" s="486"/>
      <c r="M385" s="350" t="s">
        <v>1322</v>
      </c>
      <c r="N385" s="350" t="s">
        <v>1322</v>
      </c>
      <c r="O385" s="76">
        <v>0</v>
      </c>
      <c r="P385" s="76">
        <v>1</v>
      </c>
      <c r="Q385" s="485">
        <f>Fuente!AT389</f>
        <v>0</v>
      </c>
      <c r="R385" s="485">
        <f>Fuente!AU389</f>
        <v>0</v>
      </c>
      <c r="S385" s="485">
        <f>Fuente!AV389</f>
        <v>0</v>
      </c>
      <c r="T385" s="485">
        <f>Fuente!AW389</f>
        <v>0</v>
      </c>
      <c r="U385" s="467">
        <f>Fuente!AM389</f>
        <v>0</v>
      </c>
      <c r="V385" s="485">
        <f>Fuente!AY389</f>
        <v>1</v>
      </c>
      <c r="W385" s="485">
        <f>Fuente!AZ389</f>
        <v>0</v>
      </c>
      <c r="X385" s="485">
        <f>Fuente!BA389</f>
        <v>0</v>
      </c>
      <c r="Y385" s="485">
        <f>Fuente!BB389</f>
        <v>0</v>
      </c>
      <c r="Z385" s="485">
        <f>Fuente!BC389</f>
        <v>0</v>
      </c>
      <c r="AA385" s="467">
        <f>Fuente!BD389</f>
        <v>0</v>
      </c>
      <c r="AB385" s="477" t="s">
        <v>49</v>
      </c>
      <c r="AC385" s="477"/>
      <c r="AD385" s="477"/>
      <c r="AE385" s="477"/>
      <c r="AF385" s="482"/>
      <c r="AG385" s="480" t="str">
        <f>Fuente!AB386</f>
        <v>SECRETARIA PRIVADA</v>
      </c>
      <c r="AH385" s="81"/>
      <c r="AI385" s="81"/>
      <c r="AJ385" s="81"/>
    </row>
    <row r="386" spans="1:36" ht="78.75" x14ac:dyDescent="0.2">
      <c r="A386" s="76">
        <v>4</v>
      </c>
      <c r="B386" s="350" t="s">
        <v>1749</v>
      </c>
      <c r="C386" s="351" t="s">
        <v>1315</v>
      </c>
      <c r="D386" s="350" t="s">
        <v>1817</v>
      </c>
      <c r="E386" s="351" t="s">
        <v>1316</v>
      </c>
      <c r="F386" s="350" t="s">
        <v>1874</v>
      </c>
      <c r="G386" s="352"/>
      <c r="H386" s="352" t="s">
        <v>1317</v>
      </c>
      <c r="I386" s="350" t="s">
        <v>1317</v>
      </c>
      <c r="J386" s="76">
        <v>0</v>
      </c>
      <c r="K386" s="484">
        <v>0.12</v>
      </c>
      <c r="L386" s="486"/>
      <c r="M386" s="350" t="s">
        <v>1323</v>
      </c>
      <c r="N386" s="350" t="s">
        <v>1323</v>
      </c>
      <c r="O386" s="76">
        <v>0</v>
      </c>
      <c r="P386" s="76">
        <v>1</v>
      </c>
      <c r="Q386" s="485">
        <f>Fuente!AT390</f>
        <v>0</v>
      </c>
      <c r="R386" s="485">
        <f>Fuente!AU390</f>
        <v>0</v>
      </c>
      <c r="S386" s="485">
        <f>Fuente!AV390</f>
        <v>0</v>
      </c>
      <c r="T386" s="485">
        <f>Fuente!AW390</f>
        <v>0</v>
      </c>
      <c r="U386" s="467">
        <f>Fuente!AM390</f>
        <v>0</v>
      </c>
      <c r="V386" s="485">
        <f>Fuente!AY390</f>
        <v>1</v>
      </c>
      <c r="W386" s="485">
        <f>Fuente!AZ390</f>
        <v>0</v>
      </c>
      <c r="X386" s="485">
        <f>Fuente!BA390</f>
        <v>0</v>
      </c>
      <c r="Y386" s="485">
        <f>Fuente!BB390</f>
        <v>0</v>
      </c>
      <c r="Z386" s="485">
        <f>Fuente!BC390</f>
        <v>0</v>
      </c>
      <c r="AA386" s="467">
        <f>Fuente!BD390</f>
        <v>0</v>
      </c>
      <c r="AB386" s="477" t="s">
        <v>49</v>
      </c>
      <c r="AC386" s="477"/>
      <c r="AD386" s="477"/>
      <c r="AE386" s="477"/>
      <c r="AF386" s="482"/>
      <c r="AG386" s="480" t="str">
        <f>Fuente!AB387</f>
        <v>SECRETARIA PRIVADA</v>
      </c>
      <c r="AH386" s="81"/>
      <c r="AI386" s="81"/>
      <c r="AJ386" s="81"/>
    </row>
    <row r="387" spans="1:36" ht="63" x14ac:dyDescent="0.2">
      <c r="A387" s="76">
        <v>4</v>
      </c>
      <c r="B387" s="350" t="s">
        <v>1749</v>
      </c>
      <c r="C387" s="351" t="s">
        <v>1315</v>
      </c>
      <c r="D387" s="350" t="s">
        <v>1817</v>
      </c>
      <c r="E387" s="351" t="s">
        <v>1316</v>
      </c>
      <c r="F387" s="350" t="s">
        <v>1874</v>
      </c>
      <c r="G387" s="352"/>
      <c r="H387" s="352" t="s">
        <v>1317</v>
      </c>
      <c r="I387" s="350" t="s">
        <v>1317</v>
      </c>
      <c r="J387" s="76">
        <v>0</v>
      </c>
      <c r="K387" s="484">
        <v>0.12</v>
      </c>
      <c r="L387" s="486"/>
      <c r="M387" s="350" t="s">
        <v>1324</v>
      </c>
      <c r="N387" s="350" t="s">
        <v>1324</v>
      </c>
      <c r="O387" s="76">
        <v>0</v>
      </c>
      <c r="P387" s="76">
        <v>1</v>
      </c>
      <c r="Q387" s="485">
        <f>Fuente!AT391</f>
        <v>0</v>
      </c>
      <c r="R387" s="485">
        <f>Fuente!AU391</f>
        <v>0</v>
      </c>
      <c r="S387" s="485">
        <f>Fuente!AV391</f>
        <v>0</v>
      </c>
      <c r="T387" s="485">
        <f>Fuente!AW391</f>
        <v>0</v>
      </c>
      <c r="U387" s="467">
        <f>Fuente!AM391</f>
        <v>0</v>
      </c>
      <c r="V387" s="485">
        <f>Fuente!AY391</f>
        <v>0.25</v>
      </c>
      <c r="W387" s="485">
        <f>Fuente!AZ391</f>
        <v>0</v>
      </c>
      <c r="X387" s="485">
        <f>Fuente!BA391</f>
        <v>0</v>
      </c>
      <c r="Y387" s="485">
        <f>Fuente!BB391</f>
        <v>0</v>
      </c>
      <c r="Z387" s="485">
        <f>Fuente!BC391</f>
        <v>0</v>
      </c>
      <c r="AA387" s="467">
        <f>Fuente!BD391</f>
        <v>0</v>
      </c>
      <c r="AB387" s="487" t="s">
        <v>49</v>
      </c>
      <c r="AC387" s="477"/>
      <c r="AD387" s="480" t="s">
        <v>1319</v>
      </c>
      <c r="AE387" s="480" t="s">
        <v>1320</v>
      </c>
      <c r="AF387" s="494">
        <v>17</v>
      </c>
      <c r="AG387" s="480" t="str">
        <f>Fuente!AB388</f>
        <v>SECRETARÍA DE HACIENDA</v>
      </c>
      <c r="AH387" s="81"/>
      <c r="AI387" s="81"/>
      <c r="AJ387" s="81"/>
    </row>
    <row r="388" spans="1:36" ht="63" x14ac:dyDescent="0.2">
      <c r="A388" s="76">
        <v>4</v>
      </c>
      <c r="B388" s="350" t="s">
        <v>1749</v>
      </c>
      <c r="C388" s="351" t="s">
        <v>1315</v>
      </c>
      <c r="D388" s="350" t="s">
        <v>1817</v>
      </c>
      <c r="E388" s="351" t="s">
        <v>1316</v>
      </c>
      <c r="F388" s="350" t="s">
        <v>1874</v>
      </c>
      <c r="G388" s="352"/>
      <c r="H388" s="352" t="s">
        <v>1317</v>
      </c>
      <c r="I388" s="350" t="s">
        <v>1317</v>
      </c>
      <c r="J388" s="76">
        <v>0</v>
      </c>
      <c r="K388" s="484">
        <v>0.12</v>
      </c>
      <c r="L388" s="486"/>
      <c r="M388" s="350" t="s">
        <v>1325</v>
      </c>
      <c r="N388" s="350" t="s">
        <v>1325</v>
      </c>
      <c r="O388" s="76">
        <v>0</v>
      </c>
      <c r="P388" s="76">
        <v>1</v>
      </c>
      <c r="Q388" s="485">
        <f>Fuente!AT392</f>
        <v>0</v>
      </c>
      <c r="R388" s="485">
        <f>Fuente!AU392</f>
        <v>0</v>
      </c>
      <c r="S388" s="485">
        <f>Fuente!AV392</f>
        <v>0</v>
      </c>
      <c r="T388" s="485">
        <f>Fuente!AW392</f>
        <v>0</v>
      </c>
      <c r="U388" s="467">
        <f>Fuente!AM392</f>
        <v>0</v>
      </c>
      <c r="V388" s="485">
        <f>Fuente!AY392</f>
        <v>0.5</v>
      </c>
      <c r="W388" s="485">
        <f>Fuente!AZ392</f>
        <v>0</v>
      </c>
      <c r="X388" s="485">
        <f>Fuente!BA392</f>
        <v>0</v>
      </c>
      <c r="Y388" s="485">
        <f>Fuente!BB392</f>
        <v>0</v>
      </c>
      <c r="Z388" s="485">
        <f>Fuente!BC392</f>
        <v>0</v>
      </c>
      <c r="AA388" s="467">
        <f>Fuente!BD392</f>
        <v>0</v>
      </c>
      <c r="AB388" s="487" t="s">
        <v>49</v>
      </c>
      <c r="AC388" s="477"/>
      <c r="AD388" s="480" t="s">
        <v>1319</v>
      </c>
      <c r="AE388" s="480" t="s">
        <v>1320</v>
      </c>
      <c r="AF388" s="494">
        <v>17</v>
      </c>
      <c r="AG388" s="480" t="str">
        <f>Fuente!AB389</f>
        <v>SECRETARÍA DE HACIENDA</v>
      </c>
      <c r="AH388" s="81"/>
      <c r="AI388" s="81"/>
      <c r="AJ388" s="81"/>
    </row>
    <row r="389" spans="1:36" ht="94.5" x14ac:dyDescent="0.2">
      <c r="A389" s="76">
        <v>4</v>
      </c>
      <c r="B389" s="350" t="s">
        <v>1749</v>
      </c>
      <c r="C389" s="351" t="s">
        <v>1315</v>
      </c>
      <c r="D389" s="350" t="s">
        <v>1817</v>
      </c>
      <c r="E389" s="351" t="s">
        <v>1316</v>
      </c>
      <c r="F389" s="350" t="s">
        <v>1874</v>
      </c>
      <c r="G389" s="352"/>
      <c r="H389" s="352" t="s">
        <v>1317</v>
      </c>
      <c r="I389" s="350" t="s">
        <v>1317</v>
      </c>
      <c r="J389" s="76">
        <v>0</v>
      </c>
      <c r="K389" s="484">
        <v>0.12</v>
      </c>
      <c r="L389" s="486"/>
      <c r="M389" s="350" t="s">
        <v>1326</v>
      </c>
      <c r="N389" s="350" t="s">
        <v>1326</v>
      </c>
      <c r="O389" s="76">
        <v>0</v>
      </c>
      <c r="P389" s="76">
        <v>4</v>
      </c>
      <c r="Q389" s="485">
        <f>Fuente!AT393</f>
        <v>1</v>
      </c>
      <c r="R389" s="485">
        <f>Fuente!AU393</f>
        <v>0</v>
      </c>
      <c r="S389" s="485">
        <f>Fuente!AV393</f>
        <v>0</v>
      </c>
      <c r="T389" s="485">
        <f>Fuente!AW393</f>
        <v>0</v>
      </c>
      <c r="U389" s="467">
        <f>Fuente!AM393</f>
        <v>0.25</v>
      </c>
      <c r="V389" s="485">
        <f>Fuente!AY393</f>
        <v>1</v>
      </c>
      <c r="W389" s="485">
        <f>Fuente!AZ393</f>
        <v>0</v>
      </c>
      <c r="X389" s="485">
        <f>Fuente!BA393</f>
        <v>0</v>
      </c>
      <c r="Y389" s="485">
        <f>Fuente!BB393</f>
        <v>0</v>
      </c>
      <c r="Z389" s="485">
        <f>Fuente!BC393</f>
        <v>0</v>
      </c>
      <c r="AA389" s="467">
        <f>Fuente!BD393</f>
        <v>0</v>
      </c>
      <c r="AB389" s="487" t="s">
        <v>49</v>
      </c>
      <c r="AC389" s="477"/>
      <c r="AD389" s="480" t="s">
        <v>1319</v>
      </c>
      <c r="AE389" s="480" t="s">
        <v>1320</v>
      </c>
      <c r="AF389" s="494">
        <v>17</v>
      </c>
      <c r="AG389" s="480" t="str">
        <f>Fuente!AB390</f>
        <v>SECRETARÍA DE HACIENDA</v>
      </c>
      <c r="AH389" s="81"/>
      <c r="AI389" s="81"/>
      <c r="AJ389" s="81"/>
    </row>
    <row r="390" spans="1:36" ht="63" x14ac:dyDescent="0.2">
      <c r="A390" s="76">
        <v>4</v>
      </c>
      <c r="B390" s="350" t="s">
        <v>1749</v>
      </c>
      <c r="C390" s="351" t="s">
        <v>1315</v>
      </c>
      <c r="D390" s="350" t="s">
        <v>1817</v>
      </c>
      <c r="E390" s="351" t="s">
        <v>1316</v>
      </c>
      <c r="F390" s="350" t="s">
        <v>1874</v>
      </c>
      <c r="G390" s="352"/>
      <c r="H390" s="352" t="s">
        <v>1317</v>
      </c>
      <c r="I390" s="350" t="s">
        <v>1317</v>
      </c>
      <c r="J390" s="76">
        <v>0</v>
      </c>
      <c r="K390" s="484">
        <v>0.12</v>
      </c>
      <c r="L390" s="486"/>
      <c r="M390" s="350" t="s">
        <v>1327</v>
      </c>
      <c r="N390" s="350" t="s">
        <v>1327</v>
      </c>
      <c r="O390" s="76">
        <v>0</v>
      </c>
      <c r="P390" s="76">
        <v>46</v>
      </c>
      <c r="Q390" s="485">
        <f>Fuente!AT394</f>
        <v>0</v>
      </c>
      <c r="R390" s="485">
        <f>Fuente!AU394</f>
        <v>0</v>
      </c>
      <c r="S390" s="485">
        <f>Fuente!AV394</f>
        <v>0</v>
      </c>
      <c r="T390" s="485">
        <f>Fuente!AW394</f>
        <v>0</v>
      </c>
      <c r="U390" s="467">
        <f>Fuente!AM394</f>
        <v>0</v>
      </c>
      <c r="V390" s="485">
        <f>Fuente!AY394</f>
        <v>23</v>
      </c>
      <c r="W390" s="485">
        <f>Fuente!AZ394</f>
        <v>0</v>
      </c>
      <c r="X390" s="485">
        <f>Fuente!BA394</f>
        <v>0</v>
      </c>
      <c r="Y390" s="485">
        <f>Fuente!BB394</f>
        <v>0</v>
      </c>
      <c r="Z390" s="485">
        <f>Fuente!BC394</f>
        <v>0</v>
      </c>
      <c r="AA390" s="467">
        <f>Fuente!BD394</f>
        <v>0</v>
      </c>
      <c r="AB390" s="487" t="s">
        <v>49</v>
      </c>
      <c r="AC390" s="477"/>
      <c r="AD390" s="480" t="s">
        <v>1319</v>
      </c>
      <c r="AE390" s="480">
        <v>99</v>
      </c>
      <c r="AF390" s="494">
        <v>17</v>
      </c>
      <c r="AG390" s="480" t="str">
        <f>Fuente!AB391</f>
        <v>SECRETARÍA DE HACIENDA</v>
      </c>
      <c r="AH390" s="81"/>
      <c r="AI390" s="81"/>
      <c r="AJ390" s="81"/>
    </row>
    <row r="391" spans="1:36" ht="63" x14ac:dyDescent="0.2">
      <c r="A391" s="76">
        <v>4</v>
      </c>
      <c r="B391" s="350" t="s">
        <v>1749</v>
      </c>
      <c r="C391" s="351" t="s">
        <v>1328</v>
      </c>
      <c r="D391" s="503" t="s">
        <v>1329</v>
      </c>
      <c r="E391" s="68" t="s">
        <v>1330</v>
      </c>
      <c r="F391" s="503" t="s">
        <v>1875</v>
      </c>
      <c r="G391" s="504"/>
      <c r="H391" s="66" t="s">
        <v>1331</v>
      </c>
      <c r="I391" s="66" t="s">
        <v>1331</v>
      </c>
      <c r="J391" s="68">
        <v>0</v>
      </c>
      <c r="K391" s="68">
        <v>50</v>
      </c>
      <c r="L391" s="504"/>
      <c r="M391" s="66" t="s">
        <v>1332</v>
      </c>
      <c r="N391" s="66" t="s">
        <v>1332</v>
      </c>
      <c r="O391" s="68">
        <v>0</v>
      </c>
      <c r="P391" s="68">
        <v>1</v>
      </c>
      <c r="Q391" s="485">
        <f>Fuente!AT395</f>
        <v>0</v>
      </c>
      <c r="R391" s="485">
        <f>Fuente!AU395</f>
        <v>0</v>
      </c>
      <c r="S391" s="485">
        <f>Fuente!AV395</f>
        <v>0</v>
      </c>
      <c r="T391" s="485">
        <f>Fuente!AW395</f>
        <v>0</v>
      </c>
      <c r="U391" s="467">
        <f>Fuente!AM395</f>
        <v>0</v>
      </c>
      <c r="V391" s="485">
        <f>Fuente!AY395</f>
        <v>1</v>
      </c>
      <c r="W391" s="485">
        <f>Fuente!AZ395</f>
        <v>0</v>
      </c>
      <c r="X391" s="485">
        <f>Fuente!BA395</f>
        <v>0</v>
      </c>
      <c r="Y391" s="485">
        <f>Fuente!BB395</f>
        <v>0</v>
      </c>
      <c r="Z391" s="485">
        <f>Fuente!BC395</f>
        <v>0</v>
      </c>
      <c r="AA391" s="467">
        <f>Fuente!BD395</f>
        <v>0</v>
      </c>
      <c r="AB391" s="487" t="s">
        <v>49</v>
      </c>
      <c r="AC391" s="477"/>
      <c r="AD391" s="480" t="s">
        <v>1319</v>
      </c>
      <c r="AE391" s="480">
        <v>99</v>
      </c>
      <c r="AF391" s="494">
        <v>17</v>
      </c>
      <c r="AG391" s="480" t="str">
        <f>Fuente!AB392</f>
        <v>SECRETARÍA DE HACIENDA</v>
      </c>
      <c r="AH391" s="81"/>
      <c r="AI391" s="81"/>
      <c r="AJ391" s="81"/>
    </row>
    <row r="392" spans="1:36" ht="63" x14ac:dyDescent="0.2">
      <c r="A392" s="76">
        <v>4</v>
      </c>
      <c r="B392" s="350" t="s">
        <v>1749</v>
      </c>
      <c r="C392" s="351" t="s">
        <v>1328</v>
      </c>
      <c r="D392" s="503" t="s">
        <v>1329</v>
      </c>
      <c r="E392" s="68" t="s">
        <v>1330</v>
      </c>
      <c r="F392" s="503" t="s">
        <v>1875</v>
      </c>
      <c r="G392" s="504"/>
      <c r="H392" s="66" t="s">
        <v>1331</v>
      </c>
      <c r="I392" s="66" t="s">
        <v>1331</v>
      </c>
      <c r="J392" s="68">
        <v>0</v>
      </c>
      <c r="K392" s="68">
        <v>50</v>
      </c>
      <c r="L392" s="504"/>
      <c r="M392" s="66" t="s">
        <v>1334</v>
      </c>
      <c r="N392" s="66" t="s">
        <v>1334</v>
      </c>
      <c r="O392" s="68">
        <v>100</v>
      </c>
      <c r="P392" s="68">
        <v>100</v>
      </c>
      <c r="Q392" s="485">
        <f>Fuente!AT396</f>
        <v>0</v>
      </c>
      <c r="R392" s="485">
        <f>Fuente!AU396</f>
        <v>0</v>
      </c>
      <c r="S392" s="485">
        <f>Fuente!AV396</f>
        <v>0</v>
      </c>
      <c r="T392" s="485">
        <f>Fuente!AW396</f>
        <v>0</v>
      </c>
      <c r="U392" s="467">
        <f>Fuente!AM396</f>
        <v>0</v>
      </c>
      <c r="V392" s="485">
        <f>Fuente!AY396</f>
        <v>30</v>
      </c>
      <c r="W392" s="485">
        <f>Fuente!AZ396</f>
        <v>0</v>
      </c>
      <c r="X392" s="485">
        <f>Fuente!BA396</f>
        <v>0</v>
      </c>
      <c r="Y392" s="485">
        <f>Fuente!BB396</f>
        <v>0</v>
      </c>
      <c r="Z392" s="485">
        <f>Fuente!BC396</f>
        <v>0</v>
      </c>
      <c r="AA392" s="467">
        <f>Fuente!BD396</f>
        <v>0</v>
      </c>
      <c r="AB392" s="487" t="s">
        <v>49</v>
      </c>
      <c r="AC392" s="477"/>
      <c r="AD392" s="480" t="s">
        <v>1319</v>
      </c>
      <c r="AE392" s="480">
        <v>99</v>
      </c>
      <c r="AF392" s="494">
        <v>17</v>
      </c>
      <c r="AG392" s="480" t="str">
        <f>Fuente!AB393</f>
        <v>SECRETARÍA DE HACIENDA</v>
      </c>
      <c r="AH392" s="81"/>
      <c r="AI392" s="81"/>
      <c r="AJ392" s="81"/>
    </row>
    <row r="393" spans="1:36" ht="78.75" x14ac:dyDescent="0.2">
      <c r="A393" s="76">
        <v>4</v>
      </c>
      <c r="B393" s="350" t="s">
        <v>1749</v>
      </c>
      <c r="C393" s="351" t="s">
        <v>1328</v>
      </c>
      <c r="D393" s="503" t="s">
        <v>1329</v>
      </c>
      <c r="E393" s="68" t="s">
        <v>1330</v>
      </c>
      <c r="F393" s="503" t="s">
        <v>1875</v>
      </c>
      <c r="G393" s="504"/>
      <c r="H393" s="66" t="s">
        <v>1331</v>
      </c>
      <c r="I393" s="66" t="s">
        <v>1331</v>
      </c>
      <c r="J393" s="68">
        <v>0</v>
      </c>
      <c r="K393" s="68">
        <v>50</v>
      </c>
      <c r="L393" s="504"/>
      <c r="M393" s="66" t="s">
        <v>1337</v>
      </c>
      <c r="N393" s="66" t="s">
        <v>1337</v>
      </c>
      <c r="O393" s="68">
        <v>50</v>
      </c>
      <c r="P393" s="68">
        <v>80</v>
      </c>
      <c r="Q393" s="485">
        <f>Fuente!AT397</f>
        <v>25</v>
      </c>
      <c r="R393" s="485">
        <f>Fuente!AU397</f>
        <v>0</v>
      </c>
      <c r="S393" s="485">
        <f>Fuente!AV397</f>
        <v>0</v>
      </c>
      <c r="T393" s="485">
        <f>Fuente!AW397</f>
        <v>0</v>
      </c>
      <c r="U393" s="467">
        <f>Fuente!AM397</f>
        <v>0.25</v>
      </c>
      <c r="V393" s="485">
        <f>Fuente!AY397</f>
        <v>25</v>
      </c>
      <c r="W393" s="485">
        <f>Fuente!AZ397</f>
        <v>5</v>
      </c>
      <c r="X393" s="485">
        <f>Fuente!BA397</f>
        <v>0</v>
      </c>
      <c r="Y393" s="485">
        <f>Fuente!BB397</f>
        <v>0</v>
      </c>
      <c r="Z393" s="485">
        <f>Fuente!BC397</f>
        <v>0</v>
      </c>
      <c r="AA393" s="467">
        <f>Fuente!BD397</f>
        <v>0.2</v>
      </c>
      <c r="AB393" s="487" t="s">
        <v>49</v>
      </c>
      <c r="AC393" s="477"/>
      <c r="AD393" s="480" t="s">
        <v>1319</v>
      </c>
      <c r="AE393" s="480">
        <v>99</v>
      </c>
      <c r="AF393" s="494">
        <v>17</v>
      </c>
      <c r="AG393" s="480" t="str">
        <f>Fuente!AB394</f>
        <v>SECRETARÍA DE HACIENDA</v>
      </c>
      <c r="AH393" s="81"/>
      <c r="AI393" s="81"/>
      <c r="AJ393" s="81"/>
    </row>
    <row r="394" spans="1:36" ht="63" x14ac:dyDescent="0.2">
      <c r="A394" s="76">
        <v>4</v>
      </c>
      <c r="B394" s="350" t="s">
        <v>1749</v>
      </c>
      <c r="C394" s="351" t="s">
        <v>1328</v>
      </c>
      <c r="D394" s="503" t="s">
        <v>1329</v>
      </c>
      <c r="E394" s="68" t="s">
        <v>1330</v>
      </c>
      <c r="F394" s="503" t="s">
        <v>1875</v>
      </c>
      <c r="G394" s="504"/>
      <c r="H394" s="66" t="s">
        <v>1331</v>
      </c>
      <c r="I394" s="66" t="s">
        <v>1331</v>
      </c>
      <c r="J394" s="68">
        <v>0</v>
      </c>
      <c r="K394" s="68">
        <v>50</v>
      </c>
      <c r="L394" s="504"/>
      <c r="M394" s="66" t="s">
        <v>1338</v>
      </c>
      <c r="N394" s="66" t="s">
        <v>1338</v>
      </c>
      <c r="O394" s="68">
        <v>4</v>
      </c>
      <c r="P394" s="68">
        <v>4</v>
      </c>
      <c r="Q394" s="485">
        <f>Fuente!AT398</f>
        <v>1</v>
      </c>
      <c r="R394" s="485">
        <f>Fuente!AU398</f>
        <v>0</v>
      </c>
      <c r="S394" s="485">
        <f>Fuente!AV398</f>
        <v>0</v>
      </c>
      <c r="T394" s="485">
        <f>Fuente!AW398</f>
        <v>0</v>
      </c>
      <c r="U394" s="467">
        <f>Fuente!AM398</f>
        <v>0.25</v>
      </c>
      <c r="V394" s="485">
        <f>Fuente!AY398</f>
        <v>1</v>
      </c>
      <c r="W394" s="485">
        <f>Fuente!AZ398</f>
        <v>0</v>
      </c>
      <c r="X394" s="485">
        <f>Fuente!BA398</f>
        <v>0</v>
      </c>
      <c r="Y394" s="485">
        <f>Fuente!BB398</f>
        <v>0</v>
      </c>
      <c r="Z394" s="485">
        <f>Fuente!BC398</f>
        <v>0</v>
      </c>
      <c r="AA394" s="467">
        <f>Fuente!BD398</f>
        <v>0</v>
      </c>
      <c r="AB394" s="505" t="s">
        <v>203</v>
      </c>
      <c r="AC394" s="506" t="s">
        <v>1212</v>
      </c>
      <c r="AD394" s="505">
        <v>45</v>
      </c>
      <c r="AE394" s="505"/>
      <c r="AF394" s="507" t="s">
        <v>1333</v>
      </c>
      <c r="AG394" s="480" t="str">
        <f>Fuente!AB395</f>
        <v>SECRETARÍA DEL INTERIOR</v>
      </c>
      <c r="AH394" s="97"/>
      <c r="AI394" s="97"/>
      <c r="AJ394" s="97"/>
    </row>
    <row r="395" spans="1:36" ht="94.5" x14ac:dyDescent="0.2">
      <c r="A395" s="76">
        <v>4</v>
      </c>
      <c r="B395" s="350" t="s">
        <v>1749</v>
      </c>
      <c r="C395" s="351" t="s">
        <v>1328</v>
      </c>
      <c r="D395" s="350" t="s">
        <v>1339</v>
      </c>
      <c r="E395" s="351" t="s">
        <v>1340</v>
      </c>
      <c r="F395" s="350" t="s">
        <v>1876</v>
      </c>
      <c r="G395" s="351"/>
      <c r="H395" s="351" t="s">
        <v>1341</v>
      </c>
      <c r="I395" s="351" t="s">
        <v>1341</v>
      </c>
      <c r="J395" s="76">
        <v>45</v>
      </c>
      <c r="K395" s="76">
        <v>45</v>
      </c>
      <c r="L395" s="353"/>
      <c r="M395" s="350" t="s">
        <v>1342</v>
      </c>
      <c r="N395" s="350" t="s">
        <v>1342</v>
      </c>
      <c r="O395" s="76">
        <v>0</v>
      </c>
      <c r="P395" s="76">
        <v>40</v>
      </c>
      <c r="Q395" s="485">
        <f>Fuente!AT399</f>
        <v>10</v>
      </c>
      <c r="R395" s="485">
        <f>Fuente!AU399</f>
        <v>0</v>
      </c>
      <c r="S395" s="485">
        <f>Fuente!AV399</f>
        <v>0</v>
      </c>
      <c r="T395" s="485">
        <f>Fuente!AW399</f>
        <v>0</v>
      </c>
      <c r="U395" s="467">
        <f>Fuente!AM399</f>
        <v>0.25</v>
      </c>
      <c r="V395" s="485">
        <f>Fuente!AY399</f>
        <v>10</v>
      </c>
      <c r="W395" s="485">
        <f>Fuente!AZ399</f>
        <v>0</v>
      </c>
      <c r="X395" s="485">
        <f>Fuente!BA399</f>
        <v>0</v>
      </c>
      <c r="Y395" s="485">
        <f>Fuente!BB399</f>
        <v>0</v>
      </c>
      <c r="Z395" s="485">
        <f>Fuente!BC399</f>
        <v>0</v>
      </c>
      <c r="AA395" s="467">
        <f>Fuente!BD399</f>
        <v>0</v>
      </c>
      <c r="AB395" s="505" t="s">
        <v>1335</v>
      </c>
      <c r="AC395" s="506" t="s">
        <v>1212</v>
      </c>
      <c r="AD395" s="505">
        <v>45</v>
      </c>
      <c r="AE395" s="505"/>
      <c r="AF395" s="507" t="s">
        <v>1336</v>
      </c>
      <c r="AG395" s="480" t="str">
        <f>Fuente!AB396</f>
        <v>SECRETARÍA DEL INTERIOR</v>
      </c>
      <c r="AH395" s="97"/>
      <c r="AI395" s="97"/>
      <c r="AJ395" s="97"/>
    </row>
    <row r="396" spans="1:36" ht="94.5" x14ac:dyDescent="0.2">
      <c r="A396" s="76">
        <v>4</v>
      </c>
      <c r="B396" s="350" t="s">
        <v>1749</v>
      </c>
      <c r="C396" s="351" t="s">
        <v>1328</v>
      </c>
      <c r="D396" s="350" t="s">
        <v>1339</v>
      </c>
      <c r="E396" s="351" t="s">
        <v>1340</v>
      </c>
      <c r="F396" s="350" t="s">
        <v>1876</v>
      </c>
      <c r="G396" s="351"/>
      <c r="H396" s="351" t="s">
        <v>1341</v>
      </c>
      <c r="I396" s="351" t="s">
        <v>1341</v>
      </c>
      <c r="J396" s="76">
        <v>45</v>
      </c>
      <c r="K396" s="76">
        <v>45</v>
      </c>
      <c r="L396" s="353"/>
      <c r="M396" s="350" t="s">
        <v>1343</v>
      </c>
      <c r="N396" s="350" t="s">
        <v>1343</v>
      </c>
      <c r="O396" s="76" t="s">
        <v>868</v>
      </c>
      <c r="P396" s="76">
        <v>1000</v>
      </c>
      <c r="Q396" s="485">
        <f>Fuente!AT400</f>
        <v>100</v>
      </c>
      <c r="R396" s="485">
        <f>Fuente!AU400</f>
        <v>0</v>
      </c>
      <c r="S396" s="485">
        <f>Fuente!AV400</f>
        <v>0</v>
      </c>
      <c r="T396" s="485">
        <f>Fuente!AW400</f>
        <v>0</v>
      </c>
      <c r="U396" s="467">
        <f>Fuente!AM400</f>
        <v>0.1</v>
      </c>
      <c r="V396" s="485">
        <f>Fuente!AY400</f>
        <v>1000</v>
      </c>
      <c r="W396" s="485">
        <f>Fuente!AZ400</f>
        <v>0</v>
      </c>
      <c r="X396" s="485">
        <f>Fuente!BA400</f>
        <v>0</v>
      </c>
      <c r="Y396" s="485">
        <f>Fuente!BB400</f>
        <v>0</v>
      </c>
      <c r="Z396" s="485">
        <f>Fuente!BC400</f>
        <v>0</v>
      </c>
      <c r="AA396" s="467">
        <f>Fuente!BD400</f>
        <v>0</v>
      </c>
      <c r="AB396" s="505" t="s">
        <v>203</v>
      </c>
      <c r="AC396" s="506" t="s">
        <v>1212</v>
      </c>
      <c r="AD396" s="505">
        <v>45</v>
      </c>
      <c r="AE396" s="505"/>
      <c r="AF396" s="507" t="s">
        <v>1333</v>
      </c>
      <c r="AG396" s="480" t="str">
        <f>Fuente!AB397</f>
        <v>SECRETARÍA DEL INTERIOR</v>
      </c>
      <c r="AH396" s="97"/>
      <c r="AI396" s="97"/>
      <c r="AJ396" s="97"/>
    </row>
    <row r="397" spans="1:36" ht="94.5" x14ac:dyDescent="0.2">
      <c r="A397" s="76">
        <v>4</v>
      </c>
      <c r="B397" s="350" t="s">
        <v>1749</v>
      </c>
      <c r="C397" s="351" t="s">
        <v>1328</v>
      </c>
      <c r="D397" s="350" t="s">
        <v>1339</v>
      </c>
      <c r="E397" s="351" t="s">
        <v>1340</v>
      </c>
      <c r="F397" s="350" t="s">
        <v>1876</v>
      </c>
      <c r="G397" s="351"/>
      <c r="H397" s="351" t="s">
        <v>1341</v>
      </c>
      <c r="I397" s="351" t="s">
        <v>1341</v>
      </c>
      <c r="J397" s="76">
        <v>45</v>
      </c>
      <c r="K397" s="76">
        <v>45</v>
      </c>
      <c r="L397" s="353"/>
      <c r="M397" s="350" t="s">
        <v>1344</v>
      </c>
      <c r="N397" s="350" t="s">
        <v>1344</v>
      </c>
      <c r="O397" s="76">
        <v>0</v>
      </c>
      <c r="P397" s="76">
        <v>1</v>
      </c>
      <c r="Q397" s="485">
        <f>Fuente!AT401</f>
        <v>0</v>
      </c>
      <c r="R397" s="485">
        <f>Fuente!AU401</f>
        <v>0</v>
      </c>
      <c r="S397" s="485">
        <f>Fuente!AV401</f>
        <v>0</v>
      </c>
      <c r="T397" s="485">
        <f>Fuente!AW401</f>
        <v>0</v>
      </c>
      <c r="U397" s="467">
        <f>Fuente!AM401</f>
        <v>0</v>
      </c>
      <c r="V397" s="485" t="str">
        <f>Fuente!AY401</f>
        <v>NP</v>
      </c>
      <c r="W397" s="485">
        <f>Fuente!AZ401</f>
        <v>0</v>
      </c>
      <c r="X397" s="485">
        <f>Fuente!BA401</f>
        <v>0</v>
      </c>
      <c r="Y397" s="485">
        <f>Fuente!BB401</f>
        <v>0</v>
      </c>
      <c r="Z397" s="485">
        <f>Fuente!BC401</f>
        <v>0</v>
      </c>
      <c r="AA397" s="467" t="str">
        <f>Fuente!BD401</f>
        <v>NP</v>
      </c>
      <c r="AB397" s="505" t="s">
        <v>1335</v>
      </c>
      <c r="AC397" s="506" t="s">
        <v>1212</v>
      </c>
      <c r="AD397" s="505">
        <v>45</v>
      </c>
      <c r="AE397" s="505"/>
      <c r="AF397" s="507" t="s">
        <v>1333</v>
      </c>
      <c r="AG397" s="480" t="str">
        <f>Fuente!AB398</f>
        <v>SECRETARÍA DEL INTERIOR</v>
      </c>
      <c r="AH397" s="97"/>
      <c r="AI397" s="97"/>
      <c r="AJ397" s="97"/>
    </row>
    <row r="398" spans="1:36" ht="63" x14ac:dyDescent="0.2">
      <c r="A398" s="76">
        <v>4</v>
      </c>
      <c r="B398" s="350" t="s">
        <v>1749</v>
      </c>
      <c r="C398" s="351" t="s">
        <v>1328</v>
      </c>
      <c r="D398" s="350" t="s">
        <v>1339</v>
      </c>
      <c r="E398" s="351" t="s">
        <v>1345</v>
      </c>
      <c r="F398" s="350" t="s">
        <v>1877</v>
      </c>
      <c r="G398" s="351"/>
      <c r="H398" s="351" t="s">
        <v>1346</v>
      </c>
      <c r="I398" s="351" t="s">
        <v>1346</v>
      </c>
      <c r="J398" s="76">
        <v>45</v>
      </c>
      <c r="K398" s="76">
        <v>45</v>
      </c>
      <c r="L398" s="353"/>
      <c r="M398" s="350" t="s">
        <v>1347</v>
      </c>
      <c r="N398" s="350" t="s">
        <v>1348</v>
      </c>
      <c r="O398" s="76">
        <v>1</v>
      </c>
      <c r="P398" s="76">
        <v>2</v>
      </c>
      <c r="Q398" s="485">
        <f>Fuente!AT402</f>
        <v>1</v>
      </c>
      <c r="R398" s="485">
        <f>Fuente!AU402</f>
        <v>0</v>
      </c>
      <c r="S398" s="485">
        <f>Fuente!AV402</f>
        <v>0</v>
      </c>
      <c r="T398" s="485">
        <f>Fuente!AW402</f>
        <v>0</v>
      </c>
      <c r="U398" s="467">
        <f>Fuente!AM402</f>
        <v>0.5</v>
      </c>
      <c r="V398" s="485" t="str">
        <f>Fuente!AY402</f>
        <v>NP</v>
      </c>
      <c r="W398" s="485">
        <f>Fuente!AZ402</f>
        <v>0</v>
      </c>
      <c r="X398" s="485">
        <f>Fuente!BA402</f>
        <v>0</v>
      </c>
      <c r="Y398" s="485">
        <f>Fuente!BB402</f>
        <v>0</v>
      </c>
      <c r="Z398" s="485">
        <f>Fuente!BC402</f>
        <v>0</v>
      </c>
      <c r="AA398" s="467" t="str">
        <f>Fuente!BD402</f>
        <v>NP</v>
      </c>
      <c r="AB398" s="477" t="s">
        <v>203</v>
      </c>
      <c r="AC398" s="477"/>
      <c r="AD398" s="480" t="s">
        <v>1212</v>
      </c>
      <c r="AE398" s="477">
        <v>45</v>
      </c>
      <c r="AF398" s="482">
        <v>10</v>
      </c>
      <c r="AG398" s="480" t="str">
        <f>Fuente!AB399</f>
        <v>SECRETARÍA DEL INTERIOR</v>
      </c>
      <c r="AH398" s="81"/>
      <c r="AI398" s="81"/>
      <c r="AJ398" s="81"/>
    </row>
    <row r="399" spans="1:36" ht="63" x14ac:dyDescent="0.2">
      <c r="A399" s="76">
        <v>4</v>
      </c>
      <c r="B399" s="350" t="s">
        <v>1749</v>
      </c>
      <c r="C399" s="351" t="s">
        <v>1328</v>
      </c>
      <c r="D399" s="350" t="s">
        <v>1339</v>
      </c>
      <c r="E399" s="351" t="s">
        <v>1349</v>
      </c>
      <c r="F399" s="350" t="s">
        <v>1878</v>
      </c>
      <c r="G399" s="351"/>
      <c r="H399" s="351" t="s">
        <v>1350</v>
      </c>
      <c r="I399" s="351" t="s">
        <v>1350</v>
      </c>
      <c r="J399" s="76">
        <v>0</v>
      </c>
      <c r="K399" s="484">
        <v>0.6</v>
      </c>
      <c r="L399" s="486"/>
      <c r="M399" s="350" t="s">
        <v>1351</v>
      </c>
      <c r="N399" s="350" t="s">
        <v>1351</v>
      </c>
      <c r="O399" s="76" t="s">
        <v>868</v>
      </c>
      <c r="P399" s="76">
        <v>1</v>
      </c>
      <c r="Q399" s="485">
        <f>Fuente!AT403</f>
        <v>0</v>
      </c>
      <c r="R399" s="485">
        <f>Fuente!AU403</f>
        <v>0</v>
      </c>
      <c r="S399" s="485">
        <f>Fuente!AV403</f>
        <v>0</v>
      </c>
      <c r="T399" s="485">
        <f>Fuente!AW403</f>
        <v>0</v>
      </c>
      <c r="U399" s="467">
        <f>Fuente!AM403</f>
        <v>0</v>
      </c>
      <c r="V399" s="485">
        <f>Fuente!AY403</f>
        <v>1</v>
      </c>
      <c r="W399" s="485">
        <f>Fuente!AZ403</f>
        <v>0</v>
      </c>
      <c r="X399" s="485">
        <f>Fuente!BA403</f>
        <v>0</v>
      </c>
      <c r="Y399" s="485">
        <f>Fuente!BB403</f>
        <v>0</v>
      </c>
      <c r="Z399" s="485">
        <f>Fuente!BC403</f>
        <v>0</v>
      </c>
      <c r="AA399" s="467">
        <f>Fuente!BD403</f>
        <v>0</v>
      </c>
      <c r="AB399" s="477" t="s">
        <v>203</v>
      </c>
      <c r="AC399" s="477"/>
      <c r="AD399" s="480" t="s">
        <v>1212</v>
      </c>
      <c r="AE399" s="477">
        <v>45</v>
      </c>
      <c r="AF399" s="482">
        <v>10</v>
      </c>
      <c r="AG399" s="480" t="str">
        <f>Fuente!AB400</f>
        <v>SECRETARÍA DEL INTERIOR</v>
      </c>
      <c r="AH399" s="81"/>
      <c r="AI399" s="81"/>
      <c r="AJ399" s="81"/>
    </row>
    <row r="400" spans="1:36" ht="78.75" x14ac:dyDescent="0.2">
      <c r="A400" s="76">
        <v>4</v>
      </c>
      <c r="B400" s="350" t="s">
        <v>1749</v>
      </c>
      <c r="C400" s="351" t="s">
        <v>1328</v>
      </c>
      <c r="D400" s="350" t="s">
        <v>1339</v>
      </c>
      <c r="E400" s="351" t="s">
        <v>1349</v>
      </c>
      <c r="F400" s="350" t="s">
        <v>1878</v>
      </c>
      <c r="G400" s="351"/>
      <c r="H400" s="351" t="s">
        <v>1350</v>
      </c>
      <c r="I400" s="351" t="s">
        <v>1350</v>
      </c>
      <c r="J400" s="76">
        <v>0</v>
      </c>
      <c r="K400" s="484">
        <v>0.6</v>
      </c>
      <c r="L400" s="486"/>
      <c r="M400" s="350" t="s">
        <v>1352</v>
      </c>
      <c r="N400" s="350" t="s">
        <v>1352</v>
      </c>
      <c r="O400" s="76">
        <v>1</v>
      </c>
      <c r="P400" s="76">
        <v>4</v>
      </c>
      <c r="Q400" s="485">
        <f>Fuente!AT404</f>
        <v>0</v>
      </c>
      <c r="R400" s="485">
        <f>Fuente!AU404</f>
        <v>0</v>
      </c>
      <c r="S400" s="485">
        <f>Fuente!AV404</f>
        <v>0</v>
      </c>
      <c r="T400" s="485">
        <f>Fuente!AW404</f>
        <v>0</v>
      </c>
      <c r="U400" s="467">
        <f>Fuente!AM404</f>
        <v>0</v>
      </c>
      <c r="V400" s="485">
        <f>Fuente!AY404</f>
        <v>1</v>
      </c>
      <c r="W400" s="485">
        <f>Fuente!AZ404</f>
        <v>0</v>
      </c>
      <c r="X400" s="485">
        <f>Fuente!BA404</f>
        <v>0</v>
      </c>
      <c r="Y400" s="485">
        <f>Fuente!BB404</f>
        <v>0</v>
      </c>
      <c r="Z400" s="485">
        <f>Fuente!BC404</f>
        <v>0</v>
      </c>
      <c r="AA400" s="467">
        <f>Fuente!BD404</f>
        <v>0</v>
      </c>
      <c r="AB400" s="477" t="s">
        <v>203</v>
      </c>
      <c r="AC400" s="477"/>
      <c r="AD400" s="480" t="s">
        <v>1212</v>
      </c>
      <c r="AE400" s="477">
        <v>45</v>
      </c>
      <c r="AF400" s="482">
        <v>10</v>
      </c>
      <c r="AG400" s="480" t="str">
        <f>Fuente!AB401</f>
        <v>SECRETARÍA DEL INTERIOR</v>
      </c>
      <c r="AH400" s="81"/>
      <c r="AI400" s="81"/>
      <c r="AJ400" s="81"/>
    </row>
    <row r="401" spans="1:36" ht="63" x14ac:dyDescent="0.2">
      <c r="A401" s="76">
        <v>4</v>
      </c>
      <c r="B401" s="350" t="s">
        <v>1749</v>
      </c>
      <c r="C401" s="351" t="s">
        <v>1328</v>
      </c>
      <c r="D401" s="350" t="s">
        <v>1339</v>
      </c>
      <c r="E401" s="351" t="s">
        <v>1349</v>
      </c>
      <c r="F401" s="350" t="s">
        <v>1878</v>
      </c>
      <c r="G401" s="351"/>
      <c r="H401" s="351" t="s">
        <v>1350</v>
      </c>
      <c r="I401" s="351" t="s">
        <v>1350</v>
      </c>
      <c r="J401" s="76">
        <v>0</v>
      </c>
      <c r="K401" s="484">
        <v>0.6</v>
      </c>
      <c r="L401" s="486"/>
      <c r="M401" s="350" t="s">
        <v>1353</v>
      </c>
      <c r="N401" s="350" t="s">
        <v>1353</v>
      </c>
      <c r="O401" s="76">
        <v>0</v>
      </c>
      <c r="P401" s="76">
        <v>1</v>
      </c>
      <c r="Q401" s="485">
        <f>Fuente!AT405</f>
        <v>0</v>
      </c>
      <c r="R401" s="485">
        <f>Fuente!AU405</f>
        <v>0</v>
      </c>
      <c r="S401" s="485">
        <f>Fuente!AV405</f>
        <v>0</v>
      </c>
      <c r="T401" s="485">
        <f>Fuente!AW405</f>
        <v>0</v>
      </c>
      <c r="U401" s="467">
        <f>Fuente!AM405</f>
        <v>0</v>
      </c>
      <c r="V401" s="485">
        <f>Fuente!AY405</f>
        <v>1</v>
      </c>
      <c r="W401" s="485">
        <f>Fuente!AZ405</f>
        <v>0</v>
      </c>
      <c r="X401" s="485">
        <f>Fuente!BA405</f>
        <v>0</v>
      </c>
      <c r="Y401" s="485">
        <f>Fuente!BB405</f>
        <v>0</v>
      </c>
      <c r="Z401" s="485">
        <f>Fuente!BC405</f>
        <v>0</v>
      </c>
      <c r="AA401" s="467">
        <f>Fuente!BD405</f>
        <v>0</v>
      </c>
      <c r="AB401" s="477" t="s">
        <v>203</v>
      </c>
      <c r="AC401" s="477"/>
      <c r="AD401" s="480" t="s">
        <v>1212</v>
      </c>
      <c r="AE401" s="477">
        <v>45</v>
      </c>
      <c r="AF401" s="482">
        <v>16</v>
      </c>
      <c r="AG401" s="480" t="str">
        <f>Fuente!AB402</f>
        <v>SECRETARÍA DEL INTERIOR</v>
      </c>
      <c r="AH401" s="81"/>
      <c r="AI401" s="81"/>
      <c r="AJ401" s="81"/>
    </row>
    <row r="402" spans="1:36" ht="63" x14ac:dyDescent="0.2">
      <c r="A402" s="76">
        <v>5</v>
      </c>
      <c r="B402" s="350" t="s">
        <v>1750</v>
      </c>
      <c r="C402" s="351" t="s">
        <v>1354</v>
      </c>
      <c r="D402" s="350" t="s">
        <v>1355</v>
      </c>
      <c r="E402" s="351" t="s">
        <v>1356</v>
      </c>
      <c r="F402" s="350" t="s">
        <v>1357</v>
      </c>
      <c r="G402" s="466"/>
      <c r="H402" s="352" t="s">
        <v>93</v>
      </c>
      <c r="I402" s="350" t="s">
        <v>1358</v>
      </c>
      <c r="J402" s="351" t="s">
        <v>55</v>
      </c>
      <c r="K402" s="76">
        <v>100</v>
      </c>
      <c r="L402" s="353"/>
      <c r="M402" s="350" t="s">
        <v>1359</v>
      </c>
      <c r="N402" s="350" t="s">
        <v>1360</v>
      </c>
      <c r="O402" s="76" t="s">
        <v>55</v>
      </c>
      <c r="P402" s="76">
        <v>22</v>
      </c>
      <c r="Q402" s="485">
        <f>Fuente!AT406</f>
        <v>0</v>
      </c>
      <c r="R402" s="485">
        <f>Fuente!AU406</f>
        <v>0</v>
      </c>
      <c r="S402" s="485">
        <f>Fuente!AV406</f>
        <v>0</v>
      </c>
      <c r="T402" s="485">
        <f>Fuente!AW406</f>
        <v>0</v>
      </c>
      <c r="U402" s="467">
        <f>Fuente!AM406</f>
        <v>0</v>
      </c>
      <c r="V402" s="485">
        <f>Fuente!AY406</f>
        <v>5</v>
      </c>
      <c r="W402" s="485">
        <f>Fuente!AZ406</f>
        <v>0</v>
      </c>
      <c r="X402" s="485">
        <f>Fuente!BA406</f>
        <v>0</v>
      </c>
      <c r="Y402" s="485">
        <f>Fuente!BB406</f>
        <v>0</v>
      </c>
      <c r="Z402" s="485">
        <f>Fuente!BC406</f>
        <v>0</v>
      </c>
      <c r="AA402" s="467">
        <f>Fuente!BD406</f>
        <v>0</v>
      </c>
      <c r="AB402" s="477" t="s">
        <v>203</v>
      </c>
      <c r="AC402" s="477"/>
      <c r="AD402" s="480" t="s">
        <v>1212</v>
      </c>
      <c r="AE402" s="477">
        <v>45</v>
      </c>
      <c r="AF402" s="482">
        <v>16</v>
      </c>
      <c r="AG402" s="480" t="str">
        <f>Fuente!AB403</f>
        <v>SECRETARÍA DEL INTERIOR</v>
      </c>
      <c r="AH402" s="81"/>
      <c r="AI402" s="81"/>
      <c r="AJ402" s="81"/>
    </row>
    <row r="403" spans="1:36" ht="63" x14ac:dyDescent="0.2">
      <c r="A403" s="76">
        <v>5</v>
      </c>
      <c r="B403" s="350" t="s">
        <v>1750</v>
      </c>
      <c r="C403" s="351" t="s">
        <v>1354</v>
      </c>
      <c r="D403" s="350" t="s">
        <v>1355</v>
      </c>
      <c r="E403" s="351" t="s">
        <v>1356</v>
      </c>
      <c r="F403" s="350" t="s">
        <v>1357</v>
      </c>
      <c r="G403" s="466"/>
      <c r="H403" s="352" t="s">
        <v>93</v>
      </c>
      <c r="I403" s="350" t="s">
        <v>1358</v>
      </c>
      <c r="J403" s="351" t="s">
        <v>55</v>
      </c>
      <c r="K403" s="76">
        <v>100</v>
      </c>
      <c r="L403" s="353"/>
      <c r="M403" s="350" t="s">
        <v>1361</v>
      </c>
      <c r="N403" s="350" t="s">
        <v>1361</v>
      </c>
      <c r="O403" s="76" t="s">
        <v>55</v>
      </c>
      <c r="P403" s="76">
        <v>100</v>
      </c>
      <c r="Q403" s="485">
        <f>Fuente!AT407</f>
        <v>0</v>
      </c>
      <c r="R403" s="485">
        <f>Fuente!AU407</f>
        <v>0</v>
      </c>
      <c r="S403" s="485">
        <f>Fuente!AV407</f>
        <v>0</v>
      </c>
      <c r="T403" s="485">
        <f>Fuente!AW407</f>
        <v>0</v>
      </c>
      <c r="U403" s="467">
        <f>Fuente!AM407</f>
        <v>0</v>
      </c>
      <c r="V403" s="485">
        <f>Fuente!AY407</f>
        <v>20</v>
      </c>
      <c r="W403" s="485">
        <f>Fuente!AZ407</f>
        <v>0</v>
      </c>
      <c r="X403" s="485">
        <f>Fuente!BA407</f>
        <v>0</v>
      </c>
      <c r="Y403" s="485">
        <f>Fuente!BB407</f>
        <v>0</v>
      </c>
      <c r="Z403" s="485">
        <f>Fuente!BC407</f>
        <v>0</v>
      </c>
      <c r="AA403" s="467">
        <f>Fuente!BD407</f>
        <v>0</v>
      </c>
      <c r="AB403" s="477" t="s">
        <v>203</v>
      </c>
      <c r="AC403" s="477"/>
      <c r="AD403" s="480" t="s">
        <v>1212</v>
      </c>
      <c r="AE403" s="477">
        <v>45</v>
      </c>
      <c r="AF403" s="482">
        <v>16</v>
      </c>
      <c r="AG403" s="480" t="str">
        <f>Fuente!AB404</f>
        <v>SECRETARÍA DEL INTERIOR</v>
      </c>
      <c r="AH403" s="81"/>
      <c r="AI403" s="81"/>
      <c r="AJ403" s="81"/>
    </row>
    <row r="404" spans="1:36" ht="63" x14ac:dyDescent="0.2">
      <c r="A404" s="76">
        <v>5</v>
      </c>
      <c r="B404" s="350" t="s">
        <v>1750</v>
      </c>
      <c r="C404" s="351" t="s">
        <v>1354</v>
      </c>
      <c r="D404" s="350" t="s">
        <v>1355</v>
      </c>
      <c r="E404" s="351" t="s">
        <v>1356</v>
      </c>
      <c r="F404" s="350" t="s">
        <v>1357</v>
      </c>
      <c r="G404" s="351"/>
      <c r="H404" s="351" t="s">
        <v>1358</v>
      </c>
      <c r="I404" s="350" t="s">
        <v>1358</v>
      </c>
      <c r="J404" s="76" t="s">
        <v>55</v>
      </c>
      <c r="K404" s="76">
        <v>100</v>
      </c>
      <c r="L404" s="353"/>
      <c r="M404" s="350" t="s">
        <v>1362</v>
      </c>
      <c r="N404" s="350" t="s">
        <v>1362</v>
      </c>
      <c r="O404" s="76" t="s">
        <v>55</v>
      </c>
      <c r="P404" s="76">
        <v>1</v>
      </c>
      <c r="Q404" s="485">
        <f>Fuente!AT408</f>
        <v>0</v>
      </c>
      <c r="R404" s="485">
        <f>Fuente!AU408</f>
        <v>0</v>
      </c>
      <c r="S404" s="485">
        <f>Fuente!AV408</f>
        <v>0</v>
      </c>
      <c r="T404" s="485">
        <f>Fuente!AW408</f>
        <v>0</v>
      </c>
      <c r="U404" s="467">
        <f>Fuente!AM408</f>
        <v>0</v>
      </c>
      <c r="V404" s="485" t="str">
        <f>Fuente!AY408</f>
        <v>NP</v>
      </c>
      <c r="W404" s="485">
        <f>Fuente!AZ408</f>
        <v>0</v>
      </c>
      <c r="X404" s="485">
        <f>Fuente!BA408</f>
        <v>0</v>
      </c>
      <c r="Y404" s="485">
        <f>Fuente!BB408</f>
        <v>0</v>
      </c>
      <c r="Z404" s="485">
        <f>Fuente!BC408</f>
        <v>0</v>
      </c>
      <c r="AA404" s="467" t="str">
        <f>Fuente!BD408</f>
        <v>NP</v>
      </c>
      <c r="AB404" s="477" t="s">
        <v>203</v>
      </c>
      <c r="AC404" s="477"/>
      <c r="AD404" s="480" t="s">
        <v>1212</v>
      </c>
      <c r="AE404" s="477">
        <v>45</v>
      </c>
      <c r="AF404" s="482">
        <v>16</v>
      </c>
      <c r="AG404" s="480" t="str">
        <f>Fuente!AB405</f>
        <v>SECRETARÍA DEL INTERIOR</v>
      </c>
      <c r="AH404" s="81"/>
      <c r="AI404" s="81"/>
      <c r="AJ404" s="81"/>
    </row>
    <row r="405" spans="1:36" ht="63" x14ac:dyDescent="0.2">
      <c r="A405" s="76">
        <v>5</v>
      </c>
      <c r="B405" s="350" t="s">
        <v>1750</v>
      </c>
      <c r="C405" s="351" t="s">
        <v>1354</v>
      </c>
      <c r="D405" s="350" t="s">
        <v>1355</v>
      </c>
      <c r="E405" s="351" t="s">
        <v>1356</v>
      </c>
      <c r="F405" s="350" t="s">
        <v>1357</v>
      </c>
      <c r="G405" s="351"/>
      <c r="H405" s="351" t="s">
        <v>1358</v>
      </c>
      <c r="I405" s="350" t="s">
        <v>1358</v>
      </c>
      <c r="J405" s="76" t="s">
        <v>55</v>
      </c>
      <c r="K405" s="76">
        <v>100</v>
      </c>
      <c r="L405" s="353"/>
      <c r="M405" s="350" t="s">
        <v>1363</v>
      </c>
      <c r="N405" s="350" t="s">
        <v>1363</v>
      </c>
      <c r="O405" s="76" t="s">
        <v>55</v>
      </c>
      <c r="P405" s="76">
        <v>10</v>
      </c>
      <c r="Q405" s="485">
        <f>Fuente!AT409</f>
        <v>0</v>
      </c>
      <c r="R405" s="485">
        <f>Fuente!AU409</f>
        <v>0</v>
      </c>
      <c r="S405" s="485">
        <f>Fuente!AV409</f>
        <v>0</v>
      </c>
      <c r="T405" s="485">
        <f>Fuente!AW409</f>
        <v>0</v>
      </c>
      <c r="U405" s="467">
        <f>Fuente!AM409</f>
        <v>0</v>
      </c>
      <c r="V405" s="485" t="str">
        <f>Fuente!AY409</f>
        <v>NP</v>
      </c>
      <c r="W405" s="485">
        <f>Fuente!AZ409</f>
        <v>0</v>
      </c>
      <c r="X405" s="485">
        <f>Fuente!BA409</f>
        <v>0</v>
      </c>
      <c r="Y405" s="485">
        <f>Fuente!BB409</f>
        <v>0</v>
      </c>
      <c r="Z405" s="485">
        <f>Fuente!BC409</f>
        <v>0</v>
      </c>
      <c r="AA405" s="467" t="str">
        <f>Fuente!BD409</f>
        <v>NP</v>
      </c>
      <c r="AB405" s="477" t="s">
        <v>412</v>
      </c>
      <c r="AC405" s="480"/>
      <c r="AD405" s="477" t="s">
        <v>50</v>
      </c>
      <c r="AE405" s="477"/>
      <c r="AF405" s="482">
        <v>1</v>
      </c>
      <c r="AG405" s="480" t="str">
        <f>Fuente!AB406</f>
        <v>SECRETARÍA DE LA MUJER</v>
      </c>
      <c r="AH405" s="81"/>
      <c r="AI405" s="81"/>
      <c r="AJ405" s="81"/>
    </row>
    <row r="406" spans="1:36" ht="63" x14ac:dyDescent="0.2">
      <c r="A406" s="76">
        <v>5</v>
      </c>
      <c r="B406" s="350" t="s">
        <v>1750</v>
      </c>
      <c r="C406" s="351" t="s">
        <v>1354</v>
      </c>
      <c r="D406" s="350" t="s">
        <v>1355</v>
      </c>
      <c r="E406" s="351" t="s">
        <v>1356</v>
      </c>
      <c r="F406" s="350" t="s">
        <v>1357</v>
      </c>
      <c r="G406" s="466"/>
      <c r="H406" s="466" t="s">
        <v>1358</v>
      </c>
      <c r="I406" s="350" t="s">
        <v>1358</v>
      </c>
      <c r="J406" s="351" t="s">
        <v>55</v>
      </c>
      <c r="K406" s="491">
        <v>1</v>
      </c>
      <c r="L406" s="479"/>
      <c r="M406" s="350" t="s">
        <v>1364</v>
      </c>
      <c r="N406" s="350" t="s">
        <v>1364</v>
      </c>
      <c r="O406" s="351">
        <v>48042</v>
      </c>
      <c r="P406" s="351">
        <v>800</v>
      </c>
      <c r="Q406" s="485">
        <f>Fuente!AT410</f>
        <v>50</v>
      </c>
      <c r="R406" s="485">
        <f>Fuente!AU410</f>
        <v>0</v>
      </c>
      <c r="S406" s="485">
        <f>Fuente!AV410</f>
        <v>0</v>
      </c>
      <c r="T406" s="485">
        <f>Fuente!AW410</f>
        <v>0</v>
      </c>
      <c r="U406" s="467">
        <f>Fuente!AM410</f>
        <v>0</v>
      </c>
      <c r="V406" s="485">
        <f>Fuente!AY410</f>
        <v>300</v>
      </c>
      <c r="W406" s="485">
        <f>Fuente!AZ410</f>
        <v>50</v>
      </c>
      <c r="X406" s="485">
        <f>Fuente!BA410</f>
        <v>0</v>
      </c>
      <c r="Y406" s="485">
        <f>Fuente!BB410</f>
        <v>0</v>
      </c>
      <c r="Z406" s="485">
        <f>Fuente!BC410</f>
        <v>0</v>
      </c>
      <c r="AA406" s="467">
        <f>Fuente!BD410</f>
        <v>0.16666666666666666</v>
      </c>
      <c r="AB406" s="477" t="s">
        <v>412</v>
      </c>
      <c r="AC406" s="480"/>
      <c r="AD406" s="477" t="s">
        <v>50</v>
      </c>
      <c r="AE406" s="477"/>
      <c r="AF406" s="482">
        <v>1</v>
      </c>
      <c r="AG406" s="480" t="str">
        <f>Fuente!AB407</f>
        <v>SECRETARÍA DE LA MUJER</v>
      </c>
      <c r="AH406" s="81"/>
      <c r="AI406" s="81"/>
      <c r="AJ406" s="81"/>
    </row>
    <row r="407" spans="1:36" ht="63" x14ac:dyDescent="0.2">
      <c r="A407" s="76">
        <v>5</v>
      </c>
      <c r="B407" s="350" t="s">
        <v>1750</v>
      </c>
      <c r="C407" s="351" t="s">
        <v>1354</v>
      </c>
      <c r="D407" s="350" t="s">
        <v>1355</v>
      </c>
      <c r="E407" s="351" t="s">
        <v>1356</v>
      </c>
      <c r="F407" s="350" t="s">
        <v>1357</v>
      </c>
      <c r="G407" s="466"/>
      <c r="H407" s="466" t="s">
        <v>1358</v>
      </c>
      <c r="I407" s="350" t="s">
        <v>1358</v>
      </c>
      <c r="J407" s="351" t="s">
        <v>55</v>
      </c>
      <c r="K407" s="491">
        <v>1</v>
      </c>
      <c r="L407" s="479"/>
      <c r="M407" s="350" t="s">
        <v>1365</v>
      </c>
      <c r="N407" s="350" t="s">
        <v>1365</v>
      </c>
      <c r="O407" s="351">
        <v>78004</v>
      </c>
      <c r="P407" s="351">
        <v>800</v>
      </c>
      <c r="Q407" s="485">
        <f>Fuente!AT411</f>
        <v>0</v>
      </c>
      <c r="R407" s="485">
        <f>Fuente!AU411</f>
        <v>0</v>
      </c>
      <c r="S407" s="485">
        <f>Fuente!AV411</f>
        <v>0</v>
      </c>
      <c r="T407" s="485">
        <f>Fuente!AW411</f>
        <v>0</v>
      </c>
      <c r="U407" s="467">
        <f>Fuente!AM411</f>
        <v>0</v>
      </c>
      <c r="V407" s="485" t="str">
        <f>Fuente!AY411</f>
        <v>NP</v>
      </c>
      <c r="W407" s="485">
        <f>Fuente!AZ411</f>
        <v>0</v>
      </c>
      <c r="X407" s="485">
        <f>Fuente!BA411</f>
        <v>0</v>
      </c>
      <c r="Y407" s="485">
        <f>Fuente!BB411</f>
        <v>0</v>
      </c>
      <c r="Z407" s="485">
        <f>Fuente!BC411</f>
        <v>0</v>
      </c>
      <c r="AA407" s="467" t="str">
        <f>Fuente!BD411</f>
        <v>NP</v>
      </c>
      <c r="AB407" s="477" t="s">
        <v>412</v>
      </c>
      <c r="AC407" s="480"/>
      <c r="AD407" s="480"/>
      <c r="AE407" s="477">
        <v>45</v>
      </c>
      <c r="AF407" s="482">
        <v>10</v>
      </c>
      <c r="AG407" s="480" t="str">
        <f>Fuente!AB408</f>
        <v>SECRETARÍA DEL INTERIOR</v>
      </c>
      <c r="AH407" s="81"/>
      <c r="AI407" s="81"/>
      <c r="AJ407" s="81"/>
    </row>
    <row r="408" spans="1:36" ht="63" x14ac:dyDescent="0.2">
      <c r="A408" s="76">
        <v>5</v>
      </c>
      <c r="B408" s="350" t="s">
        <v>1750</v>
      </c>
      <c r="C408" s="351" t="s">
        <v>1354</v>
      </c>
      <c r="D408" s="350" t="s">
        <v>1355</v>
      </c>
      <c r="E408" s="351" t="s">
        <v>1356</v>
      </c>
      <c r="F408" s="350" t="s">
        <v>1357</v>
      </c>
      <c r="G408" s="466"/>
      <c r="H408" s="466" t="s">
        <v>1358</v>
      </c>
      <c r="I408" s="350" t="s">
        <v>1358</v>
      </c>
      <c r="J408" s="351" t="s">
        <v>55</v>
      </c>
      <c r="K408" s="491">
        <v>1</v>
      </c>
      <c r="L408" s="479"/>
      <c r="M408" s="350" t="s">
        <v>1366</v>
      </c>
      <c r="N408" s="350" t="s">
        <v>1366</v>
      </c>
      <c r="O408" s="351" t="s">
        <v>55</v>
      </c>
      <c r="P408" s="351">
        <v>200</v>
      </c>
      <c r="Q408" s="485">
        <f>Fuente!AT412</f>
        <v>22</v>
      </c>
      <c r="R408" s="485">
        <f>Fuente!AU412</f>
        <v>0</v>
      </c>
      <c r="S408" s="485">
        <f>Fuente!AV412</f>
        <v>0</v>
      </c>
      <c r="T408" s="485">
        <f>Fuente!AW412</f>
        <v>0</v>
      </c>
      <c r="U408" s="467">
        <f>Fuente!AM412</f>
        <v>0</v>
      </c>
      <c r="V408" s="485">
        <f>Fuente!AY412</f>
        <v>70</v>
      </c>
      <c r="W408" s="485">
        <f>Fuente!AZ412</f>
        <v>22</v>
      </c>
      <c r="X408" s="485">
        <f>Fuente!BA412</f>
        <v>0</v>
      </c>
      <c r="Y408" s="485">
        <f>Fuente!BB412</f>
        <v>0</v>
      </c>
      <c r="Z408" s="485">
        <f>Fuente!BC412</f>
        <v>0</v>
      </c>
      <c r="AA408" s="467">
        <f>Fuente!BD412</f>
        <v>0.31428571428571428</v>
      </c>
      <c r="AB408" s="477" t="s">
        <v>412</v>
      </c>
      <c r="AC408" s="480"/>
      <c r="AD408" s="480"/>
      <c r="AE408" s="477">
        <v>45</v>
      </c>
      <c r="AF408" s="482">
        <v>10</v>
      </c>
      <c r="AG408" s="480" t="str">
        <f>Fuente!AB409</f>
        <v>SECRETARÍA DEL INTERIOR</v>
      </c>
      <c r="AH408" s="81"/>
      <c r="AI408" s="81"/>
      <c r="AJ408" s="81"/>
    </row>
    <row r="409" spans="1:36" ht="63" x14ac:dyDescent="0.2">
      <c r="A409" s="76">
        <v>5</v>
      </c>
      <c r="B409" s="350" t="s">
        <v>1750</v>
      </c>
      <c r="C409" s="351" t="s">
        <v>1354</v>
      </c>
      <c r="D409" s="350" t="s">
        <v>1355</v>
      </c>
      <c r="E409" s="351" t="s">
        <v>1356</v>
      </c>
      <c r="F409" s="350" t="s">
        <v>1357</v>
      </c>
      <c r="G409" s="466"/>
      <c r="H409" s="466" t="s">
        <v>1358</v>
      </c>
      <c r="I409" s="350" t="s">
        <v>1358</v>
      </c>
      <c r="J409" s="351" t="s">
        <v>55</v>
      </c>
      <c r="K409" s="491">
        <v>1</v>
      </c>
      <c r="L409" s="479"/>
      <c r="M409" s="350" t="s">
        <v>1367</v>
      </c>
      <c r="N409" s="350" t="s">
        <v>1367</v>
      </c>
      <c r="O409" s="351" t="s">
        <v>55</v>
      </c>
      <c r="P409" s="351">
        <v>200</v>
      </c>
      <c r="Q409" s="485">
        <f>Fuente!AT413</f>
        <v>0</v>
      </c>
      <c r="R409" s="485">
        <f>Fuente!AU413</f>
        <v>0</v>
      </c>
      <c r="S409" s="485">
        <f>Fuente!AV413</f>
        <v>0</v>
      </c>
      <c r="T409" s="485">
        <f>Fuente!AW413</f>
        <v>0</v>
      </c>
      <c r="U409" s="467">
        <f>Fuente!AM413</f>
        <v>0</v>
      </c>
      <c r="V409" s="485" t="str">
        <f>Fuente!AY413</f>
        <v>NP</v>
      </c>
      <c r="W409" s="485">
        <f>Fuente!AZ413</f>
        <v>0</v>
      </c>
      <c r="X409" s="485">
        <f>Fuente!BA413</f>
        <v>0</v>
      </c>
      <c r="Y409" s="485">
        <f>Fuente!BB413</f>
        <v>0</v>
      </c>
      <c r="Z409" s="485">
        <f>Fuente!BC413</f>
        <v>0</v>
      </c>
      <c r="AA409" s="467" t="str">
        <f>Fuente!BD413</f>
        <v>NP</v>
      </c>
      <c r="AB409" s="480" t="s">
        <v>49</v>
      </c>
      <c r="AC409" s="480">
        <v>0</v>
      </c>
      <c r="AD409" s="477" t="s">
        <v>81</v>
      </c>
      <c r="AE409" s="477">
        <v>40</v>
      </c>
      <c r="AF409" s="494" t="s">
        <v>82</v>
      </c>
      <c r="AG409" s="480" t="str">
        <f>Fuente!AB410</f>
        <v>SECRETARÍA DE HÁBITAT</v>
      </c>
      <c r="AH409" s="91">
        <v>0</v>
      </c>
      <c r="AI409" s="91">
        <v>0</v>
      </c>
      <c r="AJ409" s="91">
        <v>0</v>
      </c>
    </row>
    <row r="410" spans="1:36" ht="63" x14ac:dyDescent="0.2">
      <c r="A410" s="76">
        <v>5</v>
      </c>
      <c r="B410" s="350" t="s">
        <v>1750</v>
      </c>
      <c r="C410" s="351" t="s">
        <v>1354</v>
      </c>
      <c r="D410" s="350" t="s">
        <v>1355</v>
      </c>
      <c r="E410" s="351" t="s">
        <v>1356</v>
      </c>
      <c r="F410" s="350" t="s">
        <v>1357</v>
      </c>
      <c r="G410" s="466"/>
      <c r="H410" s="466" t="s">
        <v>1358</v>
      </c>
      <c r="I410" s="350" t="s">
        <v>1358</v>
      </c>
      <c r="J410" s="351" t="s">
        <v>55</v>
      </c>
      <c r="K410" s="491">
        <v>1</v>
      </c>
      <c r="L410" s="479"/>
      <c r="M410" s="350" t="s">
        <v>1368</v>
      </c>
      <c r="N410" s="350" t="s">
        <v>1368</v>
      </c>
      <c r="O410" s="351" t="s">
        <v>55</v>
      </c>
      <c r="P410" s="493">
        <v>5000</v>
      </c>
      <c r="Q410" s="485">
        <f>Fuente!AT414</f>
        <v>0</v>
      </c>
      <c r="R410" s="485">
        <f>Fuente!AU414</f>
        <v>0</v>
      </c>
      <c r="S410" s="485">
        <f>Fuente!AV414</f>
        <v>0</v>
      </c>
      <c r="T410" s="485">
        <f>Fuente!AW414</f>
        <v>0</v>
      </c>
      <c r="U410" s="467">
        <f>Fuente!AM414</f>
        <v>0</v>
      </c>
      <c r="V410" s="485" t="str">
        <f>Fuente!AY414</f>
        <v>NP</v>
      </c>
      <c r="W410" s="485">
        <f>Fuente!AZ414</f>
        <v>0</v>
      </c>
      <c r="X410" s="485">
        <f>Fuente!BA414</f>
        <v>0</v>
      </c>
      <c r="Y410" s="485">
        <f>Fuente!BB414</f>
        <v>0</v>
      </c>
      <c r="Z410" s="485">
        <f>Fuente!BC414</f>
        <v>0</v>
      </c>
      <c r="AA410" s="467" t="str">
        <f>Fuente!BD414</f>
        <v>NP</v>
      </c>
      <c r="AB410" s="480" t="s">
        <v>49</v>
      </c>
      <c r="AC410" s="480">
        <v>0</v>
      </c>
      <c r="AD410" s="477" t="s">
        <v>81</v>
      </c>
      <c r="AE410" s="477">
        <v>40</v>
      </c>
      <c r="AF410" s="494" t="s">
        <v>82</v>
      </c>
      <c r="AG410" s="480" t="str">
        <f>Fuente!AB411</f>
        <v>SECRETARÍA DE HÁBITAT</v>
      </c>
      <c r="AH410" s="91">
        <v>0</v>
      </c>
      <c r="AI410" s="91">
        <v>0</v>
      </c>
      <c r="AJ410" s="91">
        <v>0</v>
      </c>
    </row>
    <row r="411" spans="1:36" ht="60" x14ac:dyDescent="0.2">
      <c r="A411" s="76">
        <v>5</v>
      </c>
      <c r="B411" s="350" t="s">
        <v>1750</v>
      </c>
      <c r="C411" s="351" t="s">
        <v>1354</v>
      </c>
      <c r="D411" s="350" t="s">
        <v>1355</v>
      </c>
      <c r="E411" s="76" t="s">
        <v>1369</v>
      </c>
      <c r="F411" s="350" t="s">
        <v>1370</v>
      </c>
      <c r="G411" s="466"/>
      <c r="H411" s="352" t="s">
        <v>1371</v>
      </c>
      <c r="I411" s="350" t="s">
        <v>1371</v>
      </c>
      <c r="J411" s="351" t="s">
        <v>55</v>
      </c>
      <c r="K411" s="491">
        <v>1</v>
      </c>
      <c r="L411" s="479"/>
      <c r="M411" s="350" t="s">
        <v>1372</v>
      </c>
      <c r="N411" s="350" t="s">
        <v>1372</v>
      </c>
      <c r="O411" s="351">
        <v>146</v>
      </c>
      <c r="P411" s="351">
        <v>210</v>
      </c>
      <c r="Q411" s="485">
        <f>Fuente!AT415</f>
        <v>84</v>
      </c>
      <c r="R411" s="485">
        <f>Fuente!AU415</f>
        <v>0</v>
      </c>
      <c r="S411" s="485">
        <f>Fuente!AV415</f>
        <v>0</v>
      </c>
      <c r="T411" s="485">
        <f>Fuente!AW415</f>
        <v>0</v>
      </c>
      <c r="U411" s="467">
        <f>Fuente!AM415</f>
        <v>0</v>
      </c>
      <c r="V411" s="485">
        <f>Fuente!AY415</f>
        <v>100</v>
      </c>
      <c r="W411" s="485">
        <f>Fuente!AZ415</f>
        <v>84</v>
      </c>
      <c r="X411" s="485">
        <f>Fuente!BA415</f>
        <v>0</v>
      </c>
      <c r="Y411" s="485">
        <f>Fuente!BB415</f>
        <v>0</v>
      </c>
      <c r="Z411" s="485">
        <f>Fuente!BC415</f>
        <v>0</v>
      </c>
      <c r="AA411" s="467">
        <f>Fuente!BD415</f>
        <v>0.84</v>
      </c>
      <c r="AB411" s="480" t="s">
        <v>49</v>
      </c>
      <c r="AC411" s="480">
        <v>0</v>
      </c>
      <c r="AD411" s="477" t="s">
        <v>81</v>
      </c>
      <c r="AE411" s="477">
        <v>40</v>
      </c>
      <c r="AF411" s="494" t="s">
        <v>82</v>
      </c>
      <c r="AG411" s="480" t="str">
        <f>Fuente!AB412</f>
        <v>SECRETARÍA DE HÁBITAT / SECRETARÍA DE LA MUJER</v>
      </c>
      <c r="AH411" s="91">
        <v>0</v>
      </c>
      <c r="AI411" s="91">
        <v>0</v>
      </c>
      <c r="AJ411" s="91">
        <v>0</v>
      </c>
    </row>
    <row r="412" spans="1:36" ht="60" x14ac:dyDescent="0.2">
      <c r="A412" s="76">
        <v>5</v>
      </c>
      <c r="B412" s="350" t="s">
        <v>1750</v>
      </c>
      <c r="C412" s="351" t="s">
        <v>1354</v>
      </c>
      <c r="D412" s="350" t="s">
        <v>1355</v>
      </c>
      <c r="E412" s="76" t="s">
        <v>1369</v>
      </c>
      <c r="F412" s="350" t="s">
        <v>1370</v>
      </c>
      <c r="G412" s="466"/>
      <c r="H412" s="352" t="s">
        <v>1371</v>
      </c>
      <c r="I412" s="350" t="s">
        <v>1371</v>
      </c>
      <c r="J412" s="351" t="s">
        <v>55</v>
      </c>
      <c r="K412" s="491">
        <v>1</v>
      </c>
      <c r="L412" s="479"/>
      <c r="M412" s="350" t="s">
        <v>1374</v>
      </c>
      <c r="N412" s="350" t="s">
        <v>1374</v>
      </c>
      <c r="O412" s="76">
        <v>85</v>
      </c>
      <c r="P412" s="490">
        <v>275</v>
      </c>
      <c r="Q412" s="485">
        <f>Fuente!AT416</f>
        <v>21</v>
      </c>
      <c r="R412" s="485">
        <f>Fuente!AU416</f>
        <v>0</v>
      </c>
      <c r="S412" s="485">
        <f>Fuente!AV416</f>
        <v>0</v>
      </c>
      <c r="T412" s="485">
        <f>Fuente!AW416</f>
        <v>0</v>
      </c>
      <c r="U412" s="467">
        <f>Fuente!AM416</f>
        <v>0</v>
      </c>
      <c r="V412" s="485">
        <f>Fuente!AY416</f>
        <v>145</v>
      </c>
      <c r="W412" s="485">
        <f>Fuente!AZ416</f>
        <v>21</v>
      </c>
      <c r="X412" s="485">
        <f>Fuente!BA416</f>
        <v>0</v>
      </c>
      <c r="Y412" s="485">
        <f>Fuente!BB416</f>
        <v>0</v>
      </c>
      <c r="Z412" s="485">
        <f>Fuente!BC416</f>
        <v>0</v>
      </c>
      <c r="AA412" s="467">
        <f>Fuente!BD416</f>
        <v>0.14482758620689656</v>
      </c>
      <c r="AB412" s="480" t="s">
        <v>49</v>
      </c>
      <c r="AC412" s="480">
        <v>0</v>
      </c>
      <c r="AD412" s="477" t="s">
        <v>81</v>
      </c>
      <c r="AE412" s="477">
        <v>40</v>
      </c>
      <c r="AF412" s="494" t="s">
        <v>82</v>
      </c>
      <c r="AG412" s="480" t="str">
        <f>Fuente!AB413</f>
        <v>SECRETARÍA DE HÁBITAT / SECRETARÍA DE LA MUJER</v>
      </c>
      <c r="AH412" s="91">
        <v>0</v>
      </c>
      <c r="AI412" s="91">
        <v>0</v>
      </c>
      <c r="AJ412" s="91">
        <v>0</v>
      </c>
    </row>
    <row r="413" spans="1:36" ht="47.25" x14ac:dyDescent="0.2">
      <c r="A413" s="76">
        <v>5</v>
      </c>
      <c r="B413" s="350" t="s">
        <v>1750</v>
      </c>
      <c r="C413" s="351" t="s">
        <v>1354</v>
      </c>
      <c r="D413" s="350" t="s">
        <v>1355</v>
      </c>
      <c r="E413" s="76" t="s">
        <v>1369</v>
      </c>
      <c r="F413" s="350" t="s">
        <v>1370</v>
      </c>
      <c r="G413" s="466"/>
      <c r="H413" s="352" t="s">
        <v>1371</v>
      </c>
      <c r="I413" s="350" t="s">
        <v>1371</v>
      </c>
      <c r="J413" s="351" t="s">
        <v>55</v>
      </c>
      <c r="K413" s="491">
        <v>1</v>
      </c>
      <c r="L413" s="479"/>
      <c r="M413" s="350" t="s">
        <v>1375</v>
      </c>
      <c r="N413" s="350" t="s">
        <v>1375</v>
      </c>
      <c r="O413" s="351" t="s">
        <v>1373</v>
      </c>
      <c r="P413" s="351">
        <v>10</v>
      </c>
      <c r="Q413" s="485">
        <f>Fuente!AT417</f>
        <v>2</v>
      </c>
      <c r="R413" s="485">
        <f>Fuente!AU417</f>
        <v>0</v>
      </c>
      <c r="S413" s="485">
        <f>Fuente!AV417</f>
        <v>0</v>
      </c>
      <c r="T413" s="485">
        <f>Fuente!AW417</f>
        <v>0</v>
      </c>
      <c r="U413" s="467">
        <f>Fuente!AM417</f>
        <v>0</v>
      </c>
      <c r="V413" s="485">
        <f>Fuente!AY417</f>
        <v>2</v>
      </c>
      <c r="W413" s="485">
        <f>Fuente!AZ417</f>
        <v>2</v>
      </c>
      <c r="X413" s="485">
        <f>Fuente!BA417</f>
        <v>0</v>
      </c>
      <c r="Y413" s="485">
        <f>Fuente!BB417</f>
        <v>0</v>
      </c>
      <c r="Z413" s="485">
        <f>Fuente!BC417</f>
        <v>0</v>
      </c>
      <c r="AA413" s="467">
        <f>Fuente!BD417</f>
        <v>1</v>
      </c>
      <c r="AB413" s="480" t="s">
        <v>412</v>
      </c>
      <c r="AC413" s="477"/>
      <c r="AD413" s="477" t="s">
        <v>81</v>
      </c>
      <c r="AE413" s="477">
        <v>40</v>
      </c>
      <c r="AF413" s="494" t="s">
        <v>82</v>
      </c>
      <c r="AG413" s="480" t="str">
        <f>Fuente!AB414</f>
        <v>SECRETARÍA DE INFRAESTRUCTURA</v>
      </c>
      <c r="AH413" s="81"/>
      <c r="AI413" s="81"/>
      <c r="AJ413" s="81"/>
    </row>
    <row r="414" spans="1:36" ht="47.25" x14ac:dyDescent="0.2">
      <c r="A414" s="76">
        <v>5</v>
      </c>
      <c r="B414" s="350" t="s">
        <v>1750</v>
      </c>
      <c r="C414" s="351" t="s">
        <v>1354</v>
      </c>
      <c r="D414" s="350" t="s">
        <v>1355</v>
      </c>
      <c r="E414" s="76" t="s">
        <v>1369</v>
      </c>
      <c r="F414" s="350" t="s">
        <v>1370</v>
      </c>
      <c r="G414" s="466"/>
      <c r="H414" s="352" t="s">
        <v>1371</v>
      </c>
      <c r="I414" s="350" t="s">
        <v>1371</v>
      </c>
      <c r="J414" s="351" t="s">
        <v>55</v>
      </c>
      <c r="K414" s="491">
        <v>1</v>
      </c>
      <c r="L414" s="479"/>
      <c r="M414" s="350" t="s">
        <v>1376</v>
      </c>
      <c r="N414" s="350" t="s">
        <v>1376</v>
      </c>
      <c r="O414" s="351" t="s">
        <v>1373</v>
      </c>
      <c r="P414" s="351">
        <v>10</v>
      </c>
      <c r="Q414" s="485">
        <f>Fuente!AT418</f>
        <v>8</v>
      </c>
      <c r="R414" s="485">
        <f>Fuente!AU418</f>
        <v>0</v>
      </c>
      <c r="S414" s="485">
        <f>Fuente!AV418</f>
        <v>0</v>
      </c>
      <c r="T414" s="485">
        <f>Fuente!AW418</f>
        <v>0</v>
      </c>
      <c r="U414" s="467">
        <f>Fuente!AM418</f>
        <v>0</v>
      </c>
      <c r="V414" s="485">
        <f>Fuente!AY418</f>
        <v>10</v>
      </c>
      <c r="W414" s="485">
        <f>Fuente!AZ418</f>
        <v>8</v>
      </c>
      <c r="X414" s="485">
        <f>Fuente!BA418</f>
        <v>0</v>
      </c>
      <c r="Y414" s="485">
        <f>Fuente!BB418</f>
        <v>0</v>
      </c>
      <c r="Z414" s="485">
        <f>Fuente!BC418</f>
        <v>0</v>
      </c>
      <c r="AA414" s="467">
        <f>Fuente!BD418</f>
        <v>0.8</v>
      </c>
      <c r="AB414" s="480" t="s">
        <v>412</v>
      </c>
      <c r="AC414" s="477"/>
      <c r="AD414" s="477"/>
      <c r="AE414" s="477"/>
      <c r="AF414" s="482"/>
      <c r="AG414" s="480" t="str">
        <f>Fuente!AB415</f>
        <v>SECRETARÍA DE EDUCACIÓN</v>
      </c>
      <c r="AH414" s="81"/>
      <c r="AI414" s="81"/>
      <c r="AJ414" s="81"/>
    </row>
    <row r="415" spans="1:36" ht="173.25" x14ac:dyDescent="0.2">
      <c r="A415" s="76">
        <v>5</v>
      </c>
      <c r="B415" s="350" t="s">
        <v>1750</v>
      </c>
      <c r="C415" s="351" t="s">
        <v>1354</v>
      </c>
      <c r="D415" s="350" t="s">
        <v>1355</v>
      </c>
      <c r="E415" s="351" t="s">
        <v>1377</v>
      </c>
      <c r="F415" s="350" t="s">
        <v>1378</v>
      </c>
      <c r="G415" s="466"/>
      <c r="H415" s="466" t="s">
        <v>1379</v>
      </c>
      <c r="I415" s="466" t="s">
        <v>1379</v>
      </c>
      <c r="J415" s="351">
        <v>0.41</v>
      </c>
      <c r="K415" s="351" t="s">
        <v>1380</v>
      </c>
      <c r="L415" s="350"/>
      <c r="M415" s="350" t="s">
        <v>1381</v>
      </c>
      <c r="N415" s="350" t="s">
        <v>1381</v>
      </c>
      <c r="O415" s="351">
        <v>13</v>
      </c>
      <c r="P415" s="351">
        <v>25</v>
      </c>
      <c r="Q415" s="485">
        <f>Fuente!AT419</f>
        <v>11</v>
      </c>
      <c r="R415" s="485">
        <f>Fuente!AU419</f>
        <v>0</v>
      </c>
      <c r="S415" s="485">
        <f>Fuente!AV419</f>
        <v>0</v>
      </c>
      <c r="T415" s="485">
        <f>Fuente!AW419</f>
        <v>0</v>
      </c>
      <c r="U415" s="467">
        <f>Fuente!AM419</f>
        <v>0.4</v>
      </c>
      <c r="V415" s="485">
        <f>Fuente!AY419</f>
        <v>8</v>
      </c>
      <c r="W415" s="485">
        <f>Fuente!AZ419</f>
        <v>1</v>
      </c>
      <c r="X415" s="485">
        <f>Fuente!BA419</f>
        <v>0</v>
      </c>
      <c r="Y415" s="485">
        <f>Fuente!BB419</f>
        <v>0</v>
      </c>
      <c r="Z415" s="485">
        <f>Fuente!BC419</f>
        <v>0</v>
      </c>
      <c r="AA415" s="467">
        <f>Fuente!BD419</f>
        <v>0.125</v>
      </c>
      <c r="AB415" s="480" t="s">
        <v>412</v>
      </c>
      <c r="AC415" s="477"/>
      <c r="AD415" s="477"/>
      <c r="AE415" s="477"/>
      <c r="AF415" s="482"/>
      <c r="AG415" s="480" t="str">
        <f>Fuente!AB416</f>
        <v>SECRETARÍA DE EDUCACIÓN</v>
      </c>
      <c r="AH415" s="81"/>
      <c r="AI415" s="81"/>
      <c r="AJ415" s="81"/>
    </row>
    <row r="416" spans="1:36" ht="173.25" x14ac:dyDescent="0.2">
      <c r="A416" s="76">
        <v>5</v>
      </c>
      <c r="B416" s="350" t="s">
        <v>1750</v>
      </c>
      <c r="C416" s="351" t="s">
        <v>1354</v>
      </c>
      <c r="D416" s="350" t="s">
        <v>1355</v>
      </c>
      <c r="E416" s="351" t="s">
        <v>1377</v>
      </c>
      <c r="F416" s="350" t="s">
        <v>1378</v>
      </c>
      <c r="G416" s="466"/>
      <c r="H416" s="466" t="s">
        <v>1383</v>
      </c>
      <c r="I416" s="466" t="s">
        <v>1383</v>
      </c>
      <c r="J416" s="351">
        <v>0.03</v>
      </c>
      <c r="K416" s="351" t="s">
        <v>1384</v>
      </c>
      <c r="L416" s="350"/>
      <c r="M416" s="350" t="s">
        <v>1385</v>
      </c>
      <c r="N416" s="350" t="s">
        <v>1385</v>
      </c>
      <c r="O416" s="351">
        <v>0</v>
      </c>
      <c r="P416" s="351">
        <v>6</v>
      </c>
      <c r="Q416" s="485">
        <f>Fuente!AT420</f>
        <v>0</v>
      </c>
      <c r="R416" s="485">
        <f>Fuente!AU420</f>
        <v>0</v>
      </c>
      <c r="S416" s="485">
        <f>Fuente!AV420</f>
        <v>0</v>
      </c>
      <c r="T416" s="485">
        <f>Fuente!AW420</f>
        <v>0</v>
      </c>
      <c r="U416" s="467">
        <f>Fuente!AM420</f>
        <v>0</v>
      </c>
      <c r="V416" s="485">
        <f>Fuente!AY420</f>
        <v>2</v>
      </c>
      <c r="W416" s="485">
        <f>Fuente!AZ420</f>
        <v>0</v>
      </c>
      <c r="X416" s="485">
        <f>Fuente!BA420</f>
        <v>0</v>
      </c>
      <c r="Y416" s="485">
        <f>Fuente!BB420</f>
        <v>0</v>
      </c>
      <c r="Z416" s="485">
        <f>Fuente!BC420</f>
        <v>0</v>
      </c>
      <c r="AA416" s="467">
        <f>Fuente!BD420</f>
        <v>0</v>
      </c>
      <c r="AB416" s="480" t="s">
        <v>412</v>
      </c>
      <c r="AC416" s="477"/>
      <c r="AD416" s="477"/>
      <c r="AE416" s="477"/>
      <c r="AF416" s="482"/>
      <c r="AG416" s="480" t="str">
        <f>Fuente!AB417</f>
        <v>SECRETARÍA DE EDUCACIÓN</v>
      </c>
      <c r="AH416" s="81"/>
      <c r="AI416" s="81"/>
      <c r="AJ416" s="81"/>
    </row>
    <row r="417" spans="1:36" ht="63" x14ac:dyDescent="0.2">
      <c r="A417" s="76">
        <v>5</v>
      </c>
      <c r="B417" s="350" t="s">
        <v>1750</v>
      </c>
      <c r="C417" s="351" t="s">
        <v>1354</v>
      </c>
      <c r="D417" s="350" t="s">
        <v>1355</v>
      </c>
      <c r="E417" s="351" t="s">
        <v>1377</v>
      </c>
      <c r="F417" s="350" t="s">
        <v>1378</v>
      </c>
      <c r="G417" s="466"/>
      <c r="H417" s="352" t="s">
        <v>1386</v>
      </c>
      <c r="I417" s="350" t="s">
        <v>1386</v>
      </c>
      <c r="J417" s="484">
        <v>0.7</v>
      </c>
      <c r="K417" s="484">
        <v>0.85</v>
      </c>
      <c r="L417" s="486"/>
      <c r="M417" s="350" t="s">
        <v>1387</v>
      </c>
      <c r="N417" s="350" t="s">
        <v>1387</v>
      </c>
      <c r="O417" s="351" t="s">
        <v>1373</v>
      </c>
      <c r="P417" s="351">
        <v>1000</v>
      </c>
      <c r="Q417" s="485">
        <f>Fuente!AT421</f>
        <v>1000</v>
      </c>
      <c r="R417" s="485">
        <f>Fuente!AU421</f>
        <v>0</v>
      </c>
      <c r="S417" s="485">
        <f>Fuente!AV421</f>
        <v>0</v>
      </c>
      <c r="T417" s="485">
        <f>Fuente!AW421</f>
        <v>0</v>
      </c>
      <c r="U417" s="467">
        <f>Fuente!AM421</f>
        <v>0</v>
      </c>
      <c r="V417" s="485">
        <f>Fuente!AY421</f>
        <v>1000</v>
      </c>
      <c r="W417" s="485">
        <f>Fuente!AZ421</f>
        <v>1000</v>
      </c>
      <c r="X417" s="485">
        <f>Fuente!BA421</f>
        <v>0</v>
      </c>
      <c r="Y417" s="485">
        <f>Fuente!BB421</f>
        <v>0</v>
      </c>
      <c r="Z417" s="485">
        <f>Fuente!BC421</f>
        <v>0</v>
      </c>
      <c r="AA417" s="467">
        <f>Fuente!BD421</f>
        <v>1</v>
      </c>
      <c r="AB417" s="480" t="s">
        <v>412</v>
      </c>
      <c r="AC417" s="477"/>
      <c r="AD417" s="477"/>
      <c r="AE417" s="477"/>
      <c r="AF417" s="482"/>
      <c r="AG417" s="480" t="str">
        <f>Fuente!AB418</f>
        <v>SECRETARÍA DE EDUCACIÓN</v>
      </c>
      <c r="AH417" s="81"/>
      <c r="AI417" s="81"/>
      <c r="AJ417" s="81"/>
    </row>
    <row r="418" spans="1:36" ht="47.25" x14ac:dyDescent="0.2">
      <c r="A418" s="76">
        <v>5</v>
      </c>
      <c r="B418" s="350" t="s">
        <v>1750</v>
      </c>
      <c r="C418" s="351" t="s">
        <v>1354</v>
      </c>
      <c r="D418" s="350" t="s">
        <v>1355</v>
      </c>
      <c r="E418" s="351" t="s">
        <v>1388</v>
      </c>
      <c r="F418" s="350" t="s">
        <v>1389</v>
      </c>
      <c r="G418" s="352"/>
      <c r="H418" s="352" t="s">
        <v>1390</v>
      </c>
      <c r="I418" s="350" t="s">
        <v>1391</v>
      </c>
      <c r="J418" s="491" t="s">
        <v>55</v>
      </c>
      <c r="K418" s="491">
        <v>1</v>
      </c>
      <c r="L418" s="479"/>
      <c r="M418" s="350" t="s">
        <v>1392</v>
      </c>
      <c r="N418" s="350" t="s">
        <v>1393</v>
      </c>
      <c r="O418" s="308" t="s">
        <v>55</v>
      </c>
      <c r="P418" s="308">
        <v>20</v>
      </c>
      <c r="Q418" s="485">
        <f>Fuente!AT422</f>
        <v>20</v>
      </c>
      <c r="R418" s="485">
        <f>Fuente!AU422</f>
        <v>0</v>
      </c>
      <c r="S418" s="485">
        <f>Fuente!AV422</f>
        <v>0</v>
      </c>
      <c r="T418" s="485">
        <f>Fuente!AW422</f>
        <v>0</v>
      </c>
      <c r="U418" s="467">
        <f>Fuente!AM422</f>
        <v>1</v>
      </c>
      <c r="V418" s="485" t="str">
        <f>Fuente!AY422</f>
        <v>NP</v>
      </c>
      <c r="W418" s="485">
        <f>Fuente!AZ422</f>
        <v>0</v>
      </c>
      <c r="X418" s="485">
        <f>Fuente!BA422</f>
        <v>0</v>
      </c>
      <c r="Y418" s="485">
        <f>Fuente!BB422</f>
        <v>0</v>
      </c>
      <c r="Z418" s="485">
        <f>Fuente!BC422</f>
        <v>0</v>
      </c>
      <c r="AA418" s="467" t="str">
        <f>Fuente!BD422</f>
        <v>NP</v>
      </c>
      <c r="AB418" s="480" t="s">
        <v>49</v>
      </c>
      <c r="AC418" s="477"/>
      <c r="AD418" s="477" t="s">
        <v>81</v>
      </c>
      <c r="AE418" s="477">
        <v>40</v>
      </c>
      <c r="AF418" s="494" t="s">
        <v>1382</v>
      </c>
      <c r="AG418" s="480" t="str">
        <f>Fuente!AB419</f>
        <v>SECRETARÍA DE HÁBITAT Y AGUAS DE BOLÍVAR S.A. E.S.P.</v>
      </c>
      <c r="AH418" s="91">
        <v>0</v>
      </c>
      <c r="AI418" s="91">
        <v>0</v>
      </c>
      <c r="AJ418" s="91">
        <v>0</v>
      </c>
    </row>
    <row r="419" spans="1:36" ht="63" x14ac:dyDescent="0.2">
      <c r="A419" s="76">
        <v>5</v>
      </c>
      <c r="B419" s="350" t="s">
        <v>1750</v>
      </c>
      <c r="C419" s="351" t="s">
        <v>1354</v>
      </c>
      <c r="D419" s="350" t="s">
        <v>1355</v>
      </c>
      <c r="E419" s="351" t="s">
        <v>1388</v>
      </c>
      <c r="F419" s="350" t="s">
        <v>1389</v>
      </c>
      <c r="G419" s="352"/>
      <c r="H419" s="352" t="s">
        <v>1395</v>
      </c>
      <c r="I419" s="350" t="s">
        <v>1396</v>
      </c>
      <c r="J419" s="491" t="s">
        <v>55</v>
      </c>
      <c r="K419" s="491">
        <v>1</v>
      </c>
      <c r="L419" s="479"/>
      <c r="M419" s="350" t="s">
        <v>1395</v>
      </c>
      <c r="N419" s="350" t="s">
        <v>1397</v>
      </c>
      <c r="O419" s="308" t="s">
        <v>55</v>
      </c>
      <c r="P419" s="308">
        <v>1</v>
      </c>
      <c r="Q419" s="485">
        <f>Fuente!AT423</f>
        <v>0</v>
      </c>
      <c r="R419" s="485">
        <f>Fuente!AU423</f>
        <v>0</v>
      </c>
      <c r="S419" s="485">
        <f>Fuente!AV423</f>
        <v>0</v>
      </c>
      <c r="T419" s="485">
        <f>Fuente!AW423</f>
        <v>0</v>
      </c>
      <c r="U419" s="467">
        <f>Fuente!AM423</f>
        <v>0</v>
      </c>
      <c r="V419" s="485" t="str">
        <f>Fuente!AY423</f>
        <v>NP</v>
      </c>
      <c r="W419" s="485">
        <f>Fuente!AZ423</f>
        <v>0</v>
      </c>
      <c r="X419" s="485">
        <f>Fuente!BA423</f>
        <v>0</v>
      </c>
      <c r="Y419" s="485">
        <f>Fuente!BB423</f>
        <v>0</v>
      </c>
      <c r="Z419" s="485">
        <f>Fuente!BC423</f>
        <v>0</v>
      </c>
      <c r="AA419" s="467" t="str">
        <f>Fuente!BD423</f>
        <v>NP</v>
      </c>
      <c r="AB419" s="480" t="s">
        <v>49</v>
      </c>
      <c r="AC419" s="477"/>
      <c r="AD419" s="477" t="s">
        <v>81</v>
      </c>
      <c r="AE419" s="477">
        <v>40</v>
      </c>
      <c r="AF419" s="494" t="s">
        <v>1382</v>
      </c>
      <c r="AG419" s="480" t="str">
        <f>Fuente!AB420</f>
        <v>SECRETARÍA DE HÁBITAT Y AGUAS DE BOLÍVAR S.A. E.S.P.</v>
      </c>
      <c r="AH419" s="81">
        <v>0</v>
      </c>
      <c r="AI419" s="81">
        <v>0</v>
      </c>
      <c r="AJ419" s="81">
        <v>0</v>
      </c>
    </row>
    <row r="420" spans="1:36" ht="63" x14ac:dyDescent="0.2">
      <c r="A420" s="76">
        <v>5</v>
      </c>
      <c r="B420" s="350" t="s">
        <v>1750</v>
      </c>
      <c r="C420" s="351" t="s">
        <v>1354</v>
      </c>
      <c r="D420" s="350" t="s">
        <v>1355</v>
      </c>
      <c r="E420" s="351" t="s">
        <v>1388</v>
      </c>
      <c r="F420" s="350" t="s">
        <v>1389</v>
      </c>
      <c r="G420" s="352"/>
      <c r="H420" s="352" t="s">
        <v>1399</v>
      </c>
      <c r="I420" s="350" t="s">
        <v>1400</v>
      </c>
      <c r="J420" s="491" t="s">
        <v>55</v>
      </c>
      <c r="K420" s="491">
        <v>1</v>
      </c>
      <c r="L420" s="479"/>
      <c r="M420" s="350" t="s">
        <v>1401</v>
      </c>
      <c r="N420" s="350" t="s">
        <v>1402</v>
      </c>
      <c r="O420" s="308" t="s">
        <v>55</v>
      </c>
      <c r="P420" s="308">
        <v>4</v>
      </c>
      <c r="Q420" s="485">
        <f>Fuente!AT424</f>
        <v>1</v>
      </c>
      <c r="R420" s="485">
        <f>Fuente!AU424</f>
        <v>0</v>
      </c>
      <c r="S420" s="485">
        <f>Fuente!AV424</f>
        <v>0</v>
      </c>
      <c r="T420" s="485">
        <f>Fuente!AW424</f>
        <v>0</v>
      </c>
      <c r="U420" s="467">
        <f>Fuente!AM424</f>
        <v>0.25</v>
      </c>
      <c r="V420" s="485">
        <f>Fuente!AY424</f>
        <v>1</v>
      </c>
      <c r="W420" s="485">
        <f>Fuente!AZ424</f>
        <v>0</v>
      </c>
      <c r="X420" s="485">
        <f>Fuente!BA424</f>
        <v>0</v>
      </c>
      <c r="Y420" s="485">
        <f>Fuente!BB424</f>
        <v>0</v>
      </c>
      <c r="Z420" s="485">
        <f>Fuente!BC424</f>
        <v>0</v>
      </c>
      <c r="AA420" s="467">
        <f>Fuente!BD424</f>
        <v>0</v>
      </c>
      <c r="AB420" s="480" t="s">
        <v>412</v>
      </c>
      <c r="AC420" s="477"/>
      <c r="AD420" s="477"/>
      <c r="AE420" s="477"/>
      <c r="AF420" s="482"/>
      <c r="AG420" s="480" t="str">
        <f>Fuente!AB421</f>
        <v xml:space="preserve">SECRETARÍA DE MINAS Y ENERGÍA   </v>
      </c>
      <c r="AH420" s="81"/>
      <c r="AI420" s="81"/>
      <c r="AJ420" s="81"/>
    </row>
    <row r="421" spans="1:36" ht="60" x14ac:dyDescent="0.2">
      <c r="A421" s="76">
        <v>5</v>
      </c>
      <c r="B421" s="350" t="s">
        <v>1750</v>
      </c>
      <c r="C421" s="351" t="s">
        <v>1354</v>
      </c>
      <c r="D421" s="350" t="s">
        <v>1355</v>
      </c>
      <c r="E421" s="351" t="s">
        <v>1388</v>
      </c>
      <c r="F421" s="350" t="s">
        <v>1389</v>
      </c>
      <c r="G421" s="352"/>
      <c r="H421" s="352" t="s">
        <v>1404</v>
      </c>
      <c r="I421" s="350" t="s">
        <v>1405</v>
      </c>
      <c r="J421" s="491" t="s">
        <v>55</v>
      </c>
      <c r="K421" s="491">
        <v>0.2</v>
      </c>
      <c r="L421" s="479"/>
      <c r="M421" s="350" t="s">
        <v>1406</v>
      </c>
      <c r="N421" s="350" t="s">
        <v>1407</v>
      </c>
      <c r="O421" s="308" t="s">
        <v>55</v>
      </c>
      <c r="P421" s="308">
        <v>1</v>
      </c>
      <c r="Q421" s="485">
        <f>Fuente!AT425</f>
        <v>0</v>
      </c>
      <c r="R421" s="485">
        <f>Fuente!AU425</f>
        <v>0</v>
      </c>
      <c r="S421" s="485">
        <f>Fuente!AV425</f>
        <v>0</v>
      </c>
      <c r="T421" s="485">
        <f>Fuente!AW425</f>
        <v>0</v>
      </c>
      <c r="U421" s="467">
        <f>Fuente!AM425</f>
        <v>0</v>
      </c>
      <c r="V421" s="485" t="str">
        <f>Fuente!AY425</f>
        <v>NP</v>
      </c>
      <c r="W421" s="485">
        <f>Fuente!AZ425</f>
        <v>0</v>
      </c>
      <c r="X421" s="485">
        <f>Fuente!BA425</f>
        <v>0</v>
      </c>
      <c r="Y421" s="485">
        <f>Fuente!BB425</f>
        <v>0</v>
      </c>
      <c r="Z421" s="485">
        <f>Fuente!BC425</f>
        <v>0</v>
      </c>
      <c r="AA421" s="467" t="str">
        <f>Fuente!BD425</f>
        <v>NP</v>
      </c>
      <c r="AB421" s="477" t="s">
        <v>49</v>
      </c>
      <c r="AC421" s="480" t="s">
        <v>1394</v>
      </c>
      <c r="AD421" s="477" t="s">
        <v>918</v>
      </c>
      <c r="AE421" s="477"/>
      <c r="AF421" s="482" t="s">
        <v>963</v>
      </c>
      <c r="AG421" s="480" t="str">
        <f>Fuente!AB422</f>
        <v>SECRETARÍA DE AGRICULTURA</v>
      </c>
      <c r="AH421" s="90"/>
      <c r="AI421" s="81"/>
      <c r="AJ421" s="91"/>
    </row>
    <row r="422" spans="1:36" ht="78.75" x14ac:dyDescent="0.2">
      <c r="A422" s="76">
        <v>5</v>
      </c>
      <c r="B422" s="350" t="s">
        <v>1750</v>
      </c>
      <c r="C422" s="351" t="s">
        <v>1354</v>
      </c>
      <c r="D422" s="350" t="s">
        <v>1355</v>
      </c>
      <c r="E422" s="351" t="s">
        <v>1388</v>
      </c>
      <c r="F422" s="350" t="s">
        <v>1389</v>
      </c>
      <c r="G422" s="352"/>
      <c r="H422" s="352" t="s">
        <v>1408</v>
      </c>
      <c r="I422" s="350" t="s">
        <v>1409</v>
      </c>
      <c r="J422" s="491" t="s">
        <v>55</v>
      </c>
      <c r="K422" s="491">
        <v>1</v>
      </c>
      <c r="L422" s="479"/>
      <c r="M422" s="350" t="s">
        <v>1408</v>
      </c>
      <c r="N422" s="350" t="s">
        <v>1410</v>
      </c>
      <c r="O422" s="308" t="s">
        <v>55</v>
      </c>
      <c r="P422" s="308">
        <v>6</v>
      </c>
      <c r="Q422" s="485">
        <f>Fuente!AT426</f>
        <v>3</v>
      </c>
      <c r="R422" s="485">
        <f>Fuente!AU426</f>
        <v>0</v>
      </c>
      <c r="S422" s="485">
        <f>Fuente!AV426</f>
        <v>0</v>
      </c>
      <c r="T422" s="485">
        <f>Fuente!AW426</f>
        <v>0</v>
      </c>
      <c r="U422" s="467">
        <f>Fuente!AM426</f>
        <v>0.5</v>
      </c>
      <c r="V422" s="485">
        <f>Fuente!AY426</f>
        <v>2</v>
      </c>
      <c r="W422" s="485">
        <f>Fuente!AZ426</f>
        <v>0</v>
      </c>
      <c r="X422" s="485">
        <f>Fuente!BA426</f>
        <v>0</v>
      </c>
      <c r="Y422" s="485">
        <f>Fuente!BB426</f>
        <v>0</v>
      </c>
      <c r="Z422" s="485">
        <f>Fuente!BC426</f>
        <v>0</v>
      </c>
      <c r="AA422" s="467">
        <f>Fuente!BD426</f>
        <v>0</v>
      </c>
      <c r="AB422" s="477" t="s">
        <v>49</v>
      </c>
      <c r="AC422" s="477"/>
      <c r="AD422" s="477" t="s">
        <v>1398</v>
      </c>
      <c r="AE422" s="477"/>
      <c r="AF422" s="494" t="s">
        <v>919</v>
      </c>
      <c r="AG422" s="480" t="str">
        <f>Fuente!AB423</f>
        <v>SECRETARÍA DE AGRICULTURA</v>
      </c>
      <c r="AH422" s="90"/>
      <c r="AI422" s="81"/>
      <c r="AJ422" s="91"/>
    </row>
    <row r="423" spans="1:36" ht="94.5" x14ac:dyDescent="0.2">
      <c r="A423" s="76">
        <v>5</v>
      </c>
      <c r="B423" s="350" t="s">
        <v>1750</v>
      </c>
      <c r="C423" s="351" t="s">
        <v>1354</v>
      </c>
      <c r="D423" s="350" t="s">
        <v>1355</v>
      </c>
      <c r="E423" s="351" t="s">
        <v>1388</v>
      </c>
      <c r="F423" s="350" t="s">
        <v>1389</v>
      </c>
      <c r="G423" s="352"/>
      <c r="H423" s="352" t="s">
        <v>1412</v>
      </c>
      <c r="I423" s="350" t="s">
        <v>1413</v>
      </c>
      <c r="J423" s="491" t="s">
        <v>55</v>
      </c>
      <c r="K423" s="491">
        <v>1</v>
      </c>
      <c r="L423" s="479"/>
      <c r="M423" s="350" t="s">
        <v>1412</v>
      </c>
      <c r="N423" s="350" t="s">
        <v>1414</v>
      </c>
      <c r="O423" s="308" t="s">
        <v>55</v>
      </c>
      <c r="P423" s="308">
        <v>4</v>
      </c>
      <c r="Q423" s="485">
        <f>Fuente!AT427</f>
        <v>2</v>
      </c>
      <c r="R423" s="485">
        <f>Fuente!AU427</f>
        <v>0</v>
      </c>
      <c r="S423" s="485">
        <f>Fuente!AV427</f>
        <v>0</v>
      </c>
      <c r="T423" s="485">
        <f>Fuente!AW427</f>
        <v>0</v>
      </c>
      <c r="U423" s="467">
        <f>Fuente!AM427</f>
        <v>0.5</v>
      </c>
      <c r="V423" s="485">
        <f>Fuente!AY427</f>
        <v>1</v>
      </c>
      <c r="W423" s="485">
        <f>Fuente!AZ427</f>
        <v>0</v>
      </c>
      <c r="X423" s="485">
        <f>Fuente!BA427</f>
        <v>0</v>
      </c>
      <c r="Y423" s="485">
        <f>Fuente!BB427</f>
        <v>0</v>
      </c>
      <c r="Z423" s="485">
        <f>Fuente!BC427</f>
        <v>0</v>
      </c>
      <c r="AA423" s="467">
        <f>Fuente!BD427</f>
        <v>0</v>
      </c>
      <c r="AB423" s="477" t="s">
        <v>49</v>
      </c>
      <c r="AC423" s="480" t="s">
        <v>1403</v>
      </c>
      <c r="AD423" s="477" t="s">
        <v>918</v>
      </c>
      <c r="AE423" s="477"/>
      <c r="AF423" s="494" t="s">
        <v>919</v>
      </c>
      <c r="AG423" s="480" t="str">
        <f>Fuente!AB424</f>
        <v>SECRETARÍA DE AGRICULTURA</v>
      </c>
      <c r="AH423" s="90"/>
      <c r="AI423" s="81"/>
      <c r="AJ423" s="91"/>
    </row>
    <row r="424" spans="1:36" ht="47.25" x14ac:dyDescent="0.2">
      <c r="A424" s="76">
        <v>5</v>
      </c>
      <c r="B424" s="350" t="s">
        <v>1750</v>
      </c>
      <c r="C424" s="351" t="s">
        <v>1354</v>
      </c>
      <c r="D424" s="350" t="s">
        <v>1355</v>
      </c>
      <c r="E424" s="351" t="s">
        <v>1388</v>
      </c>
      <c r="F424" s="350" t="s">
        <v>1389</v>
      </c>
      <c r="G424" s="352"/>
      <c r="H424" s="352" t="s">
        <v>1416</v>
      </c>
      <c r="I424" s="350" t="s">
        <v>1417</v>
      </c>
      <c r="J424" s="491" t="s">
        <v>55</v>
      </c>
      <c r="K424" s="491">
        <v>1</v>
      </c>
      <c r="L424" s="479"/>
      <c r="M424" s="350" t="s">
        <v>1418</v>
      </c>
      <c r="N424" s="350" t="s">
        <v>1418</v>
      </c>
      <c r="O424" s="308" t="s">
        <v>55</v>
      </c>
      <c r="P424" s="308">
        <v>1</v>
      </c>
      <c r="Q424" s="485">
        <f>Fuente!AT428</f>
        <v>0</v>
      </c>
      <c r="R424" s="485">
        <f>Fuente!AU428</f>
        <v>0</v>
      </c>
      <c r="S424" s="485">
        <f>Fuente!AV428</f>
        <v>0</v>
      </c>
      <c r="T424" s="485">
        <f>Fuente!AW428</f>
        <v>0</v>
      </c>
      <c r="U424" s="467">
        <f>Fuente!AM428</f>
        <v>0</v>
      </c>
      <c r="V424" s="485" t="str">
        <f>Fuente!AY428</f>
        <v>NP</v>
      </c>
      <c r="W424" s="485">
        <f>Fuente!AZ428</f>
        <v>0</v>
      </c>
      <c r="X424" s="485">
        <f>Fuente!BA428</f>
        <v>0</v>
      </c>
      <c r="Y424" s="485">
        <f>Fuente!BB428</f>
        <v>0</v>
      </c>
      <c r="Z424" s="485">
        <f>Fuente!BC428</f>
        <v>0</v>
      </c>
      <c r="AA424" s="467" t="str">
        <f>Fuente!BD428</f>
        <v>NP</v>
      </c>
      <c r="AB424" s="477" t="s">
        <v>49</v>
      </c>
      <c r="AC424" s="477"/>
      <c r="AD424" s="477"/>
      <c r="AE424" s="477"/>
      <c r="AF424" s="494" t="s">
        <v>919</v>
      </c>
      <c r="AG424" s="480" t="str">
        <f>Fuente!AB425</f>
        <v>SECRETARÍA DE AGRICULTURA</v>
      </c>
      <c r="AH424" s="90"/>
      <c r="AI424" s="81"/>
      <c r="AJ424" s="91"/>
    </row>
    <row r="425" spans="1:36" ht="78.75" x14ac:dyDescent="0.2">
      <c r="A425" s="76">
        <v>5</v>
      </c>
      <c r="B425" s="350" t="s">
        <v>1750</v>
      </c>
      <c r="C425" s="351" t="s">
        <v>1354</v>
      </c>
      <c r="D425" s="350" t="s">
        <v>1355</v>
      </c>
      <c r="E425" s="351" t="s">
        <v>1388</v>
      </c>
      <c r="F425" s="350" t="s">
        <v>1389</v>
      </c>
      <c r="G425" s="352"/>
      <c r="H425" s="352" t="s">
        <v>1419</v>
      </c>
      <c r="I425" s="350" t="s">
        <v>1420</v>
      </c>
      <c r="J425" s="491" t="s">
        <v>55</v>
      </c>
      <c r="K425" s="491">
        <v>1</v>
      </c>
      <c r="L425" s="479"/>
      <c r="M425" s="350" t="s">
        <v>1421</v>
      </c>
      <c r="N425" s="350" t="s">
        <v>1422</v>
      </c>
      <c r="O425" s="308" t="s">
        <v>55</v>
      </c>
      <c r="P425" s="308">
        <v>12</v>
      </c>
      <c r="Q425" s="485">
        <f>Fuente!AT429</f>
        <v>4</v>
      </c>
      <c r="R425" s="485">
        <f>Fuente!AU429</f>
        <v>0</v>
      </c>
      <c r="S425" s="485">
        <f>Fuente!AV429</f>
        <v>0</v>
      </c>
      <c r="T425" s="485">
        <f>Fuente!AW429</f>
        <v>0</v>
      </c>
      <c r="U425" s="467">
        <f>Fuente!AM429</f>
        <v>0.25</v>
      </c>
      <c r="V425" s="485">
        <f>Fuente!AY429</f>
        <v>3</v>
      </c>
      <c r="W425" s="485">
        <f>Fuente!AZ429</f>
        <v>1</v>
      </c>
      <c r="X425" s="485">
        <f>Fuente!BA429</f>
        <v>0</v>
      </c>
      <c r="Y425" s="485">
        <f>Fuente!BB429</f>
        <v>0</v>
      </c>
      <c r="Z425" s="485">
        <f>Fuente!BC429</f>
        <v>0</v>
      </c>
      <c r="AA425" s="467">
        <f>Fuente!BD429</f>
        <v>0.33333333333333331</v>
      </c>
      <c r="AB425" s="477" t="s">
        <v>49</v>
      </c>
      <c r="AC425" s="480" t="s">
        <v>1411</v>
      </c>
      <c r="AD425" s="477"/>
      <c r="AE425" s="477"/>
      <c r="AF425" s="494" t="s">
        <v>919</v>
      </c>
      <c r="AG425" s="480" t="str">
        <f>Fuente!AB426</f>
        <v>SECRETARÍA DE AGRICULTURA</v>
      </c>
      <c r="AH425" s="90"/>
      <c r="AI425" s="81"/>
      <c r="AJ425" s="91"/>
    </row>
    <row r="426" spans="1:36" ht="94.5" x14ac:dyDescent="0.2">
      <c r="A426" s="76">
        <v>5</v>
      </c>
      <c r="B426" s="350" t="s">
        <v>1750</v>
      </c>
      <c r="C426" s="351" t="s">
        <v>1354</v>
      </c>
      <c r="D426" s="350" t="s">
        <v>1355</v>
      </c>
      <c r="E426" s="351" t="s">
        <v>1388</v>
      </c>
      <c r="F426" s="350" t="s">
        <v>1389</v>
      </c>
      <c r="G426" s="352"/>
      <c r="H426" s="352" t="s">
        <v>1424</v>
      </c>
      <c r="I426" s="350" t="s">
        <v>1425</v>
      </c>
      <c r="J426" s="491" t="s">
        <v>55</v>
      </c>
      <c r="K426" s="491">
        <v>1</v>
      </c>
      <c r="L426" s="479"/>
      <c r="M426" s="350" t="s">
        <v>1986</v>
      </c>
      <c r="N426" s="350" t="s">
        <v>1426</v>
      </c>
      <c r="O426" s="308" t="s">
        <v>55</v>
      </c>
      <c r="P426" s="308">
        <v>1500</v>
      </c>
      <c r="Q426" s="485">
        <f>Fuente!AT430</f>
        <v>79</v>
      </c>
      <c r="R426" s="485">
        <f>Fuente!AU430</f>
        <v>0</v>
      </c>
      <c r="S426" s="485">
        <f>Fuente!AV430</f>
        <v>0</v>
      </c>
      <c r="T426" s="485">
        <f>Fuente!AW430</f>
        <v>0</v>
      </c>
      <c r="U426" s="467">
        <f>Fuente!AM430</f>
        <v>5.2666666666666667E-2</v>
      </c>
      <c r="V426" s="485">
        <f>Fuente!AY430</f>
        <v>796</v>
      </c>
      <c r="W426" s="485">
        <f>Fuente!AZ430</f>
        <v>0</v>
      </c>
      <c r="X426" s="485">
        <f>Fuente!BA430</f>
        <v>0</v>
      </c>
      <c r="Y426" s="485">
        <f>Fuente!BB430</f>
        <v>0</v>
      </c>
      <c r="Z426" s="485">
        <f>Fuente!BC430</f>
        <v>0</v>
      </c>
      <c r="AA426" s="467">
        <f>Fuente!BD430</f>
        <v>0</v>
      </c>
      <c r="AB426" s="477" t="s">
        <v>49</v>
      </c>
      <c r="AC426" s="480" t="s">
        <v>1415</v>
      </c>
      <c r="AD426" s="477"/>
      <c r="AE426" s="477"/>
      <c r="AF426" s="494" t="s">
        <v>919</v>
      </c>
      <c r="AG426" s="480" t="str">
        <f>Fuente!AB427</f>
        <v>SECRETARÍA DE AGRICULTURA</v>
      </c>
      <c r="AH426" s="90"/>
      <c r="AI426" s="81"/>
      <c r="AJ426" s="91"/>
    </row>
    <row r="427" spans="1:36" ht="94.5" x14ac:dyDescent="0.2">
      <c r="A427" s="76">
        <v>5</v>
      </c>
      <c r="B427" s="350" t="s">
        <v>1750</v>
      </c>
      <c r="C427" s="351" t="s">
        <v>1354</v>
      </c>
      <c r="D427" s="350" t="s">
        <v>1355</v>
      </c>
      <c r="E427" s="351" t="s">
        <v>1388</v>
      </c>
      <c r="F427" s="350" t="s">
        <v>1389</v>
      </c>
      <c r="G427" s="352"/>
      <c r="H427" s="352" t="s">
        <v>1428</v>
      </c>
      <c r="I427" s="350" t="s">
        <v>1429</v>
      </c>
      <c r="J427" s="491" t="s">
        <v>55</v>
      </c>
      <c r="K427" s="491">
        <v>1</v>
      </c>
      <c r="L427" s="479"/>
      <c r="M427" s="350" t="s">
        <v>1987</v>
      </c>
      <c r="N427" s="350" t="s">
        <v>1430</v>
      </c>
      <c r="O427" s="308" t="s">
        <v>55</v>
      </c>
      <c r="P427" s="308">
        <v>500</v>
      </c>
      <c r="Q427" s="485">
        <f>Fuente!AT431</f>
        <v>125</v>
      </c>
      <c r="R427" s="485">
        <f>Fuente!AU431</f>
        <v>0</v>
      </c>
      <c r="S427" s="485">
        <f>Fuente!AV431</f>
        <v>0</v>
      </c>
      <c r="T427" s="485">
        <f>Fuente!AW431</f>
        <v>0</v>
      </c>
      <c r="U427" s="467">
        <f>Fuente!AM431</f>
        <v>0.25</v>
      </c>
      <c r="V427" s="485">
        <f>Fuente!AY431</f>
        <v>150</v>
      </c>
      <c r="W427" s="485">
        <f>Fuente!AZ431</f>
        <v>0</v>
      </c>
      <c r="X427" s="485">
        <f>Fuente!BA431</f>
        <v>0</v>
      </c>
      <c r="Y427" s="485">
        <f>Fuente!BB431</f>
        <v>0</v>
      </c>
      <c r="Z427" s="485">
        <f>Fuente!BC431</f>
        <v>0</v>
      </c>
      <c r="AA427" s="467">
        <f>Fuente!BD431</f>
        <v>0</v>
      </c>
      <c r="AB427" s="477" t="s">
        <v>49</v>
      </c>
      <c r="AC427" s="477"/>
      <c r="AD427" s="477"/>
      <c r="AE427" s="477"/>
      <c r="AF427" s="494" t="s">
        <v>919</v>
      </c>
      <c r="AG427" s="480" t="str">
        <f>Fuente!AB428</f>
        <v>SECRETARÍA DE AGRICULTURA</v>
      </c>
      <c r="AH427" s="90"/>
      <c r="AI427" s="81"/>
      <c r="AJ427" s="91"/>
    </row>
    <row r="428" spans="1:36" ht="75" x14ac:dyDescent="0.2">
      <c r="A428" s="76">
        <v>5</v>
      </c>
      <c r="B428" s="350" t="s">
        <v>1750</v>
      </c>
      <c r="C428" s="351" t="s">
        <v>1354</v>
      </c>
      <c r="D428" s="350" t="s">
        <v>1355</v>
      </c>
      <c r="E428" s="351" t="s">
        <v>1431</v>
      </c>
      <c r="F428" s="350" t="s">
        <v>1432</v>
      </c>
      <c r="G428" s="352"/>
      <c r="H428" s="350" t="s">
        <v>1433</v>
      </c>
      <c r="I428" s="350" t="s">
        <v>1433</v>
      </c>
      <c r="J428" s="76" t="s">
        <v>1434</v>
      </c>
      <c r="K428" s="76" t="s">
        <v>1435</v>
      </c>
      <c r="L428" s="353"/>
      <c r="M428" s="350" t="s">
        <v>1436</v>
      </c>
      <c r="N428" s="350" t="s">
        <v>1437</v>
      </c>
      <c r="O428" s="76" t="s">
        <v>55</v>
      </c>
      <c r="P428" s="76">
        <v>170</v>
      </c>
      <c r="Q428" s="485">
        <f>Fuente!AT432</f>
        <v>98</v>
      </c>
      <c r="R428" s="485">
        <f>Fuente!AU432</f>
        <v>0</v>
      </c>
      <c r="S428" s="485">
        <f>Fuente!AV432</f>
        <v>0</v>
      </c>
      <c r="T428" s="485">
        <f>Fuente!AW432</f>
        <v>0</v>
      </c>
      <c r="U428" s="467">
        <f>Fuente!AM432</f>
        <v>0.41176470588235292</v>
      </c>
      <c r="V428" s="485">
        <f>Fuente!AY432</f>
        <v>40</v>
      </c>
      <c r="W428" s="485">
        <f>Fuente!AZ432</f>
        <v>28</v>
      </c>
      <c r="X428" s="485">
        <f>Fuente!BA432</f>
        <v>0</v>
      </c>
      <c r="Y428" s="485">
        <f>Fuente!BB432</f>
        <v>0</v>
      </c>
      <c r="Z428" s="485">
        <f>Fuente!BC432</f>
        <v>0</v>
      </c>
      <c r="AA428" s="467">
        <f>Fuente!BD432</f>
        <v>0.7</v>
      </c>
      <c r="AB428" s="477" t="s">
        <v>49</v>
      </c>
      <c r="AC428" s="480" t="s">
        <v>1423</v>
      </c>
      <c r="AD428" s="477"/>
      <c r="AE428" s="477"/>
      <c r="AF428" s="494" t="s">
        <v>919</v>
      </c>
      <c r="AG428" s="480" t="str">
        <f>Fuente!AB429</f>
        <v>SECRETARÍA DE AGRICULTURA</v>
      </c>
      <c r="AH428" s="90"/>
      <c r="AI428" s="81"/>
      <c r="AJ428" s="91"/>
    </row>
    <row r="429" spans="1:36" ht="63" x14ac:dyDescent="0.2">
      <c r="A429" s="76">
        <v>5</v>
      </c>
      <c r="B429" s="350" t="s">
        <v>1750</v>
      </c>
      <c r="C429" s="351" t="s">
        <v>1354</v>
      </c>
      <c r="D429" s="350" t="s">
        <v>1355</v>
      </c>
      <c r="E429" s="351" t="s">
        <v>1431</v>
      </c>
      <c r="F429" s="350" t="s">
        <v>1432</v>
      </c>
      <c r="G429" s="352"/>
      <c r="H429" s="350" t="s">
        <v>1433</v>
      </c>
      <c r="I429" s="350" t="s">
        <v>1433</v>
      </c>
      <c r="J429" s="76" t="s">
        <v>1434</v>
      </c>
      <c r="K429" s="76" t="s">
        <v>1435</v>
      </c>
      <c r="L429" s="353"/>
      <c r="M429" s="350" t="s">
        <v>1441</v>
      </c>
      <c r="N429" s="350" t="s">
        <v>1442</v>
      </c>
      <c r="O429" s="76" t="s">
        <v>55</v>
      </c>
      <c r="P429" s="76">
        <v>200</v>
      </c>
      <c r="Q429" s="485">
        <f>Fuente!AT433</f>
        <v>170</v>
      </c>
      <c r="R429" s="485">
        <f>Fuente!AU433</f>
        <v>0</v>
      </c>
      <c r="S429" s="485">
        <f>Fuente!AV433</f>
        <v>0</v>
      </c>
      <c r="T429" s="485">
        <f>Fuente!AW433</f>
        <v>0</v>
      </c>
      <c r="U429" s="467">
        <f>Fuente!AM433</f>
        <v>0.25</v>
      </c>
      <c r="V429" s="485">
        <f>Fuente!AY433</f>
        <v>60</v>
      </c>
      <c r="W429" s="485">
        <f>Fuente!AZ433</f>
        <v>120</v>
      </c>
      <c r="X429" s="485">
        <f>Fuente!BA433</f>
        <v>0</v>
      </c>
      <c r="Y429" s="485">
        <f>Fuente!BB433</f>
        <v>0</v>
      </c>
      <c r="Z429" s="485">
        <f>Fuente!BC433</f>
        <v>0</v>
      </c>
      <c r="AA429" s="467">
        <f>Fuente!BD433</f>
        <v>1</v>
      </c>
      <c r="AB429" s="477" t="s">
        <v>49</v>
      </c>
      <c r="AC429" s="480" t="s">
        <v>1427</v>
      </c>
      <c r="AD429" s="477"/>
      <c r="AE429" s="477"/>
      <c r="AF429" s="494" t="s">
        <v>919</v>
      </c>
      <c r="AG429" s="480" t="str">
        <f>Fuente!AB430</f>
        <v>SECRETARÍA DE AGRICULTURA</v>
      </c>
      <c r="AH429" s="90"/>
      <c r="AI429" s="81"/>
      <c r="AJ429" s="91"/>
    </row>
    <row r="430" spans="1:36" ht="63" x14ac:dyDescent="0.2">
      <c r="A430" s="76">
        <v>5</v>
      </c>
      <c r="B430" s="350" t="s">
        <v>1750</v>
      </c>
      <c r="C430" s="351" t="s">
        <v>1354</v>
      </c>
      <c r="D430" s="350" t="s">
        <v>1355</v>
      </c>
      <c r="E430" s="351" t="s">
        <v>1444</v>
      </c>
      <c r="F430" s="350" t="s">
        <v>1445</v>
      </c>
      <c r="G430" s="352"/>
      <c r="H430" s="352" t="s">
        <v>1446</v>
      </c>
      <c r="I430" s="350" t="s">
        <v>1446</v>
      </c>
      <c r="J430" s="491" t="s">
        <v>1373</v>
      </c>
      <c r="K430" s="491">
        <v>1</v>
      </c>
      <c r="L430" s="491"/>
      <c r="M430" s="350" t="s">
        <v>1447</v>
      </c>
      <c r="N430" s="350" t="s">
        <v>1447</v>
      </c>
      <c r="O430" s="308" t="s">
        <v>1373</v>
      </c>
      <c r="P430" s="308">
        <v>100</v>
      </c>
      <c r="Q430" s="485">
        <f>Fuente!AT434</f>
        <v>1</v>
      </c>
      <c r="R430" s="485">
        <f>Fuente!AU434</f>
        <v>0</v>
      </c>
      <c r="S430" s="485">
        <f>Fuente!AV434</f>
        <v>0</v>
      </c>
      <c r="T430" s="485">
        <f>Fuente!AW434</f>
        <v>0</v>
      </c>
      <c r="U430" s="467">
        <f>Fuente!AM434</f>
        <v>0</v>
      </c>
      <c r="V430" s="485">
        <f>Fuente!AY434</f>
        <v>4</v>
      </c>
      <c r="W430" s="485">
        <f>Fuente!AZ434</f>
        <v>1</v>
      </c>
      <c r="X430" s="485">
        <f>Fuente!BA434</f>
        <v>0</v>
      </c>
      <c r="Y430" s="485">
        <f>Fuente!BB434</f>
        <v>0</v>
      </c>
      <c r="Z430" s="485">
        <f>Fuente!BC434</f>
        <v>0</v>
      </c>
      <c r="AA430" s="467">
        <f>Fuente!BD434</f>
        <v>0.25</v>
      </c>
      <c r="AB430" s="477" t="s">
        <v>49</v>
      </c>
      <c r="AC430" s="480" t="s">
        <v>1427</v>
      </c>
      <c r="AD430" s="477"/>
      <c r="AE430" s="477"/>
      <c r="AF430" s="494" t="s">
        <v>919</v>
      </c>
      <c r="AG430" s="480" t="str">
        <f>Fuente!AB431</f>
        <v>SECRETARÍA DE AGRICULTURA</v>
      </c>
      <c r="AH430" s="90"/>
      <c r="AI430" s="81"/>
      <c r="AJ430" s="91"/>
    </row>
    <row r="431" spans="1:36" ht="195" x14ac:dyDescent="0.2">
      <c r="A431" s="76">
        <v>5</v>
      </c>
      <c r="B431" s="350" t="s">
        <v>1750</v>
      </c>
      <c r="C431" s="351" t="s">
        <v>1354</v>
      </c>
      <c r="D431" s="350" t="s">
        <v>1355</v>
      </c>
      <c r="E431" s="351" t="s">
        <v>1444</v>
      </c>
      <c r="F431" s="350" t="s">
        <v>1445</v>
      </c>
      <c r="G431" s="352"/>
      <c r="H431" s="352" t="s">
        <v>1446</v>
      </c>
      <c r="I431" s="350" t="s">
        <v>1446</v>
      </c>
      <c r="J431" s="491" t="s">
        <v>1373</v>
      </c>
      <c r="K431" s="491">
        <v>1</v>
      </c>
      <c r="L431" s="491"/>
      <c r="M431" s="350" t="s">
        <v>1448</v>
      </c>
      <c r="N431" s="350" t="s">
        <v>1448</v>
      </c>
      <c r="O431" s="308" t="s">
        <v>1373</v>
      </c>
      <c r="P431" s="308">
        <v>100</v>
      </c>
      <c r="Q431" s="485">
        <f>Fuente!AT435</f>
        <v>0</v>
      </c>
      <c r="R431" s="485">
        <f>Fuente!AU435</f>
        <v>0</v>
      </c>
      <c r="S431" s="485">
        <f>Fuente!AV435</f>
        <v>0</v>
      </c>
      <c r="T431" s="485">
        <f>Fuente!AW435</f>
        <v>0</v>
      </c>
      <c r="U431" s="467">
        <f>Fuente!AM435</f>
        <v>0</v>
      </c>
      <c r="V431" s="485">
        <f>Fuente!AY435</f>
        <v>0.2</v>
      </c>
      <c r="W431" s="485">
        <f>Fuente!AZ435</f>
        <v>0</v>
      </c>
      <c r="X431" s="485">
        <f>Fuente!BA435</f>
        <v>0</v>
      </c>
      <c r="Y431" s="485">
        <f>Fuente!BB435</f>
        <v>0</v>
      </c>
      <c r="Z431" s="485">
        <f>Fuente!BC435</f>
        <v>0</v>
      </c>
      <c r="AA431" s="467">
        <f>Fuente!BD435</f>
        <v>0</v>
      </c>
      <c r="AB431" s="477" t="s">
        <v>49</v>
      </c>
      <c r="AC431" s="480" t="s">
        <v>1438</v>
      </c>
      <c r="AD431" s="480" t="s">
        <v>1439</v>
      </c>
      <c r="AE431" s="477">
        <v>17</v>
      </c>
      <c r="AF431" s="494" t="s">
        <v>1440</v>
      </c>
      <c r="AG431" s="480" t="str">
        <f>Fuente!AB432</f>
        <v>SECRETARÍA DE INFRAESTRUCTURA</v>
      </c>
      <c r="AH431" s="91"/>
      <c r="AI431" s="91"/>
      <c r="AJ431" s="91">
        <v>8000000000</v>
      </c>
    </row>
    <row r="432" spans="1:36" ht="195" x14ac:dyDescent="0.2">
      <c r="A432" s="76">
        <v>5</v>
      </c>
      <c r="B432" s="350" t="s">
        <v>1750</v>
      </c>
      <c r="C432" s="351" t="s">
        <v>1354</v>
      </c>
      <c r="D432" s="350" t="s">
        <v>1355</v>
      </c>
      <c r="E432" s="351" t="s">
        <v>1444</v>
      </c>
      <c r="F432" s="350" t="s">
        <v>1445</v>
      </c>
      <c r="G432" s="352"/>
      <c r="H432" s="352" t="s">
        <v>1446</v>
      </c>
      <c r="I432" s="350" t="s">
        <v>1446</v>
      </c>
      <c r="J432" s="491" t="s">
        <v>1373</v>
      </c>
      <c r="K432" s="491">
        <v>1</v>
      </c>
      <c r="L432" s="491"/>
      <c r="M432" s="350" t="s">
        <v>1449</v>
      </c>
      <c r="N432" s="350" t="s">
        <v>1449</v>
      </c>
      <c r="O432" s="308" t="s">
        <v>1373</v>
      </c>
      <c r="P432" s="308">
        <v>4</v>
      </c>
      <c r="Q432" s="485">
        <f>Fuente!AT436</f>
        <v>0</v>
      </c>
      <c r="R432" s="485">
        <f>Fuente!AU436</f>
        <v>0</v>
      </c>
      <c r="S432" s="485">
        <f>Fuente!AV436</f>
        <v>0</v>
      </c>
      <c r="T432" s="485">
        <f>Fuente!AW436</f>
        <v>0</v>
      </c>
      <c r="U432" s="467">
        <f>Fuente!AM436</f>
        <v>0</v>
      </c>
      <c r="V432" s="485">
        <f>Fuente!AY436</f>
        <v>1</v>
      </c>
      <c r="W432" s="485">
        <f>Fuente!AZ436</f>
        <v>0</v>
      </c>
      <c r="X432" s="485">
        <f>Fuente!BA436</f>
        <v>0</v>
      </c>
      <c r="Y432" s="485">
        <f>Fuente!BB436</f>
        <v>0</v>
      </c>
      <c r="Z432" s="485">
        <f>Fuente!BC436</f>
        <v>0</v>
      </c>
      <c r="AA432" s="467">
        <f>Fuente!BD436</f>
        <v>0</v>
      </c>
      <c r="AB432" s="477" t="s">
        <v>49</v>
      </c>
      <c r="AC432" s="480" t="s">
        <v>1443</v>
      </c>
      <c r="AD432" s="480" t="s">
        <v>1439</v>
      </c>
      <c r="AE432" s="477">
        <v>17</v>
      </c>
      <c r="AF432" s="494" t="s">
        <v>1440</v>
      </c>
      <c r="AG432" s="480" t="str">
        <f>Fuente!AB433</f>
        <v>SECRETARÍA DE INFRAESTRUCTURA</v>
      </c>
      <c r="AH432" s="91"/>
      <c r="AI432" s="91"/>
      <c r="AJ432" s="91"/>
    </row>
    <row r="433" spans="1:36" ht="63" x14ac:dyDescent="0.2">
      <c r="A433" s="76">
        <v>5</v>
      </c>
      <c r="B433" s="350" t="s">
        <v>1750</v>
      </c>
      <c r="C433" s="351" t="s">
        <v>1354</v>
      </c>
      <c r="D433" s="350" t="s">
        <v>1355</v>
      </c>
      <c r="E433" s="351" t="s">
        <v>1444</v>
      </c>
      <c r="F433" s="350" t="s">
        <v>1445</v>
      </c>
      <c r="G433" s="352"/>
      <c r="H433" s="352" t="s">
        <v>1446</v>
      </c>
      <c r="I433" s="350" t="s">
        <v>1446</v>
      </c>
      <c r="J433" s="491" t="s">
        <v>1373</v>
      </c>
      <c r="K433" s="491">
        <v>1</v>
      </c>
      <c r="L433" s="491"/>
      <c r="M433" s="350" t="s">
        <v>1450</v>
      </c>
      <c r="N433" s="350" t="s">
        <v>1450</v>
      </c>
      <c r="O433" s="308" t="s">
        <v>1373</v>
      </c>
      <c r="P433" s="308">
        <v>4</v>
      </c>
      <c r="Q433" s="485">
        <f>Fuente!AT437</f>
        <v>0</v>
      </c>
      <c r="R433" s="485">
        <f>Fuente!AU437</f>
        <v>0</v>
      </c>
      <c r="S433" s="485">
        <f>Fuente!AV437</f>
        <v>0</v>
      </c>
      <c r="T433" s="485">
        <f>Fuente!AW437</f>
        <v>0</v>
      </c>
      <c r="U433" s="467">
        <f>Fuente!AM437</f>
        <v>0</v>
      </c>
      <c r="V433" s="485">
        <f>Fuente!AY437</f>
        <v>1</v>
      </c>
      <c r="W433" s="485">
        <f>Fuente!AZ437</f>
        <v>0</v>
      </c>
      <c r="X433" s="485">
        <f>Fuente!BA437</f>
        <v>0</v>
      </c>
      <c r="Y433" s="485">
        <f>Fuente!BB437</f>
        <v>0</v>
      </c>
      <c r="Z433" s="485">
        <f>Fuente!BC437</f>
        <v>0</v>
      </c>
      <c r="AA433" s="467">
        <f>Fuente!BD437</f>
        <v>0</v>
      </c>
      <c r="AB433" s="477" t="s">
        <v>49</v>
      </c>
      <c r="AC433" s="477"/>
      <c r="AD433" s="477"/>
      <c r="AE433" s="477"/>
      <c r="AF433" s="482"/>
      <c r="AG433" s="480" t="str">
        <f>Fuente!AB434</f>
        <v>ICULTUR</v>
      </c>
      <c r="AH433" s="81"/>
      <c r="AI433" s="81"/>
      <c r="AJ433" s="81"/>
    </row>
    <row r="434" spans="1:36" ht="63" x14ac:dyDescent="0.2">
      <c r="A434" s="76">
        <v>5</v>
      </c>
      <c r="B434" s="350" t="s">
        <v>1750</v>
      </c>
      <c r="C434" s="351" t="s">
        <v>1354</v>
      </c>
      <c r="D434" s="350" t="s">
        <v>1355</v>
      </c>
      <c r="E434" s="351" t="s">
        <v>1444</v>
      </c>
      <c r="F434" s="350" t="s">
        <v>1445</v>
      </c>
      <c r="G434" s="352"/>
      <c r="H434" s="352" t="s">
        <v>1446</v>
      </c>
      <c r="I434" s="350" t="s">
        <v>1446</v>
      </c>
      <c r="J434" s="491" t="s">
        <v>1373</v>
      </c>
      <c r="K434" s="491">
        <v>1</v>
      </c>
      <c r="L434" s="491"/>
      <c r="M434" s="350" t="s">
        <v>1451</v>
      </c>
      <c r="N434" s="350" t="s">
        <v>1451</v>
      </c>
      <c r="O434" s="308" t="s">
        <v>1373</v>
      </c>
      <c r="P434" s="308">
        <v>100</v>
      </c>
      <c r="Q434" s="485">
        <f>Fuente!AT438</f>
        <v>0</v>
      </c>
      <c r="R434" s="485">
        <f>Fuente!AU438</f>
        <v>0</v>
      </c>
      <c r="S434" s="485">
        <f>Fuente!AV438</f>
        <v>0</v>
      </c>
      <c r="T434" s="485">
        <f>Fuente!AW438</f>
        <v>0</v>
      </c>
      <c r="U434" s="467">
        <f>Fuente!AM438</f>
        <v>0</v>
      </c>
      <c r="V434" s="485">
        <f>Fuente!AY438</f>
        <v>50</v>
      </c>
      <c r="W434" s="485">
        <f>Fuente!AZ438</f>
        <v>0</v>
      </c>
      <c r="X434" s="485">
        <f>Fuente!BA438</f>
        <v>0</v>
      </c>
      <c r="Y434" s="485">
        <f>Fuente!BB438</f>
        <v>0</v>
      </c>
      <c r="Z434" s="485">
        <f>Fuente!BC438</f>
        <v>0</v>
      </c>
      <c r="AA434" s="467">
        <f>Fuente!BD438</f>
        <v>0</v>
      </c>
      <c r="AB434" s="477" t="s">
        <v>49</v>
      </c>
      <c r="AC434" s="477"/>
      <c r="AD434" s="477"/>
      <c r="AE434" s="477"/>
      <c r="AF434" s="482"/>
      <c r="AG434" s="480" t="str">
        <f>Fuente!AB435</f>
        <v>ICULTUR</v>
      </c>
      <c r="AH434" s="81"/>
      <c r="AI434" s="81"/>
      <c r="AJ434" s="81"/>
    </row>
    <row r="435" spans="1:36" ht="63" x14ac:dyDescent="0.2">
      <c r="A435" s="76">
        <v>5</v>
      </c>
      <c r="B435" s="350" t="s">
        <v>1750</v>
      </c>
      <c r="C435" s="351" t="s">
        <v>1354</v>
      </c>
      <c r="D435" s="350" t="s">
        <v>1355</v>
      </c>
      <c r="E435" s="351" t="s">
        <v>1444</v>
      </c>
      <c r="F435" s="350" t="s">
        <v>1445</v>
      </c>
      <c r="G435" s="352"/>
      <c r="H435" s="352" t="s">
        <v>1446</v>
      </c>
      <c r="I435" s="350" t="s">
        <v>1446</v>
      </c>
      <c r="J435" s="491" t="s">
        <v>1373</v>
      </c>
      <c r="K435" s="491">
        <v>1</v>
      </c>
      <c r="L435" s="479"/>
      <c r="M435" s="350" t="s">
        <v>1452</v>
      </c>
      <c r="N435" s="350" t="s">
        <v>1452</v>
      </c>
      <c r="O435" s="308" t="s">
        <v>1373</v>
      </c>
      <c r="P435" s="308">
        <v>10</v>
      </c>
      <c r="Q435" s="485">
        <f>Fuente!AT439</f>
        <v>2</v>
      </c>
      <c r="R435" s="485">
        <f>Fuente!AU439</f>
        <v>0</v>
      </c>
      <c r="S435" s="485">
        <f>Fuente!AV439</f>
        <v>0</v>
      </c>
      <c r="T435" s="485">
        <f>Fuente!AW439</f>
        <v>0</v>
      </c>
      <c r="U435" s="467">
        <f>Fuente!AM439</f>
        <v>0</v>
      </c>
      <c r="V435" s="485">
        <f>Fuente!AY439</f>
        <v>3</v>
      </c>
      <c r="W435" s="485">
        <f>Fuente!AZ439</f>
        <v>2</v>
      </c>
      <c r="X435" s="485">
        <f>Fuente!BA439</f>
        <v>0</v>
      </c>
      <c r="Y435" s="485">
        <f>Fuente!BB439</f>
        <v>0</v>
      </c>
      <c r="Z435" s="485">
        <f>Fuente!BC439</f>
        <v>0</v>
      </c>
      <c r="AA435" s="467">
        <f>Fuente!BD439</f>
        <v>0.66666666666666663</v>
      </c>
      <c r="AB435" s="477" t="s">
        <v>49</v>
      </c>
      <c r="AC435" s="477"/>
      <c r="AD435" s="477"/>
      <c r="AE435" s="477"/>
      <c r="AF435" s="482"/>
      <c r="AG435" s="480" t="str">
        <f>Fuente!AB436</f>
        <v>ICULTUR</v>
      </c>
      <c r="AH435" s="81"/>
      <c r="AI435" s="81"/>
      <c r="AJ435" s="81"/>
    </row>
    <row r="436" spans="1:36" ht="94.5" x14ac:dyDescent="0.2">
      <c r="A436" s="76">
        <v>6</v>
      </c>
      <c r="B436" s="350" t="s">
        <v>1751</v>
      </c>
      <c r="C436" s="351" t="s">
        <v>1454</v>
      </c>
      <c r="D436" s="350" t="s">
        <v>1455</v>
      </c>
      <c r="E436" s="351" t="s">
        <v>1456</v>
      </c>
      <c r="F436" s="350" t="s">
        <v>1879</v>
      </c>
      <c r="G436" s="351"/>
      <c r="H436" s="352" t="s">
        <v>1457</v>
      </c>
      <c r="I436" s="350" t="s">
        <v>1458</v>
      </c>
      <c r="J436" s="351" t="s">
        <v>1459</v>
      </c>
      <c r="K436" s="491">
        <v>0.85</v>
      </c>
      <c r="L436" s="479"/>
      <c r="M436" s="350" t="s">
        <v>1460</v>
      </c>
      <c r="N436" s="350" t="s">
        <v>1461</v>
      </c>
      <c r="O436" s="351">
        <v>127</v>
      </c>
      <c r="P436" s="351">
        <v>400</v>
      </c>
      <c r="Q436" s="485">
        <f>Fuente!AT440</f>
        <v>130</v>
      </c>
      <c r="R436" s="485">
        <f>Fuente!AU440</f>
        <v>0</v>
      </c>
      <c r="S436" s="485">
        <f>Fuente!AV440</f>
        <v>0</v>
      </c>
      <c r="T436" s="485">
        <f>Fuente!AW440</f>
        <v>0</v>
      </c>
      <c r="U436" s="467">
        <f>Fuente!AM440</f>
        <v>0.125</v>
      </c>
      <c r="V436" s="485">
        <f>Fuente!AY440</f>
        <v>100</v>
      </c>
      <c r="W436" s="485">
        <f>Fuente!AZ440</f>
        <v>80</v>
      </c>
      <c r="X436" s="485">
        <f>Fuente!BA440</f>
        <v>0</v>
      </c>
      <c r="Y436" s="485">
        <f>Fuente!BB440</f>
        <v>0</v>
      </c>
      <c r="Z436" s="485">
        <f>Fuente!BC440</f>
        <v>0</v>
      </c>
      <c r="AA436" s="467">
        <f>Fuente!BD440</f>
        <v>0.8</v>
      </c>
      <c r="AB436" s="477" t="s">
        <v>49</v>
      </c>
      <c r="AC436" s="477"/>
      <c r="AD436" s="477"/>
      <c r="AE436" s="477"/>
      <c r="AF436" s="482"/>
      <c r="AG436" s="480" t="str">
        <f>Fuente!AB437</f>
        <v>ICULTUR</v>
      </c>
      <c r="AH436" s="81"/>
      <c r="AI436" s="81"/>
      <c r="AJ436" s="81"/>
    </row>
    <row r="437" spans="1:36" ht="94.5" x14ac:dyDescent="0.2">
      <c r="A437" s="76">
        <v>6</v>
      </c>
      <c r="B437" s="350" t="s">
        <v>1751</v>
      </c>
      <c r="C437" s="351" t="s">
        <v>1454</v>
      </c>
      <c r="D437" s="350" t="s">
        <v>1455</v>
      </c>
      <c r="E437" s="351" t="s">
        <v>1456</v>
      </c>
      <c r="F437" s="350" t="s">
        <v>1879</v>
      </c>
      <c r="G437" s="351"/>
      <c r="H437" s="352" t="s">
        <v>1457</v>
      </c>
      <c r="I437" s="350" t="s">
        <v>1458</v>
      </c>
      <c r="J437" s="351" t="s">
        <v>1459</v>
      </c>
      <c r="K437" s="491">
        <v>0.85</v>
      </c>
      <c r="L437" s="479"/>
      <c r="M437" s="350" t="s">
        <v>1460</v>
      </c>
      <c r="N437" s="350" t="s">
        <v>1463</v>
      </c>
      <c r="O437" s="351">
        <v>0</v>
      </c>
      <c r="P437" s="351">
        <v>70</v>
      </c>
      <c r="Q437" s="485">
        <f>Fuente!AT441</f>
        <v>10</v>
      </c>
      <c r="R437" s="485">
        <f>Fuente!AU441</f>
        <v>0</v>
      </c>
      <c r="S437" s="485">
        <f>Fuente!AV441</f>
        <v>0</v>
      </c>
      <c r="T437" s="485">
        <f>Fuente!AW441</f>
        <v>0</v>
      </c>
      <c r="U437" s="467">
        <f>Fuente!AM441</f>
        <v>0.14285714285714285</v>
      </c>
      <c r="V437" s="485">
        <f>Fuente!AY441</f>
        <v>20</v>
      </c>
      <c r="W437" s="485">
        <f>Fuente!AZ441</f>
        <v>0</v>
      </c>
      <c r="X437" s="485">
        <f>Fuente!BA441</f>
        <v>0</v>
      </c>
      <c r="Y437" s="485">
        <f>Fuente!BB441</f>
        <v>0</v>
      </c>
      <c r="Z437" s="485">
        <f>Fuente!BC441</f>
        <v>0</v>
      </c>
      <c r="AA437" s="467">
        <f>Fuente!BD441</f>
        <v>0</v>
      </c>
      <c r="AB437" s="477" t="s">
        <v>49</v>
      </c>
      <c r="AC437" s="477"/>
      <c r="AD437" s="477"/>
      <c r="AE437" s="477"/>
      <c r="AF437" s="482"/>
      <c r="AG437" s="480" t="str">
        <f>Fuente!AB438</f>
        <v>ICULTUR</v>
      </c>
      <c r="AH437" s="81"/>
      <c r="AI437" s="81"/>
      <c r="AJ437" s="81"/>
    </row>
    <row r="438" spans="1:36" ht="94.5" x14ac:dyDescent="0.2">
      <c r="A438" s="76">
        <v>6</v>
      </c>
      <c r="B438" s="350" t="s">
        <v>1751</v>
      </c>
      <c r="C438" s="351" t="s">
        <v>1454</v>
      </c>
      <c r="D438" s="350" t="s">
        <v>1455</v>
      </c>
      <c r="E438" s="351" t="s">
        <v>1456</v>
      </c>
      <c r="F438" s="350" t="s">
        <v>1879</v>
      </c>
      <c r="G438" s="351"/>
      <c r="H438" s="352" t="s">
        <v>1457</v>
      </c>
      <c r="I438" s="350" t="s">
        <v>1458</v>
      </c>
      <c r="J438" s="351" t="s">
        <v>1459</v>
      </c>
      <c r="K438" s="491">
        <v>0.85</v>
      </c>
      <c r="L438" s="479"/>
      <c r="M438" s="350" t="s">
        <v>1460</v>
      </c>
      <c r="N438" s="350" t="s">
        <v>1467</v>
      </c>
      <c r="O438" s="351">
        <v>0</v>
      </c>
      <c r="P438" s="351">
        <v>300</v>
      </c>
      <c r="Q438" s="485">
        <f>Fuente!AT442</f>
        <v>110</v>
      </c>
      <c r="R438" s="485">
        <f>Fuente!AU442</f>
        <v>0</v>
      </c>
      <c r="S438" s="485">
        <f>Fuente!AV442</f>
        <v>0</v>
      </c>
      <c r="T438" s="485">
        <f>Fuente!AW442</f>
        <v>0</v>
      </c>
      <c r="U438" s="467">
        <f>Fuente!AM442</f>
        <v>0.1</v>
      </c>
      <c r="V438" s="485">
        <f>Fuente!AY442</f>
        <v>80</v>
      </c>
      <c r="W438" s="485">
        <f>Fuente!AZ442</f>
        <v>80</v>
      </c>
      <c r="X438" s="485">
        <f>Fuente!BA442</f>
        <v>0</v>
      </c>
      <c r="Y438" s="485">
        <f>Fuente!BB442</f>
        <v>0</v>
      </c>
      <c r="Z438" s="485">
        <f>Fuente!BC442</f>
        <v>0</v>
      </c>
      <c r="AA438" s="467">
        <f>Fuente!BD442</f>
        <v>1</v>
      </c>
      <c r="AB438" s="477" t="s">
        <v>49</v>
      </c>
      <c r="AC438" s="477"/>
      <c r="AD438" s="477"/>
      <c r="AE438" s="477"/>
      <c r="AF438" s="482"/>
      <c r="AG438" s="480" t="str">
        <f>Fuente!AB439</f>
        <v>IDERBOL</v>
      </c>
      <c r="AH438" s="81"/>
      <c r="AI438" s="81"/>
      <c r="AJ438" s="81"/>
    </row>
    <row r="439" spans="1:36" ht="94.5" x14ac:dyDescent="0.2">
      <c r="A439" s="76">
        <v>6</v>
      </c>
      <c r="B439" s="350" t="s">
        <v>1751</v>
      </c>
      <c r="C439" s="351" t="s">
        <v>1454</v>
      </c>
      <c r="D439" s="350" t="s">
        <v>1455</v>
      </c>
      <c r="E439" s="351" t="s">
        <v>1456</v>
      </c>
      <c r="F439" s="350" t="s">
        <v>1879</v>
      </c>
      <c r="G439" s="351"/>
      <c r="H439" s="352" t="s">
        <v>1457</v>
      </c>
      <c r="I439" s="350" t="s">
        <v>1458</v>
      </c>
      <c r="J439" s="351" t="s">
        <v>1459</v>
      </c>
      <c r="K439" s="491">
        <v>0.85</v>
      </c>
      <c r="L439" s="479"/>
      <c r="M439" s="350" t="s">
        <v>1460</v>
      </c>
      <c r="N439" s="350" t="s">
        <v>1468</v>
      </c>
      <c r="O439" s="351" t="s">
        <v>1469</v>
      </c>
      <c r="P439" s="491">
        <v>0.95</v>
      </c>
      <c r="Q439" s="485">
        <f>Fuente!AT443</f>
        <v>0.2</v>
      </c>
      <c r="R439" s="485">
        <f>Fuente!AU443</f>
        <v>0</v>
      </c>
      <c r="S439" s="485">
        <f>Fuente!AV443</f>
        <v>0</v>
      </c>
      <c r="T439" s="485">
        <f>Fuente!AW443</f>
        <v>0</v>
      </c>
      <c r="U439" s="467">
        <f>Fuente!AM443</f>
        <v>0</v>
      </c>
      <c r="V439" s="485">
        <f>Fuente!AY443</f>
        <v>0.2</v>
      </c>
      <c r="W439" s="485">
        <f>Fuente!AZ443</f>
        <v>0.2</v>
      </c>
      <c r="X439" s="485">
        <f>Fuente!BA443</f>
        <v>0</v>
      </c>
      <c r="Y439" s="485">
        <f>Fuente!BB443</f>
        <v>0</v>
      </c>
      <c r="Z439" s="485">
        <f>Fuente!BC443</f>
        <v>0</v>
      </c>
      <c r="AA439" s="467">
        <f>Fuente!BD443</f>
        <v>1</v>
      </c>
      <c r="AB439" s="477" t="s">
        <v>412</v>
      </c>
      <c r="AC439" s="480" t="s">
        <v>1453</v>
      </c>
      <c r="AD439" s="480" t="s">
        <v>659</v>
      </c>
      <c r="AE439" s="477" t="s">
        <v>613</v>
      </c>
      <c r="AF439" s="494" t="s">
        <v>660</v>
      </c>
      <c r="AG439" s="480" t="e">
        <f>Fuente!#REF!</f>
        <v>#REF!</v>
      </c>
      <c r="AH439" s="81"/>
      <c r="AI439" s="81"/>
      <c r="AJ439" s="81"/>
    </row>
    <row r="440" spans="1:36" ht="94.5" x14ac:dyDescent="0.2">
      <c r="A440" s="76">
        <v>6</v>
      </c>
      <c r="B440" s="350" t="s">
        <v>1751</v>
      </c>
      <c r="C440" s="351" t="s">
        <v>1454</v>
      </c>
      <c r="D440" s="350" t="s">
        <v>1455</v>
      </c>
      <c r="E440" s="351" t="s">
        <v>1456</v>
      </c>
      <c r="F440" s="350" t="s">
        <v>1879</v>
      </c>
      <c r="G440" s="351"/>
      <c r="H440" s="352" t="s">
        <v>1457</v>
      </c>
      <c r="I440" s="350" t="s">
        <v>1458</v>
      </c>
      <c r="J440" s="351" t="s">
        <v>1459</v>
      </c>
      <c r="K440" s="491">
        <v>0.85</v>
      </c>
      <c r="L440" s="479"/>
      <c r="M440" s="350" t="s">
        <v>1460</v>
      </c>
      <c r="N440" s="350" t="s">
        <v>1470</v>
      </c>
      <c r="O440" s="351">
        <v>9</v>
      </c>
      <c r="P440" s="351">
        <v>30</v>
      </c>
      <c r="Q440" s="485">
        <f>Fuente!AT444</f>
        <v>0</v>
      </c>
      <c r="R440" s="485">
        <f>Fuente!AU444</f>
        <v>0</v>
      </c>
      <c r="S440" s="485">
        <f>Fuente!AV444</f>
        <v>0</v>
      </c>
      <c r="T440" s="485">
        <f>Fuente!AW444</f>
        <v>0</v>
      </c>
      <c r="U440" s="467">
        <f>Fuente!AM444</f>
        <v>0</v>
      </c>
      <c r="V440" s="485">
        <f>Fuente!AY444</f>
        <v>10</v>
      </c>
      <c r="W440" s="485">
        <f>Fuente!AZ444</f>
        <v>0</v>
      </c>
      <c r="X440" s="485">
        <f>Fuente!BA444</f>
        <v>0</v>
      </c>
      <c r="Y440" s="485">
        <f>Fuente!BB444</f>
        <v>0</v>
      </c>
      <c r="Z440" s="485">
        <f>Fuente!BC444</f>
        <v>0</v>
      </c>
      <c r="AA440" s="467">
        <f>Fuente!BD444</f>
        <v>0</v>
      </c>
      <c r="AB440" s="480" t="s">
        <v>49</v>
      </c>
      <c r="AC440" s="480"/>
      <c r="AD440" s="480"/>
      <c r="AE440" s="480"/>
      <c r="AF440" s="494" t="s">
        <v>1462</v>
      </c>
      <c r="AG440" s="480" t="str">
        <f>Fuente!AB440</f>
        <v>SECRETARÍA DE VÍCTIMAS</v>
      </c>
      <c r="AH440" s="90"/>
      <c r="AI440" s="90"/>
      <c r="AJ440" s="98"/>
    </row>
    <row r="441" spans="1:36" ht="94.5" x14ac:dyDescent="0.2">
      <c r="A441" s="76">
        <v>6</v>
      </c>
      <c r="B441" s="350" t="s">
        <v>1751</v>
      </c>
      <c r="C441" s="351" t="s">
        <v>1454</v>
      </c>
      <c r="D441" s="350" t="s">
        <v>1455</v>
      </c>
      <c r="E441" s="351" t="s">
        <v>1456</v>
      </c>
      <c r="F441" s="350" t="s">
        <v>1879</v>
      </c>
      <c r="G441" s="351"/>
      <c r="H441" s="352" t="s">
        <v>1457</v>
      </c>
      <c r="I441" s="350" t="s">
        <v>1458</v>
      </c>
      <c r="J441" s="351" t="s">
        <v>1459</v>
      </c>
      <c r="K441" s="491">
        <v>0.85</v>
      </c>
      <c r="L441" s="479"/>
      <c r="M441" s="350" t="s">
        <v>1460</v>
      </c>
      <c r="N441" s="350" t="s">
        <v>1471</v>
      </c>
      <c r="O441" s="351" t="s">
        <v>868</v>
      </c>
      <c r="P441" s="351">
        <v>7</v>
      </c>
      <c r="Q441" s="485">
        <f>Fuente!AT445</f>
        <v>0</v>
      </c>
      <c r="R441" s="485">
        <f>Fuente!AU445</f>
        <v>0</v>
      </c>
      <c r="S441" s="485">
        <f>Fuente!AV445</f>
        <v>0</v>
      </c>
      <c r="T441" s="485">
        <f>Fuente!AW445</f>
        <v>0</v>
      </c>
      <c r="U441" s="467">
        <f>Fuente!AM445</f>
        <v>0</v>
      </c>
      <c r="V441" s="485">
        <f>Fuente!AY445</f>
        <v>3</v>
      </c>
      <c r="W441" s="485">
        <f>Fuente!AZ445</f>
        <v>0</v>
      </c>
      <c r="X441" s="485">
        <f>Fuente!BA445</f>
        <v>0</v>
      </c>
      <c r="Y441" s="485">
        <f>Fuente!BB445</f>
        <v>0</v>
      </c>
      <c r="Z441" s="485">
        <f>Fuente!BC445</f>
        <v>0</v>
      </c>
      <c r="AA441" s="467">
        <f>Fuente!BD445</f>
        <v>0</v>
      </c>
      <c r="AB441" s="480" t="s">
        <v>49</v>
      </c>
      <c r="AC441" s="480"/>
      <c r="AD441" s="480"/>
      <c r="AE441" s="480"/>
      <c r="AF441" s="494" t="s">
        <v>1464</v>
      </c>
      <c r="AG441" s="480" t="str">
        <f>Fuente!AB441</f>
        <v>SECRETARÍA DE VÍCTIMAS</v>
      </c>
      <c r="AH441" s="90" t="s">
        <v>1465</v>
      </c>
      <c r="AI441" s="90" t="s">
        <v>1466</v>
      </c>
      <c r="AJ441" s="98">
        <v>200000000</v>
      </c>
    </row>
    <row r="442" spans="1:36" ht="94.5" x14ac:dyDescent="0.2">
      <c r="A442" s="76">
        <v>6</v>
      </c>
      <c r="B442" s="350" t="s">
        <v>1751</v>
      </c>
      <c r="C442" s="351" t="s">
        <v>1454</v>
      </c>
      <c r="D442" s="350" t="s">
        <v>1455</v>
      </c>
      <c r="E442" s="351" t="s">
        <v>1456</v>
      </c>
      <c r="F442" s="350" t="s">
        <v>1879</v>
      </c>
      <c r="G442" s="351"/>
      <c r="H442" s="352" t="s">
        <v>1457</v>
      </c>
      <c r="I442" s="350" t="s">
        <v>1458</v>
      </c>
      <c r="J442" s="351" t="s">
        <v>1459</v>
      </c>
      <c r="K442" s="491">
        <v>0.85</v>
      </c>
      <c r="L442" s="479"/>
      <c r="M442" s="350" t="s">
        <v>1460</v>
      </c>
      <c r="N442" s="350" t="s">
        <v>1472</v>
      </c>
      <c r="O442" s="351">
        <v>0</v>
      </c>
      <c r="P442" s="351">
        <v>1000</v>
      </c>
      <c r="Q442" s="485">
        <f>Fuente!AT446</f>
        <v>0</v>
      </c>
      <c r="R442" s="485">
        <f>Fuente!AU446</f>
        <v>0</v>
      </c>
      <c r="S442" s="485">
        <f>Fuente!AV446</f>
        <v>0</v>
      </c>
      <c r="T442" s="485">
        <f>Fuente!AW446</f>
        <v>0</v>
      </c>
      <c r="U442" s="467">
        <f>Fuente!AM446</f>
        <v>0</v>
      </c>
      <c r="V442" s="485">
        <f>Fuente!AY446</f>
        <v>300</v>
      </c>
      <c r="W442" s="485">
        <f>Fuente!AZ446</f>
        <v>0</v>
      </c>
      <c r="X442" s="485">
        <f>Fuente!BA446</f>
        <v>0</v>
      </c>
      <c r="Y442" s="485">
        <f>Fuente!BB446</f>
        <v>0</v>
      </c>
      <c r="Z442" s="485">
        <f>Fuente!BC446</f>
        <v>0</v>
      </c>
      <c r="AA442" s="467">
        <f>Fuente!BD446</f>
        <v>0</v>
      </c>
      <c r="AB442" s="480" t="s">
        <v>49</v>
      </c>
      <c r="AC442" s="480"/>
      <c r="AD442" s="480"/>
      <c r="AE442" s="480"/>
      <c r="AF442" s="494" t="s">
        <v>1464</v>
      </c>
      <c r="AG442" s="480" t="str">
        <f>Fuente!AB442</f>
        <v>SECRETARÍA DE VÍCTIMAS</v>
      </c>
      <c r="AH442" s="90"/>
      <c r="AI442" s="90"/>
      <c r="AJ442" s="98"/>
    </row>
    <row r="443" spans="1:36" ht="94.5" x14ac:dyDescent="0.2">
      <c r="A443" s="76">
        <v>6</v>
      </c>
      <c r="B443" s="350" t="s">
        <v>1751</v>
      </c>
      <c r="C443" s="351" t="s">
        <v>1454</v>
      </c>
      <c r="D443" s="350" t="s">
        <v>1455</v>
      </c>
      <c r="E443" s="351" t="s">
        <v>1456</v>
      </c>
      <c r="F443" s="350" t="s">
        <v>1879</v>
      </c>
      <c r="G443" s="351"/>
      <c r="H443" s="352" t="s">
        <v>1457</v>
      </c>
      <c r="I443" s="350" t="s">
        <v>1458</v>
      </c>
      <c r="J443" s="351" t="s">
        <v>1459</v>
      </c>
      <c r="K443" s="491">
        <v>0.85</v>
      </c>
      <c r="L443" s="479"/>
      <c r="M443" s="350" t="s">
        <v>1460</v>
      </c>
      <c r="N443" s="350" t="s">
        <v>1473</v>
      </c>
      <c r="O443" s="491">
        <v>0.97</v>
      </c>
      <c r="P443" s="491">
        <v>0.99</v>
      </c>
      <c r="Q443" s="485">
        <f>Fuente!AT447</f>
        <v>1</v>
      </c>
      <c r="R443" s="485">
        <f>Fuente!AU447</f>
        <v>0</v>
      </c>
      <c r="S443" s="485">
        <f>Fuente!AV447</f>
        <v>0</v>
      </c>
      <c r="T443" s="485">
        <f>Fuente!AW447</f>
        <v>0</v>
      </c>
      <c r="U443" s="467">
        <f>Fuente!AM447</f>
        <v>0</v>
      </c>
      <c r="V443" s="485">
        <f>Fuente!AY447</f>
        <v>0.5</v>
      </c>
      <c r="W443" s="485">
        <f>Fuente!AZ447</f>
        <v>1</v>
      </c>
      <c r="X443" s="485">
        <f>Fuente!BA447</f>
        <v>0</v>
      </c>
      <c r="Y443" s="485">
        <f>Fuente!BB447</f>
        <v>0</v>
      </c>
      <c r="Z443" s="485">
        <f>Fuente!BC447</f>
        <v>0</v>
      </c>
      <c r="AA443" s="467">
        <f>Fuente!BD447</f>
        <v>1</v>
      </c>
      <c r="AB443" s="480" t="s">
        <v>49</v>
      </c>
      <c r="AC443" s="480"/>
      <c r="AD443" s="480"/>
      <c r="AE443" s="480"/>
      <c r="AF443" s="494" t="s">
        <v>1464</v>
      </c>
      <c r="AG443" s="480" t="str">
        <f>Fuente!AB443</f>
        <v>SECRETARÍA DE VÍCTIMAS</v>
      </c>
      <c r="AH443" s="90"/>
      <c r="AI443" s="90"/>
      <c r="AJ443" s="98"/>
    </row>
    <row r="444" spans="1:36" ht="94.5" x14ac:dyDescent="0.2">
      <c r="A444" s="76">
        <v>6</v>
      </c>
      <c r="B444" s="350" t="s">
        <v>1751</v>
      </c>
      <c r="C444" s="351" t="s">
        <v>1454</v>
      </c>
      <c r="D444" s="350" t="s">
        <v>1455</v>
      </c>
      <c r="E444" s="351" t="s">
        <v>1456</v>
      </c>
      <c r="F444" s="350" t="s">
        <v>1879</v>
      </c>
      <c r="G444" s="351"/>
      <c r="H444" s="352" t="s">
        <v>1457</v>
      </c>
      <c r="I444" s="350" t="s">
        <v>1458</v>
      </c>
      <c r="J444" s="351" t="s">
        <v>1459</v>
      </c>
      <c r="K444" s="491">
        <v>0.85</v>
      </c>
      <c r="L444" s="479"/>
      <c r="M444" s="350" t="s">
        <v>1460</v>
      </c>
      <c r="N444" s="350" t="s">
        <v>1474</v>
      </c>
      <c r="O444" s="351" t="s">
        <v>868</v>
      </c>
      <c r="P444" s="491">
        <v>0.1</v>
      </c>
      <c r="Q444" s="485">
        <f>Fuente!AT448</f>
        <v>0.12000000000000001</v>
      </c>
      <c r="R444" s="485">
        <f>Fuente!AU448</f>
        <v>0</v>
      </c>
      <c r="S444" s="485">
        <f>Fuente!AV448</f>
        <v>0</v>
      </c>
      <c r="T444" s="485">
        <f>Fuente!AW448</f>
        <v>0</v>
      </c>
      <c r="U444" s="467">
        <f>Fuente!AM448</f>
        <v>0.19999999999999998</v>
      </c>
      <c r="V444" s="485">
        <f>Fuente!AY448</f>
        <v>0.3</v>
      </c>
      <c r="W444" s="485">
        <f>Fuente!AZ448</f>
        <v>0.1</v>
      </c>
      <c r="X444" s="485">
        <f>Fuente!BA448</f>
        <v>0</v>
      </c>
      <c r="Y444" s="485">
        <f>Fuente!BB448</f>
        <v>0</v>
      </c>
      <c r="Z444" s="485">
        <f>Fuente!BC448</f>
        <v>0</v>
      </c>
      <c r="AA444" s="467">
        <f>Fuente!BD448</f>
        <v>0.33333333333333337</v>
      </c>
      <c r="AB444" s="480" t="s">
        <v>49</v>
      </c>
      <c r="AC444" s="480"/>
      <c r="AD444" s="480"/>
      <c r="AE444" s="480"/>
      <c r="AF444" s="494" t="s">
        <v>1464</v>
      </c>
      <c r="AG444" s="480" t="str">
        <f>Fuente!AB444</f>
        <v>SECRETARÍA DE VÍCTIMAS</v>
      </c>
      <c r="AH444" s="90"/>
      <c r="AI444" s="90"/>
      <c r="AJ444" s="98"/>
    </row>
    <row r="445" spans="1:36" ht="94.5" x14ac:dyDescent="0.2">
      <c r="A445" s="76">
        <v>6</v>
      </c>
      <c r="B445" s="350" t="s">
        <v>1751</v>
      </c>
      <c r="C445" s="351" t="s">
        <v>1454</v>
      </c>
      <c r="D445" s="350" t="s">
        <v>1455</v>
      </c>
      <c r="E445" s="351" t="s">
        <v>1456</v>
      </c>
      <c r="F445" s="350" t="s">
        <v>1879</v>
      </c>
      <c r="G445" s="351"/>
      <c r="H445" s="352" t="s">
        <v>1457</v>
      </c>
      <c r="I445" s="350" t="s">
        <v>1458</v>
      </c>
      <c r="J445" s="351" t="s">
        <v>1459</v>
      </c>
      <c r="K445" s="491">
        <v>0.85</v>
      </c>
      <c r="L445" s="479"/>
      <c r="M445" s="350" t="s">
        <v>1460</v>
      </c>
      <c r="N445" s="350" t="s">
        <v>1475</v>
      </c>
      <c r="O445" s="351" t="s">
        <v>868</v>
      </c>
      <c r="P445" s="351">
        <v>10</v>
      </c>
      <c r="Q445" s="485">
        <f>Fuente!AT449</f>
        <v>3</v>
      </c>
      <c r="R445" s="485">
        <f>Fuente!AU449</f>
        <v>0</v>
      </c>
      <c r="S445" s="485">
        <f>Fuente!AV449</f>
        <v>0</v>
      </c>
      <c r="T445" s="485">
        <f>Fuente!AW449</f>
        <v>0</v>
      </c>
      <c r="U445" s="467">
        <f>Fuente!AM449</f>
        <v>0.2</v>
      </c>
      <c r="V445" s="485">
        <f>Fuente!AY449</f>
        <v>3</v>
      </c>
      <c r="W445" s="485">
        <f>Fuente!AZ449</f>
        <v>1</v>
      </c>
      <c r="X445" s="485">
        <f>Fuente!BA449</f>
        <v>0</v>
      </c>
      <c r="Y445" s="485">
        <f>Fuente!BB449</f>
        <v>0</v>
      </c>
      <c r="Z445" s="485">
        <f>Fuente!BC449</f>
        <v>0</v>
      </c>
      <c r="AA445" s="467">
        <f>Fuente!BD449</f>
        <v>0.33333333333333331</v>
      </c>
      <c r="AB445" s="480" t="s">
        <v>49</v>
      </c>
      <c r="AC445" s="480"/>
      <c r="AD445" s="480"/>
      <c r="AE445" s="480"/>
      <c r="AF445" s="494" t="s">
        <v>1464</v>
      </c>
      <c r="AG445" s="480" t="str">
        <f>Fuente!AB445</f>
        <v>SECRETARÍA DE VÍCTIMAS</v>
      </c>
      <c r="AH445" s="90"/>
      <c r="AI445" s="90"/>
      <c r="AJ445" s="98"/>
    </row>
    <row r="446" spans="1:36" ht="94.5" x14ac:dyDescent="0.2">
      <c r="A446" s="76">
        <v>6</v>
      </c>
      <c r="B446" s="350" t="s">
        <v>1751</v>
      </c>
      <c r="C446" s="351" t="s">
        <v>1454</v>
      </c>
      <c r="D446" s="350" t="s">
        <v>1455</v>
      </c>
      <c r="E446" s="351" t="s">
        <v>1456</v>
      </c>
      <c r="F446" s="350" t="s">
        <v>1879</v>
      </c>
      <c r="G446" s="351"/>
      <c r="H446" s="352" t="s">
        <v>1457</v>
      </c>
      <c r="I446" s="350" t="s">
        <v>1458</v>
      </c>
      <c r="J446" s="351" t="s">
        <v>1459</v>
      </c>
      <c r="K446" s="491">
        <v>0.85</v>
      </c>
      <c r="L446" s="479"/>
      <c r="M446" s="350" t="s">
        <v>1460</v>
      </c>
      <c r="N446" s="350" t="s">
        <v>1476</v>
      </c>
      <c r="O446" s="351" t="s">
        <v>1477</v>
      </c>
      <c r="P446" s="491">
        <v>0.65</v>
      </c>
      <c r="Q446" s="485">
        <f>Fuente!AT450</f>
        <v>0</v>
      </c>
      <c r="R446" s="485">
        <f>Fuente!AU450</f>
        <v>0</v>
      </c>
      <c r="S446" s="485">
        <f>Fuente!AV450</f>
        <v>0</v>
      </c>
      <c r="T446" s="485">
        <f>Fuente!AW450</f>
        <v>0</v>
      </c>
      <c r="U446" s="467">
        <f>Fuente!AM450</f>
        <v>0</v>
      </c>
      <c r="V446" s="485">
        <f>Fuente!AY450</f>
        <v>0.1</v>
      </c>
      <c r="W446" s="485">
        <f>Fuente!AZ450</f>
        <v>0</v>
      </c>
      <c r="X446" s="485">
        <f>Fuente!BA450</f>
        <v>0</v>
      </c>
      <c r="Y446" s="485">
        <f>Fuente!BB450</f>
        <v>0</v>
      </c>
      <c r="Z446" s="485">
        <f>Fuente!BC450</f>
        <v>0</v>
      </c>
      <c r="AA446" s="467">
        <f>Fuente!BD450</f>
        <v>0</v>
      </c>
      <c r="AB446" s="480" t="s">
        <v>49</v>
      </c>
      <c r="AC446" s="480"/>
      <c r="AD446" s="480"/>
      <c r="AE446" s="480"/>
      <c r="AF446" s="494" t="s">
        <v>1464</v>
      </c>
      <c r="AG446" s="480" t="str">
        <f>Fuente!AB446</f>
        <v>SECRETARÍA DE VÍCTIMAS</v>
      </c>
      <c r="AH446" s="90"/>
      <c r="AI446" s="90"/>
      <c r="AJ446" s="98"/>
    </row>
    <row r="447" spans="1:36" ht="94.5" x14ac:dyDescent="0.2">
      <c r="A447" s="76">
        <v>6</v>
      </c>
      <c r="B447" s="350" t="s">
        <v>1751</v>
      </c>
      <c r="C447" s="351" t="s">
        <v>1454</v>
      </c>
      <c r="D447" s="350" t="s">
        <v>1455</v>
      </c>
      <c r="E447" s="351" t="s">
        <v>1456</v>
      </c>
      <c r="F447" s="350" t="s">
        <v>1879</v>
      </c>
      <c r="G447" s="351"/>
      <c r="H447" s="352" t="s">
        <v>1457</v>
      </c>
      <c r="I447" s="350" t="s">
        <v>1458</v>
      </c>
      <c r="J447" s="351" t="s">
        <v>1459</v>
      </c>
      <c r="K447" s="491">
        <v>0.85</v>
      </c>
      <c r="L447" s="479"/>
      <c r="M447" s="350" t="s">
        <v>1460</v>
      </c>
      <c r="N447" s="350" t="s">
        <v>1478</v>
      </c>
      <c r="O447" s="491">
        <v>0.95</v>
      </c>
      <c r="P447" s="491">
        <v>0.98</v>
      </c>
      <c r="Q447" s="485">
        <f>Fuente!AT451</f>
        <v>0</v>
      </c>
      <c r="R447" s="485">
        <f>Fuente!AU451</f>
        <v>0</v>
      </c>
      <c r="S447" s="485">
        <f>Fuente!AV451</f>
        <v>0</v>
      </c>
      <c r="T447" s="485">
        <f>Fuente!AW451</f>
        <v>0</v>
      </c>
      <c r="U447" s="467">
        <f>Fuente!AM451</f>
        <v>0</v>
      </c>
      <c r="V447" s="485">
        <f>Fuente!AY451</f>
        <v>0.1</v>
      </c>
      <c r="W447" s="485">
        <f>Fuente!AZ451</f>
        <v>0</v>
      </c>
      <c r="X447" s="485">
        <f>Fuente!BA451</f>
        <v>0</v>
      </c>
      <c r="Y447" s="485">
        <f>Fuente!BB451</f>
        <v>0</v>
      </c>
      <c r="Z447" s="485">
        <f>Fuente!BC451</f>
        <v>0</v>
      </c>
      <c r="AA447" s="467">
        <f>Fuente!BD451</f>
        <v>0</v>
      </c>
      <c r="AB447" s="480" t="s">
        <v>49</v>
      </c>
      <c r="AC447" s="480"/>
      <c r="AD447" s="480"/>
      <c r="AE447" s="480"/>
      <c r="AF447" s="494" t="s">
        <v>1464</v>
      </c>
      <c r="AG447" s="480" t="str">
        <f>Fuente!AB447</f>
        <v>SECRETARÍA DE VÍCTIMAS</v>
      </c>
      <c r="AH447" s="90"/>
      <c r="AI447" s="90"/>
      <c r="AJ447" s="98"/>
    </row>
    <row r="448" spans="1:36" ht="94.5" x14ac:dyDescent="0.2">
      <c r="A448" s="76">
        <v>6</v>
      </c>
      <c r="B448" s="350" t="s">
        <v>1751</v>
      </c>
      <c r="C448" s="351" t="s">
        <v>1454</v>
      </c>
      <c r="D448" s="350" t="s">
        <v>1455</v>
      </c>
      <c r="E448" s="351" t="s">
        <v>1456</v>
      </c>
      <c r="F448" s="350" t="s">
        <v>1879</v>
      </c>
      <c r="G448" s="351"/>
      <c r="H448" s="352" t="s">
        <v>1457</v>
      </c>
      <c r="I448" s="350" t="s">
        <v>1458</v>
      </c>
      <c r="J448" s="351" t="s">
        <v>1459</v>
      </c>
      <c r="K448" s="491">
        <v>0.85</v>
      </c>
      <c r="L448" s="479"/>
      <c r="M448" s="350" t="s">
        <v>1460</v>
      </c>
      <c r="N448" s="350" t="s">
        <v>1479</v>
      </c>
      <c r="O448" s="351">
        <v>0</v>
      </c>
      <c r="P448" s="351">
        <v>2</v>
      </c>
      <c r="Q448" s="485">
        <f>Fuente!AT452</f>
        <v>1</v>
      </c>
      <c r="R448" s="485">
        <f>Fuente!AU452</f>
        <v>0</v>
      </c>
      <c r="S448" s="485">
        <f>Fuente!AV452</f>
        <v>0</v>
      </c>
      <c r="T448" s="485">
        <f>Fuente!AW452</f>
        <v>0</v>
      </c>
      <c r="U448" s="467">
        <f>Fuente!AM452</f>
        <v>0.5</v>
      </c>
      <c r="V448" s="485" t="str">
        <f>Fuente!AY452</f>
        <v>NP</v>
      </c>
      <c r="W448" s="485">
        <f>Fuente!AZ452</f>
        <v>0</v>
      </c>
      <c r="X448" s="485">
        <f>Fuente!BA452</f>
        <v>0</v>
      </c>
      <c r="Y448" s="485">
        <f>Fuente!BB452</f>
        <v>0</v>
      </c>
      <c r="Z448" s="485">
        <f>Fuente!BC452</f>
        <v>0</v>
      </c>
      <c r="AA448" s="467" t="str">
        <f>Fuente!BD452</f>
        <v>NP</v>
      </c>
      <c r="AB448" s="480" t="s">
        <v>49</v>
      </c>
      <c r="AC448" s="480"/>
      <c r="AD448" s="480"/>
      <c r="AE448" s="480"/>
      <c r="AF448" s="494" t="s">
        <v>1464</v>
      </c>
      <c r="AG448" s="480" t="str">
        <f>Fuente!AB448</f>
        <v>SECRETARÍA DE VÍCTIMAS</v>
      </c>
      <c r="AH448" s="90"/>
      <c r="AI448" s="90"/>
      <c r="AJ448" s="98"/>
    </row>
    <row r="449" spans="1:36" ht="94.5" x14ac:dyDescent="0.2">
      <c r="A449" s="76">
        <v>6</v>
      </c>
      <c r="B449" s="350" t="s">
        <v>1751</v>
      </c>
      <c r="C449" s="351" t="s">
        <v>1454</v>
      </c>
      <c r="D449" s="350" t="s">
        <v>1455</v>
      </c>
      <c r="E449" s="351" t="s">
        <v>1456</v>
      </c>
      <c r="F449" s="350" t="s">
        <v>1879</v>
      </c>
      <c r="G449" s="351"/>
      <c r="H449" s="352" t="s">
        <v>1457</v>
      </c>
      <c r="I449" s="350" t="s">
        <v>1458</v>
      </c>
      <c r="J449" s="351" t="s">
        <v>1459</v>
      </c>
      <c r="K449" s="491">
        <v>0.85</v>
      </c>
      <c r="L449" s="479"/>
      <c r="M449" s="350" t="s">
        <v>1460</v>
      </c>
      <c r="N449" s="350" t="s">
        <v>1480</v>
      </c>
      <c r="O449" s="351">
        <v>14</v>
      </c>
      <c r="P449" s="351">
        <v>14</v>
      </c>
      <c r="Q449" s="485">
        <f>Fuente!AT453</f>
        <v>0</v>
      </c>
      <c r="R449" s="485">
        <f>Fuente!AU453</f>
        <v>0</v>
      </c>
      <c r="S449" s="485">
        <f>Fuente!AV453</f>
        <v>0</v>
      </c>
      <c r="T449" s="485">
        <f>Fuente!AW453</f>
        <v>0</v>
      </c>
      <c r="U449" s="467">
        <f>Fuente!AM453</f>
        <v>0</v>
      </c>
      <c r="V449" s="485">
        <f>Fuente!AY453</f>
        <v>3</v>
      </c>
      <c r="W449" s="485">
        <f>Fuente!AZ453</f>
        <v>0</v>
      </c>
      <c r="X449" s="485">
        <f>Fuente!BA453</f>
        <v>0</v>
      </c>
      <c r="Y449" s="485">
        <f>Fuente!BB453</f>
        <v>0</v>
      </c>
      <c r="Z449" s="485">
        <f>Fuente!BC453</f>
        <v>0</v>
      </c>
      <c r="AA449" s="467">
        <f>Fuente!BD453</f>
        <v>0</v>
      </c>
      <c r="AB449" s="480" t="s">
        <v>49</v>
      </c>
      <c r="AC449" s="480"/>
      <c r="AD449" s="480"/>
      <c r="AE449" s="480"/>
      <c r="AF449" s="494" t="s">
        <v>1464</v>
      </c>
      <c r="AG449" s="480" t="str">
        <f>Fuente!AB449</f>
        <v>SECRETARÍA DE VÍCTIMAS</v>
      </c>
      <c r="AH449" s="90"/>
      <c r="AI449" s="90"/>
      <c r="AJ449" s="98"/>
    </row>
    <row r="450" spans="1:36" ht="94.5" x14ac:dyDescent="0.2">
      <c r="A450" s="76">
        <v>6</v>
      </c>
      <c r="B450" s="350" t="s">
        <v>1751</v>
      </c>
      <c r="C450" s="351" t="s">
        <v>1454</v>
      </c>
      <c r="D450" s="350" t="s">
        <v>1455</v>
      </c>
      <c r="E450" s="351" t="s">
        <v>1456</v>
      </c>
      <c r="F450" s="350" t="s">
        <v>1879</v>
      </c>
      <c r="G450" s="351"/>
      <c r="H450" s="352" t="s">
        <v>1457</v>
      </c>
      <c r="I450" s="350" t="s">
        <v>1458</v>
      </c>
      <c r="J450" s="351" t="s">
        <v>1459</v>
      </c>
      <c r="K450" s="491">
        <v>0.85</v>
      </c>
      <c r="L450" s="479"/>
      <c r="M450" s="350" t="s">
        <v>1460</v>
      </c>
      <c r="N450" s="350" t="s">
        <v>1481</v>
      </c>
      <c r="O450" s="351">
        <v>0</v>
      </c>
      <c r="P450" s="351">
        <v>8</v>
      </c>
      <c r="Q450" s="485">
        <f>Fuente!AT454</f>
        <v>1</v>
      </c>
      <c r="R450" s="485">
        <f>Fuente!AU454</f>
        <v>0</v>
      </c>
      <c r="S450" s="485">
        <f>Fuente!AV454</f>
        <v>0</v>
      </c>
      <c r="T450" s="485">
        <f>Fuente!AW454</f>
        <v>0</v>
      </c>
      <c r="U450" s="467">
        <f>Fuente!AM454</f>
        <v>0.125</v>
      </c>
      <c r="V450" s="485">
        <f>Fuente!AY454</f>
        <v>2</v>
      </c>
      <c r="W450" s="485">
        <f>Fuente!AZ454</f>
        <v>0</v>
      </c>
      <c r="X450" s="485">
        <f>Fuente!BA454</f>
        <v>0</v>
      </c>
      <c r="Y450" s="485">
        <f>Fuente!BB454</f>
        <v>0</v>
      </c>
      <c r="Z450" s="485">
        <f>Fuente!BC454</f>
        <v>0</v>
      </c>
      <c r="AA450" s="467">
        <f>Fuente!BD454</f>
        <v>0</v>
      </c>
      <c r="AB450" s="480" t="s">
        <v>49</v>
      </c>
      <c r="AC450" s="480"/>
      <c r="AD450" s="480"/>
      <c r="AE450" s="480"/>
      <c r="AF450" s="494" t="s">
        <v>1464</v>
      </c>
      <c r="AG450" s="480" t="str">
        <f>Fuente!AB450</f>
        <v>SECRETARÍA DE VÍCTIMAS</v>
      </c>
      <c r="AH450" s="90"/>
      <c r="AI450" s="90"/>
      <c r="AJ450" s="98"/>
    </row>
    <row r="451" spans="1:36" ht="94.5" x14ac:dyDescent="0.2">
      <c r="A451" s="76">
        <v>6</v>
      </c>
      <c r="B451" s="350" t="s">
        <v>1751</v>
      </c>
      <c r="C451" s="351" t="s">
        <v>1454</v>
      </c>
      <c r="D451" s="350" t="s">
        <v>1455</v>
      </c>
      <c r="E451" s="351" t="s">
        <v>1456</v>
      </c>
      <c r="F451" s="350" t="s">
        <v>1879</v>
      </c>
      <c r="G451" s="351"/>
      <c r="H451" s="352" t="s">
        <v>1457</v>
      </c>
      <c r="I451" s="350" t="s">
        <v>1458</v>
      </c>
      <c r="J451" s="351" t="s">
        <v>1459</v>
      </c>
      <c r="K451" s="491">
        <v>0.85</v>
      </c>
      <c r="L451" s="479"/>
      <c r="M451" s="350" t="s">
        <v>1460</v>
      </c>
      <c r="N451" s="350" t="s">
        <v>1482</v>
      </c>
      <c r="O451" s="351">
        <v>127</v>
      </c>
      <c r="P451" s="351">
        <v>200</v>
      </c>
      <c r="Q451" s="485">
        <f>Fuente!AT455</f>
        <v>20</v>
      </c>
      <c r="R451" s="485">
        <f>Fuente!AU455</f>
        <v>0</v>
      </c>
      <c r="S451" s="485">
        <f>Fuente!AV455</f>
        <v>0</v>
      </c>
      <c r="T451" s="485">
        <f>Fuente!AW455</f>
        <v>0</v>
      </c>
      <c r="U451" s="467">
        <f>Fuente!AM455</f>
        <v>0.1</v>
      </c>
      <c r="V451" s="485">
        <f>Fuente!AY455</f>
        <v>60</v>
      </c>
      <c r="W451" s="485">
        <f>Fuente!AZ455</f>
        <v>0</v>
      </c>
      <c r="X451" s="485">
        <f>Fuente!BA455</f>
        <v>0</v>
      </c>
      <c r="Y451" s="485">
        <f>Fuente!BB455</f>
        <v>0</v>
      </c>
      <c r="Z451" s="485">
        <f>Fuente!BC455</f>
        <v>0</v>
      </c>
      <c r="AA451" s="467">
        <f>Fuente!BD455</f>
        <v>0</v>
      </c>
      <c r="AB451" s="480" t="s">
        <v>49</v>
      </c>
      <c r="AC451" s="480"/>
      <c r="AD451" s="480"/>
      <c r="AE451" s="480"/>
      <c r="AF451" s="494" t="s">
        <v>1464</v>
      </c>
      <c r="AG451" s="480" t="str">
        <f>Fuente!AB451</f>
        <v>SECRETARÍA DE VÍCTIMAS</v>
      </c>
      <c r="AH451" s="90"/>
      <c r="AI451" s="90"/>
      <c r="AJ451" s="98"/>
    </row>
    <row r="452" spans="1:36" ht="94.5" x14ac:dyDescent="0.2">
      <c r="A452" s="76">
        <v>6</v>
      </c>
      <c r="B452" s="350" t="s">
        <v>1751</v>
      </c>
      <c r="C452" s="351" t="s">
        <v>1454</v>
      </c>
      <c r="D452" s="350" t="s">
        <v>1455</v>
      </c>
      <c r="E452" s="351" t="s">
        <v>1483</v>
      </c>
      <c r="F452" s="350" t="s">
        <v>1880</v>
      </c>
      <c r="G452" s="351"/>
      <c r="H452" s="352" t="s">
        <v>1484</v>
      </c>
      <c r="I452" s="350" t="s">
        <v>1458</v>
      </c>
      <c r="J452" s="351" t="s">
        <v>1459</v>
      </c>
      <c r="K452" s="491">
        <v>0.85</v>
      </c>
      <c r="L452" s="479"/>
      <c r="M452" s="350" t="s">
        <v>1485</v>
      </c>
      <c r="N452" s="350" t="s">
        <v>1486</v>
      </c>
      <c r="O452" s="351" t="s">
        <v>868</v>
      </c>
      <c r="P452" s="351">
        <v>4</v>
      </c>
      <c r="Q452" s="485">
        <f>Fuente!AT456</f>
        <v>0.25</v>
      </c>
      <c r="R452" s="485">
        <f>Fuente!AU456</f>
        <v>0</v>
      </c>
      <c r="S452" s="485">
        <f>Fuente!AV456</f>
        <v>0</v>
      </c>
      <c r="T452" s="485">
        <f>Fuente!AW456</f>
        <v>0</v>
      </c>
      <c r="U452" s="467">
        <f>Fuente!AM456</f>
        <v>0.25</v>
      </c>
      <c r="V452" s="485">
        <f>Fuente!AY456</f>
        <v>1</v>
      </c>
      <c r="W452" s="485">
        <f>Fuente!AZ456</f>
        <v>0</v>
      </c>
      <c r="X452" s="485">
        <f>Fuente!BA456</f>
        <v>0</v>
      </c>
      <c r="Y452" s="485">
        <f>Fuente!BB456</f>
        <v>0</v>
      </c>
      <c r="Z452" s="485">
        <f>Fuente!BC456</f>
        <v>0</v>
      </c>
      <c r="AA452" s="467">
        <f>Fuente!BD456</f>
        <v>0</v>
      </c>
      <c r="AB452" s="480" t="s">
        <v>49</v>
      </c>
      <c r="AC452" s="480"/>
      <c r="AD452" s="480"/>
      <c r="AE452" s="480"/>
      <c r="AF452" s="494" t="s">
        <v>1464</v>
      </c>
      <c r="AG452" s="480" t="str">
        <f>Fuente!AB452</f>
        <v>SECRETARÍA DE VÍCTIMAS</v>
      </c>
      <c r="AH452" s="90"/>
      <c r="AI452" s="90"/>
      <c r="AJ452" s="98"/>
    </row>
    <row r="453" spans="1:36" ht="94.5" x14ac:dyDescent="0.2">
      <c r="A453" s="76">
        <v>6</v>
      </c>
      <c r="B453" s="350" t="s">
        <v>1751</v>
      </c>
      <c r="C453" s="351" t="s">
        <v>1454</v>
      </c>
      <c r="D453" s="350" t="s">
        <v>1455</v>
      </c>
      <c r="E453" s="351" t="s">
        <v>1483</v>
      </c>
      <c r="F453" s="350" t="s">
        <v>1880</v>
      </c>
      <c r="G453" s="351"/>
      <c r="H453" s="352" t="s">
        <v>1484</v>
      </c>
      <c r="I453" s="350" t="s">
        <v>1458</v>
      </c>
      <c r="J453" s="351" t="s">
        <v>1459</v>
      </c>
      <c r="K453" s="491">
        <v>1.85</v>
      </c>
      <c r="L453" s="479"/>
      <c r="M453" s="350" t="s">
        <v>1485</v>
      </c>
      <c r="N453" s="350" t="s">
        <v>1489</v>
      </c>
      <c r="O453" s="351" t="s">
        <v>868</v>
      </c>
      <c r="P453" s="351">
        <v>4</v>
      </c>
      <c r="Q453" s="485">
        <f>Fuente!AT457</f>
        <v>0.25</v>
      </c>
      <c r="R453" s="485">
        <f>Fuente!AU457</f>
        <v>0</v>
      </c>
      <c r="S453" s="485">
        <f>Fuente!AV457</f>
        <v>0</v>
      </c>
      <c r="T453" s="485">
        <f>Fuente!AW457</f>
        <v>0</v>
      </c>
      <c r="U453" s="467">
        <f>Fuente!AM457</f>
        <v>0.25</v>
      </c>
      <c r="V453" s="485">
        <f>Fuente!AY457</f>
        <v>1</v>
      </c>
      <c r="W453" s="485">
        <f>Fuente!AZ457</f>
        <v>0</v>
      </c>
      <c r="X453" s="485">
        <f>Fuente!BA457</f>
        <v>0</v>
      </c>
      <c r="Y453" s="485">
        <f>Fuente!BB457</f>
        <v>0</v>
      </c>
      <c r="Z453" s="485">
        <f>Fuente!BC457</f>
        <v>0</v>
      </c>
      <c r="AA453" s="467">
        <f>Fuente!BD457</f>
        <v>0</v>
      </c>
      <c r="AB453" s="480" t="s">
        <v>49</v>
      </c>
      <c r="AC453" s="480"/>
      <c r="AD453" s="480"/>
      <c r="AE453" s="480"/>
      <c r="AF453" s="494" t="s">
        <v>1464</v>
      </c>
      <c r="AG453" s="480" t="str">
        <f>Fuente!AB453</f>
        <v>SECRETARÍA DE VÍCTIMAS</v>
      </c>
      <c r="AH453" s="90"/>
      <c r="AI453" s="90"/>
      <c r="AJ453" s="98"/>
    </row>
    <row r="454" spans="1:36" ht="94.5" x14ac:dyDescent="0.2">
      <c r="A454" s="76">
        <v>6</v>
      </c>
      <c r="B454" s="350" t="s">
        <v>1751</v>
      </c>
      <c r="C454" s="351" t="s">
        <v>1454</v>
      </c>
      <c r="D454" s="350" t="s">
        <v>1455</v>
      </c>
      <c r="E454" s="351" t="s">
        <v>1483</v>
      </c>
      <c r="F454" s="350" t="s">
        <v>1880</v>
      </c>
      <c r="G454" s="351"/>
      <c r="H454" s="352" t="s">
        <v>1484</v>
      </c>
      <c r="I454" s="350" t="s">
        <v>1458</v>
      </c>
      <c r="J454" s="351" t="s">
        <v>1459</v>
      </c>
      <c r="K454" s="491">
        <v>0.85</v>
      </c>
      <c r="L454" s="479"/>
      <c r="M454" s="350" t="s">
        <v>1485</v>
      </c>
      <c r="N454" s="350" t="s">
        <v>1490</v>
      </c>
      <c r="O454" s="351" t="s">
        <v>868</v>
      </c>
      <c r="P454" s="508">
        <v>400000000</v>
      </c>
      <c r="Q454" s="485">
        <f>Fuente!AT458</f>
        <v>50000000</v>
      </c>
      <c r="R454" s="485">
        <f>Fuente!AU458</f>
        <v>0</v>
      </c>
      <c r="S454" s="485">
        <f>Fuente!AV458</f>
        <v>0</v>
      </c>
      <c r="T454" s="485">
        <f>Fuente!AW458</f>
        <v>0</v>
      </c>
      <c r="U454" s="467">
        <f>Fuente!AM458</f>
        <v>0.125</v>
      </c>
      <c r="V454" s="485">
        <f>Fuente!AY458</f>
        <v>0.25</v>
      </c>
      <c r="W454" s="485">
        <f>Fuente!AZ458</f>
        <v>0</v>
      </c>
      <c r="X454" s="485">
        <f>Fuente!BA458</f>
        <v>0</v>
      </c>
      <c r="Y454" s="485">
        <f>Fuente!BB458</f>
        <v>0</v>
      </c>
      <c r="Z454" s="485">
        <f>Fuente!BC458</f>
        <v>0</v>
      </c>
      <c r="AA454" s="467">
        <f>Fuente!BD458</f>
        <v>0</v>
      </c>
      <c r="AB454" s="480" t="s">
        <v>49</v>
      </c>
      <c r="AC454" s="480"/>
      <c r="AD454" s="480"/>
      <c r="AE454" s="480"/>
      <c r="AF454" s="494" t="s">
        <v>1464</v>
      </c>
      <c r="AG454" s="480" t="str">
        <f>Fuente!AB454</f>
        <v>SECRETARÍA DE VÍCTIMAS</v>
      </c>
      <c r="AH454" s="90"/>
      <c r="AI454" s="90"/>
      <c r="AJ454" s="98"/>
    </row>
    <row r="455" spans="1:36" ht="94.5" x14ac:dyDescent="0.2">
      <c r="A455" s="76">
        <v>6</v>
      </c>
      <c r="B455" s="350" t="s">
        <v>1751</v>
      </c>
      <c r="C455" s="351" t="s">
        <v>1454</v>
      </c>
      <c r="D455" s="350" t="s">
        <v>1455</v>
      </c>
      <c r="E455" s="351" t="s">
        <v>1483</v>
      </c>
      <c r="F455" s="350" t="s">
        <v>1880</v>
      </c>
      <c r="G455" s="351"/>
      <c r="H455" s="352" t="s">
        <v>1484</v>
      </c>
      <c r="I455" s="350" t="s">
        <v>1458</v>
      </c>
      <c r="J455" s="351" t="s">
        <v>1459</v>
      </c>
      <c r="K455" s="491">
        <v>3.85</v>
      </c>
      <c r="L455" s="479"/>
      <c r="M455" s="350" t="s">
        <v>1485</v>
      </c>
      <c r="N455" s="350" t="s">
        <v>1491</v>
      </c>
      <c r="O455" s="351" t="s">
        <v>868</v>
      </c>
      <c r="P455" s="351">
        <v>4</v>
      </c>
      <c r="Q455" s="485">
        <f>Fuente!AT459</f>
        <v>0.25</v>
      </c>
      <c r="R455" s="485">
        <f>Fuente!AU459</f>
        <v>0</v>
      </c>
      <c r="S455" s="485">
        <f>Fuente!AV459</f>
        <v>0</v>
      </c>
      <c r="T455" s="485">
        <f>Fuente!AW459</f>
        <v>0</v>
      </c>
      <c r="U455" s="467">
        <f>Fuente!AM459</f>
        <v>0.25</v>
      </c>
      <c r="V455" s="485">
        <f>Fuente!AY459</f>
        <v>1</v>
      </c>
      <c r="W455" s="485">
        <f>Fuente!AZ459</f>
        <v>0</v>
      </c>
      <c r="X455" s="485">
        <f>Fuente!BA459</f>
        <v>0</v>
      </c>
      <c r="Y455" s="485">
        <f>Fuente!BB459</f>
        <v>0</v>
      </c>
      <c r="Z455" s="485">
        <f>Fuente!BC459</f>
        <v>0</v>
      </c>
      <c r="AA455" s="467">
        <f>Fuente!BD459</f>
        <v>0</v>
      </c>
      <c r="AB455" s="480" t="s">
        <v>49</v>
      </c>
      <c r="AC455" s="480"/>
      <c r="AD455" s="480"/>
      <c r="AE455" s="480"/>
      <c r="AF455" s="494" t="s">
        <v>1464</v>
      </c>
      <c r="AG455" s="480" t="str">
        <f>Fuente!AB455</f>
        <v>SECRETARÍA DE VÍCTIMAS</v>
      </c>
      <c r="AH455" s="90" t="s">
        <v>1465</v>
      </c>
      <c r="AI455" s="90" t="s">
        <v>1466</v>
      </c>
      <c r="AJ455" s="98">
        <v>150000000</v>
      </c>
    </row>
    <row r="456" spans="1:36" ht="94.5" x14ac:dyDescent="0.2">
      <c r="A456" s="76">
        <v>6</v>
      </c>
      <c r="B456" s="350" t="s">
        <v>1751</v>
      </c>
      <c r="C456" s="351" t="s">
        <v>1454</v>
      </c>
      <c r="D456" s="350" t="s">
        <v>1455</v>
      </c>
      <c r="E456" s="351" t="s">
        <v>1483</v>
      </c>
      <c r="F456" s="350" t="s">
        <v>1880</v>
      </c>
      <c r="G456" s="351"/>
      <c r="H456" s="352" t="s">
        <v>1484</v>
      </c>
      <c r="I456" s="350" t="s">
        <v>1458</v>
      </c>
      <c r="J456" s="351" t="s">
        <v>1459</v>
      </c>
      <c r="K456" s="491">
        <v>4.8499999999999996</v>
      </c>
      <c r="L456" s="479"/>
      <c r="M456" s="350" t="s">
        <v>1485</v>
      </c>
      <c r="N456" s="350" t="s">
        <v>1492</v>
      </c>
      <c r="O456" s="351">
        <v>4</v>
      </c>
      <c r="P456" s="491">
        <v>1</v>
      </c>
      <c r="Q456" s="485">
        <f>Fuente!AT460</f>
        <v>0.5</v>
      </c>
      <c r="R456" s="485">
        <f>Fuente!AU460</f>
        <v>0</v>
      </c>
      <c r="S456" s="485">
        <f>Fuente!AV460</f>
        <v>0</v>
      </c>
      <c r="T456" s="485">
        <f>Fuente!AW460</f>
        <v>0</v>
      </c>
      <c r="U456" s="467">
        <f>Fuente!AM460</f>
        <v>1</v>
      </c>
      <c r="V456" s="485">
        <f>Fuente!AY460</f>
        <v>1</v>
      </c>
      <c r="W456" s="485">
        <f>Fuente!AZ460</f>
        <v>1</v>
      </c>
      <c r="X456" s="485">
        <f>Fuente!BA460</f>
        <v>0</v>
      </c>
      <c r="Y456" s="485">
        <f>Fuente!BB460</f>
        <v>0</v>
      </c>
      <c r="Z456" s="485">
        <f>Fuente!BC460</f>
        <v>0</v>
      </c>
      <c r="AA456" s="467">
        <f>Fuente!BD460</f>
        <v>1</v>
      </c>
      <c r="AB456" s="480" t="s">
        <v>78</v>
      </c>
      <c r="AC456" s="480"/>
      <c r="AD456" s="480"/>
      <c r="AE456" s="480"/>
      <c r="AF456" s="494" t="s">
        <v>1487</v>
      </c>
      <c r="AG456" s="480" t="str">
        <f>Fuente!AB456</f>
        <v>SECRETARÍA DE VÍCTIMAS</v>
      </c>
      <c r="AH456" s="90" t="s">
        <v>1465</v>
      </c>
      <c r="AI456" s="99" t="s">
        <v>1488</v>
      </c>
      <c r="AJ456" s="98">
        <v>25000000</v>
      </c>
    </row>
    <row r="457" spans="1:36" ht="110.25" x14ac:dyDescent="0.2">
      <c r="A457" s="76">
        <v>6</v>
      </c>
      <c r="B457" s="350" t="s">
        <v>1751</v>
      </c>
      <c r="C457" s="351" t="s">
        <v>1454</v>
      </c>
      <c r="D457" s="350" t="s">
        <v>1455</v>
      </c>
      <c r="E457" s="351" t="s">
        <v>1493</v>
      </c>
      <c r="F457" s="350" t="s">
        <v>1881</v>
      </c>
      <c r="G457" s="351"/>
      <c r="H457" s="352" t="s">
        <v>1494</v>
      </c>
      <c r="I457" s="350" t="s">
        <v>1495</v>
      </c>
      <c r="J457" s="351" t="s">
        <v>1459</v>
      </c>
      <c r="K457" s="484">
        <v>0.85</v>
      </c>
      <c r="L457" s="486"/>
      <c r="M457" s="350" t="s">
        <v>1496</v>
      </c>
      <c r="N457" s="350" t="s">
        <v>1497</v>
      </c>
      <c r="O457" s="76">
        <v>0</v>
      </c>
      <c r="P457" s="76">
        <v>8</v>
      </c>
      <c r="Q457" s="485">
        <f>Fuente!AT461</f>
        <v>0.5</v>
      </c>
      <c r="R457" s="485">
        <f>Fuente!AU461</f>
        <v>0</v>
      </c>
      <c r="S457" s="485">
        <f>Fuente!AV461</f>
        <v>0</v>
      </c>
      <c r="T457" s="485">
        <f>Fuente!AW461</f>
        <v>0</v>
      </c>
      <c r="U457" s="467">
        <f>Fuente!AM461</f>
        <v>0.25</v>
      </c>
      <c r="V457" s="485">
        <f>Fuente!AY461</f>
        <v>2</v>
      </c>
      <c r="W457" s="485">
        <f>Fuente!AZ461</f>
        <v>0</v>
      </c>
      <c r="X457" s="485">
        <f>Fuente!BA461</f>
        <v>0</v>
      </c>
      <c r="Y457" s="485">
        <f>Fuente!BB461</f>
        <v>0</v>
      </c>
      <c r="Z457" s="485">
        <f>Fuente!BC461</f>
        <v>0</v>
      </c>
      <c r="AA457" s="467">
        <f>Fuente!BD461</f>
        <v>0</v>
      </c>
      <c r="AB457" s="480" t="s">
        <v>78</v>
      </c>
      <c r="AC457" s="480"/>
      <c r="AD457" s="480"/>
      <c r="AE457" s="480"/>
      <c r="AF457" s="494" t="s">
        <v>1487</v>
      </c>
      <c r="AG457" s="480" t="str">
        <f>Fuente!AB457</f>
        <v>SECRETARÍA DE VÍCTIMAS</v>
      </c>
      <c r="AH457" s="90" t="s">
        <v>1465</v>
      </c>
      <c r="AI457" s="99" t="s">
        <v>1488</v>
      </c>
      <c r="AJ457" s="98">
        <v>25000000</v>
      </c>
    </row>
    <row r="458" spans="1:36" ht="78.75" x14ac:dyDescent="0.2">
      <c r="A458" s="76">
        <v>6</v>
      </c>
      <c r="B458" s="350" t="s">
        <v>1751</v>
      </c>
      <c r="C458" s="351" t="s">
        <v>1454</v>
      </c>
      <c r="D458" s="350" t="s">
        <v>1455</v>
      </c>
      <c r="E458" s="351" t="s">
        <v>1493</v>
      </c>
      <c r="F458" s="350" t="s">
        <v>1881</v>
      </c>
      <c r="G458" s="351"/>
      <c r="H458" s="352" t="s">
        <v>1500</v>
      </c>
      <c r="I458" s="350" t="s">
        <v>1495</v>
      </c>
      <c r="J458" s="351" t="s">
        <v>1459</v>
      </c>
      <c r="K458" s="491">
        <v>0.85</v>
      </c>
      <c r="L458" s="479"/>
      <c r="M458" s="350" t="s">
        <v>1496</v>
      </c>
      <c r="N458" s="350" t="s">
        <v>1501</v>
      </c>
      <c r="O458" s="351" t="s">
        <v>868</v>
      </c>
      <c r="P458" s="351">
        <v>40</v>
      </c>
      <c r="Q458" s="485">
        <f>Fuente!AT462</f>
        <v>7</v>
      </c>
      <c r="R458" s="485">
        <f>Fuente!AU462</f>
        <v>0</v>
      </c>
      <c r="S458" s="485">
        <f>Fuente!AV462</f>
        <v>0</v>
      </c>
      <c r="T458" s="485">
        <f>Fuente!AW462</f>
        <v>0</v>
      </c>
      <c r="U458" s="467">
        <f>Fuente!AM462</f>
        <v>0.125</v>
      </c>
      <c r="V458" s="485">
        <f>Fuente!AY462</f>
        <v>10</v>
      </c>
      <c r="W458" s="485">
        <f>Fuente!AZ462</f>
        <v>2</v>
      </c>
      <c r="X458" s="485">
        <f>Fuente!BA462</f>
        <v>0</v>
      </c>
      <c r="Y458" s="485">
        <f>Fuente!BB462</f>
        <v>0</v>
      </c>
      <c r="Z458" s="485">
        <f>Fuente!BC462</f>
        <v>0</v>
      </c>
      <c r="AA458" s="467">
        <f>Fuente!BD462</f>
        <v>0.2</v>
      </c>
      <c r="AB458" s="480" t="s">
        <v>49</v>
      </c>
      <c r="AC458" s="480"/>
      <c r="AD458" s="480"/>
      <c r="AE458" s="480"/>
      <c r="AF458" s="494" t="s">
        <v>1487</v>
      </c>
      <c r="AG458" s="480" t="str">
        <f>Fuente!AB458</f>
        <v>SECRETARÍA DE VÍCTIMAS</v>
      </c>
      <c r="AH458" s="90" t="s">
        <v>1465</v>
      </c>
      <c r="AI458" s="99" t="s">
        <v>1488</v>
      </c>
      <c r="AJ458" s="98">
        <v>50000000</v>
      </c>
    </row>
    <row r="459" spans="1:36" ht="94.5" x14ac:dyDescent="0.2">
      <c r="A459" s="76">
        <v>6</v>
      </c>
      <c r="B459" s="350" t="s">
        <v>1751</v>
      </c>
      <c r="C459" s="351" t="s">
        <v>1454</v>
      </c>
      <c r="D459" s="350" t="s">
        <v>1455</v>
      </c>
      <c r="E459" s="351" t="s">
        <v>1493</v>
      </c>
      <c r="F459" s="350" t="s">
        <v>1881</v>
      </c>
      <c r="G459" s="351"/>
      <c r="H459" s="352" t="s">
        <v>1504</v>
      </c>
      <c r="I459" s="350" t="s">
        <v>1505</v>
      </c>
      <c r="J459" s="76" t="s">
        <v>1459</v>
      </c>
      <c r="K459" s="484">
        <v>0.85</v>
      </c>
      <c r="L459" s="486"/>
      <c r="M459" s="350" t="s">
        <v>1506</v>
      </c>
      <c r="N459" s="350" t="s">
        <v>1507</v>
      </c>
      <c r="O459" s="76" t="s">
        <v>868</v>
      </c>
      <c r="P459" s="76">
        <v>20</v>
      </c>
      <c r="Q459" s="485">
        <f>Fuente!AT463</f>
        <v>5</v>
      </c>
      <c r="R459" s="485">
        <f>Fuente!AU463</f>
        <v>0</v>
      </c>
      <c r="S459" s="485">
        <f>Fuente!AV463</f>
        <v>0</v>
      </c>
      <c r="T459" s="485">
        <f>Fuente!AW463</f>
        <v>0</v>
      </c>
      <c r="U459" s="467">
        <f>Fuente!AM463</f>
        <v>0.2</v>
      </c>
      <c r="V459" s="485">
        <f>Fuente!AY463</f>
        <v>6</v>
      </c>
      <c r="W459" s="485">
        <f>Fuente!AZ463</f>
        <v>1</v>
      </c>
      <c r="X459" s="485">
        <f>Fuente!BA463</f>
        <v>0</v>
      </c>
      <c r="Y459" s="485">
        <f>Fuente!BB463</f>
        <v>0</v>
      </c>
      <c r="Z459" s="485">
        <f>Fuente!BC463</f>
        <v>0</v>
      </c>
      <c r="AA459" s="467">
        <f>Fuente!BD463</f>
        <v>0.16666666666666666</v>
      </c>
      <c r="AB459" s="480" t="s">
        <v>78</v>
      </c>
      <c r="AC459" s="480"/>
      <c r="AD459" s="480"/>
      <c r="AE459" s="480"/>
      <c r="AF459" s="494" t="s">
        <v>1487</v>
      </c>
      <c r="AG459" s="480" t="str">
        <f>Fuente!AB459</f>
        <v>SECRETARÍA DE VÍCTIMAS</v>
      </c>
      <c r="AH459" s="90"/>
      <c r="AI459" s="90"/>
      <c r="AJ459" s="98"/>
    </row>
    <row r="460" spans="1:36" ht="94.5" x14ac:dyDescent="0.2">
      <c r="A460" s="76">
        <v>6</v>
      </c>
      <c r="B460" s="350" t="s">
        <v>1751</v>
      </c>
      <c r="C460" s="351" t="s">
        <v>1454</v>
      </c>
      <c r="D460" s="350" t="s">
        <v>1455</v>
      </c>
      <c r="E460" s="351" t="s">
        <v>1508</v>
      </c>
      <c r="F460" s="350" t="s">
        <v>1882</v>
      </c>
      <c r="G460" s="351"/>
      <c r="H460" s="352" t="s">
        <v>1509</v>
      </c>
      <c r="I460" s="350" t="s">
        <v>1505</v>
      </c>
      <c r="J460" s="76" t="s">
        <v>1459</v>
      </c>
      <c r="K460" s="484">
        <v>0.85</v>
      </c>
      <c r="L460" s="486"/>
      <c r="M460" s="350" t="s">
        <v>1510</v>
      </c>
      <c r="N460" s="350" t="s">
        <v>1511</v>
      </c>
      <c r="O460" s="351">
        <v>11</v>
      </c>
      <c r="P460" s="351">
        <v>46</v>
      </c>
      <c r="Q460" s="485">
        <f>Fuente!AT464</f>
        <v>9</v>
      </c>
      <c r="R460" s="485">
        <f>Fuente!AU464</f>
        <v>0</v>
      </c>
      <c r="S460" s="485">
        <f>Fuente!AV464</f>
        <v>0</v>
      </c>
      <c r="T460" s="485">
        <f>Fuente!AW464</f>
        <v>0</v>
      </c>
      <c r="U460" s="467">
        <f>Fuente!AM464</f>
        <v>0.17391304347826086</v>
      </c>
      <c r="V460" s="485">
        <f>Fuente!AY464</f>
        <v>5</v>
      </c>
      <c r="W460" s="485">
        <f>Fuente!AZ464</f>
        <v>1</v>
      </c>
      <c r="X460" s="485">
        <f>Fuente!BA464</f>
        <v>0</v>
      </c>
      <c r="Y460" s="485">
        <f>Fuente!BB464</f>
        <v>0</v>
      </c>
      <c r="Z460" s="485">
        <f>Fuente!BC464</f>
        <v>0</v>
      </c>
      <c r="AA460" s="467">
        <f>Fuente!BD464</f>
        <v>0.2</v>
      </c>
      <c r="AB460" s="480" t="s">
        <v>78</v>
      </c>
      <c r="AC460" s="480"/>
      <c r="AD460" s="480"/>
      <c r="AE460" s="480"/>
      <c r="AF460" s="494" t="s">
        <v>1487</v>
      </c>
      <c r="AG460" s="480" t="str">
        <f>Fuente!AB460</f>
        <v>SECRETARÍA DE VÍCTIMAS</v>
      </c>
      <c r="AH460" s="90"/>
      <c r="AI460" s="90"/>
      <c r="AJ460" s="98"/>
    </row>
    <row r="461" spans="1:36" ht="94.5" x14ac:dyDescent="0.2">
      <c r="A461" s="76">
        <v>6</v>
      </c>
      <c r="B461" s="350" t="s">
        <v>1751</v>
      </c>
      <c r="C461" s="351" t="s">
        <v>1454</v>
      </c>
      <c r="D461" s="350" t="s">
        <v>1455</v>
      </c>
      <c r="E461" s="351" t="s">
        <v>1508</v>
      </c>
      <c r="F461" s="350" t="s">
        <v>1882</v>
      </c>
      <c r="G461" s="351"/>
      <c r="H461" s="352" t="s">
        <v>1509</v>
      </c>
      <c r="I461" s="350" t="s">
        <v>1505</v>
      </c>
      <c r="J461" s="76" t="s">
        <v>1459</v>
      </c>
      <c r="K461" s="484">
        <v>1.85</v>
      </c>
      <c r="L461" s="486"/>
      <c r="M461" s="350" t="s">
        <v>1510</v>
      </c>
      <c r="N461" s="350" t="s">
        <v>1513</v>
      </c>
      <c r="O461" s="351">
        <v>0</v>
      </c>
      <c r="P461" s="351">
        <v>46</v>
      </c>
      <c r="Q461" s="485">
        <f>Fuente!AT465</f>
        <v>9</v>
      </c>
      <c r="R461" s="485">
        <f>Fuente!AU465</f>
        <v>0</v>
      </c>
      <c r="S461" s="485">
        <f>Fuente!AV465</f>
        <v>0</v>
      </c>
      <c r="T461" s="485">
        <f>Fuente!AW465</f>
        <v>0</v>
      </c>
      <c r="U461" s="467">
        <f>Fuente!AM465</f>
        <v>0.17391304347826086</v>
      </c>
      <c r="V461" s="485">
        <f>Fuente!AY465</f>
        <v>5</v>
      </c>
      <c r="W461" s="485">
        <f>Fuente!AZ465</f>
        <v>1</v>
      </c>
      <c r="X461" s="485">
        <f>Fuente!BA465</f>
        <v>0</v>
      </c>
      <c r="Y461" s="485">
        <f>Fuente!BB465</f>
        <v>0</v>
      </c>
      <c r="Z461" s="485">
        <f>Fuente!BC465</f>
        <v>0</v>
      </c>
      <c r="AA461" s="467">
        <f>Fuente!BD465</f>
        <v>0.2</v>
      </c>
      <c r="AB461" s="477" t="s">
        <v>1498</v>
      </c>
      <c r="AC461" s="477"/>
      <c r="AD461" s="477"/>
      <c r="AE461" s="477"/>
      <c r="AF461" s="494" t="s">
        <v>1499</v>
      </c>
      <c r="AG461" s="480" t="str">
        <f>Fuente!AB461</f>
        <v>SECRETARÍA DE VÍCTIMAS</v>
      </c>
      <c r="AH461" s="81"/>
      <c r="AI461" s="81"/>
      <c r="AJ461" s="100"/>
    </row>
    <row r="462" spans="1:36" ht="120" x14ac:dyDescent="0.2">
      <c r="A462" s="76">
        <v>6</v>
      </c>
      <c r="B462" s="350" t="s">
        <v>1751</v>
      </c>
      <c r="C462" s="351" t="s">
        <v>1454</v>
      </c>
      <c r="D462" s="350" t="s">
        <v>1455</v>
      </c>
      <c r="E462" s="351" t="s">
        <v>1508</v>
      </c>
      <c r="F462" s="350" t="s">
        <v>1882</v>
      </c>
      <c r="G462" s="351"/>
      <c r="H462" s="352" t="s">
        <v>1509</v>
      </c>
      <c r="I462" s="350" t="s">
        <v>1505</v>
      </c>
      <c r="J462" s="76" t="s">
        <v>1459</v>
      </c>
      <c r="K462" s="484">
        <v>0.85</v>
      </c>
      <c r="L462" s="486"/>
      <c r="M462" s="350" t="s">
        <v>1510</v>
      </c>
      <c r="N462" s="350" t="s">
        <v>1514</v>
      </c>
      <c r="O462" s="351" t="s">
        <v>868</v>
      </c>
      <c r="P462" s="351">
        <v>2</v>
      </c>
      <c r="Q462" s="485">
        <f>Fuente!AT466</f>
        <v>0</v>
      </c>
      <c r="R462" s="485">
        <f>Fuente!AU466</f>
        <v>0</v>
      </c>
      <c r="S462" s="485">
        <f>Fuente!AV466</f>
        <v>0</v>
      </c>
      <c r="T462" s="485">
        <f>Fuente!AW466</f>
        <v>0</v>
      </c>
      <c r="U462" s="467">
        <f>Fuente!AM466</f>
        <v>0</v>
      </c>
      <c r="V462" s="485">
        <f>Fuente!AY466</f>
        <v>1</v>
      </c>
      <c r="W462" s="485">
        <f>Fuente!AZ466</f>
        <v>0</v>
      </c>
      <c r="X462" s="485">
        <f>Fuente!BA466</f>
        <v>0</v>
      </c>
      <c r="Y462" s="485">
        <f>Fuente!BB466</f>
        <v>0</v>
      </c>
      <c r="Z462" s="485">
        <f>Fuente!BC466</f>
        <v>0</v>
      </c>
      <c r="AA462" s="467">
        <f>Fuente!BD466</f>
        <v>0</v>
      </c>
      <c r="AB462" s="480" t="s">
        <v>1502</v>
      </c>
      <c r="AC462" s="480"/>
      <c r="AD462" s="480"/>
      <c r="AE462" s="480"/>
      <c r="AF462" s="494" t="s">
        <v>1499</v>
      </c>
      <c r="AG462" s="480" t="str">
        <f>Fuente!AB462</f>
        <v>SECRETARÍA DE VÍCTIMAS</v>
      </c>
      <c r="AH462" s="90" t="s">
        <v>1465</v>
      </c>
      <c r="AI462" s="99" t="s">
        <v>1503</v>
      </c>
      <c r="AJ462" s="98">
        <v>150000000</v>
      </c>
    </row>
    <row r="463" spans="1:36" ht="94.5" x14ac:dyDescent="0.2">
      <c r="A463" s="76">
        <v>6</v>
      </c>
      <c r="B463" s="350" t="s">
        <v>1751</v>
      </c>
      <c r="C463" s="351" t="s">
        <v>1454</v>
      </c>
      <c r="D463" s="350" t="s">
        <v>1455</v>
      </c>
      <c r="E463" s="351" t="s">
        <v>1508</v>
      </c>
      <c r="F463" s="350" t="s">
        <v>1882</v>
      </c>
      <c r="G463" s="351"/>
      <c r="H463" s="352" t="s">
        <v>1509</v>
      </c>
      <c r="I463" s="350" t="s">
        <v>1505</v>
      </c>
      <c r="J463" s="76" t="s">
        <v>1459</v>
      </c>
      <c r="K463" s="484">
        <v>0.85</v>
      </c>
      <c r="L463" s="486"/>
      <c r="M463" s="350" t="s">
        <v>1510</v>
      </c>
      <c r="N463" s="350" t="s">
        <v>1515</v>
      </c>
      <c r="O463" s="351">
        <v>1</v>
      </c>
      <c r="P463" s="351">
        <v>4</v>
      </c>
      <c r="Q463" s="485">
        <f>Fuente!AT467</f>
        <v>0.25</v>
      </c>
      <c r="R463" s="485">
        <f>Fuente!AU467</f>
        <v>0</v>
      </c>
      <c r="S463" s="485">
        <f>Fuente!AV467</f>
        <v>0</v>
      </c>
      <c r="T463" s="485">
        <f>Fuente!AW467</f>
        <v>0</v>
      </c>
      <c r="U463" s="467">
        <f>Fuente!AM467</f>
        <v>0.25</v>
      </c>
      <c r="V463" s="485">
        <f>Fuente!AY467</f>
        <v>1</v>
      </c>
      <c r="W463" s="485">
        <f>Fuente!AZ467</f>
        <v>0</v>
      </c>
      <c r="X463" s="485">
        <f>Fuente!BA467</f>
        <v>0</v>
      </c>
      <c r="Y463" s="485">
        <f>Fuente!BB467</f>
        <v>0</v>
      </c>
      <c r="Z463" s="485">
        <f>Fuente!BC467</f>
        <v>0</v>
      </c>
      <c r="AA463" s="467">
        <f>Fuente!BD467</f>
        <v>0</v>
      </c>
      <c r="AB463" s="477" t="s">
        <v>971</v>
      </c>
      <c r="AC463" s="477"/>
      <c r="AD463" s="480"/>
      <c r="AE463" s="480"/>
      <c r="AF463" s="494" t="s">
        <v>1499</v>
      </c>
      <c r="AG463" s="480" t="str">
        <f>Fuente!AB463</f>
        <v>SECRETARÍA DE VÍCTIMAS</v>
      </c>
      <c r="AH463" s="81"/>
      <c r="AI463" s="81"/>
      <c r="AJ463" s="100"/>
    </row>
    <row r="464" spans="1:36" ht="94.5" x14ac:dyDescent="0.2">
      <c r="A464" s="76">
        <v>6</v>
      </c>
      <c r="B464" s="350" t="s">
        <v>1751</v>
      </c>
      <c r="C464" s="351" t="s">
        <v>1454</v>
      </c>
      <c r="D464" s="350" t="s">
        <v>1455</v>
      </c>
      <c r="E464" s="351" t="s">
        <v>1508</v>
      </c>
      <c r="F464" s="350" t="s">
        <v>1882</v>
      </c>
      <c r="G464" s="351"/>
      <c r="H464" s="352" t="s">
        <v>1509</v>
      </c>
      <c r="I464" s="350" t="s">
        <v>1505</v>
      </c>
      <c r="J464" s="76" t="s">
        <v>1459</v>
      </c>
      <c r="K464" s="484">
        <v>0.85</v>
      </c>
      <c r="L464" s="486"/>
      <c r="M464" s="350" t="s">
        <v>1510</v>
      </c>
      <c r="N464" s="350" t="s">
        <v>1516</v>
      </c>
      <c r="O464" s="351">
        <v>8</v>
      </c>
      <c r="P464" s="351">
        <v>64</v>
      </c>
      <c r="Q464" s="485">
        <f>Fuente!AT468</f>
        <v>4.5</v>
      </c>
      <c r="R464" s="485">
        <f>Fuente!AU468</f>
        <v>0</v>
      </c>
      <c r="S464" s="485">
        <f>Fuente!AV468</f>
        <v>0</v>
      </c>
      <c r="T464" s="485">
        <f>Fuente!AW468</f>
        <v>0</v>
      </c>
      <c r="U464" s="467">
        <f>Fuente!AM468</f>
        <v>0.25</v>
      </c>
      <c r="V464" s="485">
        <f>Fuente!AY468</f>
        <v>16</v>
      </c>
      <c r="W464" s="485">
        <f>Fuente!AZ468</f>
        <v>2</v>
      </c>
      <c r="X464" s="485">
        <f>Fuente!BA468</f>
        <v>0</v>
      </c>
      <c r="Y464" s="485">
        <f>Fuente!BB468</f>
        <v>0</v>
      </c>
      <c r="Z464" s="485">
        <f>Fuente!BC468</f>
        <v>0</v>
      </c>
      <c r="AA464" s="467">
        <f>Fuente!BD468</f>
        <v>0.125</v>
      </c>
      <c r="AB464" s="480" t="s">
        <v>49</v>
      </c>
      <c r="AC464" s="480"/>
      <c r="AD464" s="480"/>
      <c r="AE464" s="480"/>
      <c r="AF464" s="494">
        <v>10.16</v>
      </c>
      <c r="AG464" s="480" t="str">
        <f>Fuente!AB464</f>
        <v>SECRETARÍA DE VÍCTIMAS</v>
      </c>
      <c r="AH464" s="90" t="s">
        <v>1465</v>
      </c>
      <c r="AI464" s="99" t="s">
        <v>1512</v>
      </c>
      <c r="AJ464" s="98">
        <v>20000000</v>
      </c>
    </row>
    <row r="465" spans="1:36" ht="60" x14ac:dyDescent="0.2">
      <c r="A465" s="76">
        <v>6</v>
      </c>
      <c r="B465" s="350" t="s">
        <v>1751</v>
      </c>
      <c r="C465" s="351" t="s">
        <v>1454</v>
      </c>
      <c r="D465" s="350" t="s">
        <v>1455</v>
      </c>
      <c r="E465" s="351" t="s">
        <v>1517</v>
      </c>
      <c r="F465" s="350" t="s">
        <v>1883</v>
      </c>
      <c r="G465" s="352"/>
      <c r="H465" s="352" t="s">
        <v>1518</v>
      </c>
      <c r="I465" s="350" t="s">
        <v>1231</v>
      </c>
      <c r="J465" s="76" t="s">
        <v>868</v>
      </c>
      <c r="K465" s="76">
        <v>1</v>
      </c>
      <c r="L465" s="353"/>
      <c r="M465" s="350" t="s">
        <v>1519</v>
      </c>
      <c r="N465" s="350" t="s">
        <v>1520</v>
      </c>
      <c r="O465" s="76" t="s">
        <v>868</v>
      </c>
      <c r="P465" s="76">
        <v>1</v>
      </c>
      <c r="Q465" s="485">
        <f>Fuente!AT469</f>
        <v>0</v>
      </c>
      <c r="R465" s="485">
        <f>Fuente!AU469</f>
        <v>0</v>
      </c>
      <c r="S465" s="485">
        <f>Fuente!AV469</f>
        <v>0</v>
      </c>
      <c r="T465" s="485">
        <f>Fuente!AW469</f>
        <v>0</v>
      </c>
      <c r="U465" s="467">
        <f>Fuente!AM469</f>
        <v>0</v>
      </c>
      <c r="V465" s="485">
        <f>Fuente!AY469</f>
        <v>1</v>
      </c>
      <c r="W465" s="485">
        <f>Fuente!AZ469</f>
        <v>0</v>
      </c>
      <c r="X465" s="485">
        <f>Fuente!BA469</f>
        <v>0</v>
      </c>
      <c r="Y465" s="485">
        <f>Fuente!BB469</f>
        <v>0</v>
      </c>
      <c r="Z465" s="485">
        <f>Fuente!BC469</f>
        <v>0</v>
      </c>
      <c r="AA465" s="467">
        <f>Fuente!BD469</f>
        <v>0</v>
      </c>
      <c r="AB465" s="480" t="s">
        <v>49</v>
      </c>
      <c r="AC465" s="480"/>
      <c r="AD465" s="480"/>
      <c r="AE465" s="480"/>
      <c r="AF465" s="494">
        <v>10.16</v>
      </c>
      <c r="AG465" s="480" t="str">
        <f>Fuente!AB465</f>
        <v>SECRETARÍA DE VÍCTIMAS</v>
      </c>
      <c r="AH465" s="90" t="s">
        <v>1465</v>
      </c>
      <c r="AI465" s="99" t="s">
        <v>1512</v>
      </c>
      <c r="AJ465" s="98">
        <v>10000000</v>
      </c>
    </row>
    <row r="466" spans="1:36" ht="110.25" x14ac:dyDescent="0.2">
      <c r="A466" s="76">
        <v>6</v>
      </c>
      <c r="B466" s="350" t="s">
        <v>1751</v>
      </c>
      <c r="C466" s="351" t="s">
        <v>1454</v>
      </c>
      <c r="D466" s="350" t="s">
        <v>1455</v>
      </c>
      <c r="E466" s="351" t="s">
        <v>1517</v>
      </c>
      <c r="F466" s="350" t="s">
        <v>1883</v>
      </c>
      <c r="G466" s="352"/>
      <c r="H466" s="352" t="s">
        <v>1518</v>
      </c>
      <c r="I466" s="350" t="s">
        <v>1231</v>
      </c>
      <c r="J466" s="76" t="s">
        <v>868</v>
      </c>
      <c r="K466" s="76">
        <v>1</v>
      </c>
      <c r="L466" s="353"/>
      <c r="M466" s="350" t="s">
        <v>1521</v>
      </c>
      <c r="N466" s="350" t="s">
        <v>1522</v>
      </c>
      <c r="O466" s="76" t="s">
        <v>868</v>
      </c>
      <c r="P466" s="76">
        <v>47</v>
      </c>
      <c r="Q466" s="485">
        <f>Fuente!AT470</f>
        <v>14</v>
      </c>
      <c r="R466" s="485">
        <f>Fuente!AU470</f>
        <v>0</v>
      </c>
      <c r="S466" s="485">
        <f>Fuente!AV470</f>
        <v>0</v>
      </c>
      <c r="T466" s="485">
        <f>Fuente!AW470</f>
        <v>0</v>
      </c>
      <c r="U466" s="467">
        <f>Fuente!AM470</f>
        <v>0.21276595744680851</v>
      </c>
      <c r="V466" s="485">
        <f>Fuente!AY470</f>
        <v>10</v>
      </c>
      <c r="W466" s="485">
        <f>Fuente!AZ470</f>
        <v>4</v>
      </c>
      <c r="X466" s="485">
        <f>Fuente!BA470</f>
        <v>0</v>
      </c>
      <c r="Y466" s="485">
        <f>Fuente!BB470</f>
        <v>0</v>
      </c>
      <c r="Z466" s="485">
        <f>Fuente!BC470</f>
        <v>0</v>
      </c>
      <c r="AA466" s="467">
        <f>Fuente!BD470</f>
        <v>0.4</v>
      </c>
      <c r="AB466" s="480" t="s">
        <v>78</v>
      </c>
      <c r="AC466" s="480"/>
      <c r="AD466" s="480"/>
      <c r="AE466" s="480"/>
      <c r="AF466" s="494">
        <v>10.16</v>
      </c>
      <c r="AG466" s="480" t="str">
        <f>Fuente!AB466</f>
        <v>SECRETARÍA DE VÍCTIMAS</v>
      </c>
      <c r="AH466" s="98"/>
      <c r="AI466" s="90"/>
      <c r="AJ466" s="98"/>
    </row>
    <row r="467" spans="1:36" ht="60" x14ac:dyDescent="0.2">
      <c r="A467" s="76">
        <v>6</v>
      </c>
      <c r="B467" s="350" t="s">
        <v>1751</v>
      </c>
      <c r="C467" s="351" t="s">
        <v>1454</v>
      </c>
      <c r="D467" s="350" t="s">
        <v>1455</v>
      </c>
      <c r="E467" s="351" t="s">
        <v>1517</v>
      </c>
      <c r="F467" s="350" t="s">
        <v>1883</v>
      </c>
      <c r="G467" s="352"/>
      <c r="H467" s="352" t="s">
        <v>1518</v>
      </c>
      <c r="I467" s="350" t="s">
        <v>1231</v>
      </c>
      <c r="J467" s="76" t="s">
        <v>868</v>
      </c>
      <c r="K467" s="76">
        <v>1</v>
      </c>
      <c r="L467" s="353"/>
      <c r="M467" s="350" t="s">
        <v>1524</v>
      </c>
      <c r="N467" s="350" t="s">
        <v>1525</v>
      </c>
      <c r="O467" s="76" t="s">
        <v>868</v>
      </c>
      <c r="P467" s="76">
        <v>46</v>
      </c>
      <c r="Q467" s="485">
        <f>Fuente!AT471</f>
        <v>10</v>
      </c>
      <c r="R467" s="485">
        <f>Fuente!AU471</f>
        <v>0</v>
      </c>
      <c r="S467" s="485">
        <f>Fuente!AV471</f>
        <v>0</v>
      </c>
      <c r="T467" s="485">
        <f>Fuente!AW471</f>
        <v>0</v>
      </c>
      <c r="U467" s="467">
        <f>Fuente!AM471</f>
        <v>0.21739130434782608</v>
      </c>
      <c r="V467" s="485">
        <f>Fuente!AY471</f>
        <v>10</v>
      </c>
      <c r="W467" s="485">
        <f>Fuente!AZ471</f>
        <v>0</v>
      </c>
      <c r="X467" s="485">
        <f>Fuente!BA471</f>
        <v>0</v>
      </c>
      <c r="Y467" s="485">
        <f>Fuente!BB471</f>
        <v>0</v>
      </c>
      <c r="Z467" s="485">
        <f>Fuente!BC471</f>
        <v>0</v>
      </c>
      <c r="AA467" s="467">
        <f>Fuente!BD471</f>
        <v>0</v>
      </c>
      <c r="AB467" s="480" t="s">
        <v>78</v>
      </c>
      <c r="AC467" s="480"/>
      <c r="AD467" s="480"/>
      <c r="AE467" s="480"/>
      <c r="AF467" s="494">
        <v>10.16</v>
      </c>
      <c r="AG467" s="480" t="str">
        <f>Fuente!AB467</f>
        <v>SECRETARÍA DE VÍCTIMAS</v>
      </c>
      <c r="AH467" s="90" t="s">
        <v>1465</v>
      </c>
      <c r="AI467" s="99" t="s">
        <v>1512</v>
      </c>
      <c r="AJ467" s="98">
        <v>30000000</v>
      </c>
    </row>
    <row r="468" spans="1:36" ht="78.75" x14ac:dyDescent="0.2">
      <c r="A468" s="76">
        <v>6</v>
      </c>
      <c r="B468" s="350" t="s">
        <v>1751</v>
      </c>
      <c r="C468" s="351" t="s">
        <v>1454</v>
      </c>
      <c r="D468" s="350" t="s">
        <v>1455</v>
      </c>
      <c r="E468" s="351" t="s">
        <v>1517</v>
      </c>
      <c r="F468" s="350" t="s">
        <v>1883</v>
      </c>
      <c r="G468" s="352"/>
      <c r="H468" s="352" t="s">
        <v>1518</v>
      </c>
      <c r="I468" s="350" t="s">
        <v>1231</v>
      </c>
      <c r="J468" s="76" t="s">
        <v>868</v>
      </c>
      <c r="K468" s="76">
        <v>1</v>
      </c>
      <c r="L468" s="353"/>
      <c r="M468" s="350" t="s">
        <v>1526</v>
      </c>
      <c r="N468" s="350" t="s">
        <v>1527</v>
      </c>
      <c r="O468" s="76" t="s">
        <v>868</v>
      </c>
      <c r="P468" s="76">
        <v>46</v>
      </c>
      <c r="Q468" s="485">
        <f>Fuente!AT472</f>
        <v>12</v>
      </c>
      <c r="R468" s="485">
        <f>Fuente!AU472</f>
        <v>0</v>
      </c>
      <c r="S468" s="485">
        <f>Fuente!AV472</f>
        <v>0</v>
      </c>
      <c r="T468" s="485">
        <f>Fuente!AW472</f>
        <v>0</v>
      </c>
      <c r="U468" s="467">
        <f>Fuente!AM472</f>
        <v>0.21739130434782608</v>
      </c>
      <c r="V468" s="485">
        <f>Fuente!AY472</f>
        <v>10</v>
      </c>
      <c r="W468" s="485">
        <f>Fuente!AZ472</f>
        <v>2</v>
      </c>
      <c r="X468" s="485">
        <f>Fuente!BA472</f>
        <v>0</v>
      </c>
      <c r="Y468" s="485">
        <f>Fuente!BB472</f>
        <v>0</v>
      </c>
      <c r="Z468" s="485">
        <f>Fuente!BC472</f>
        <v>0</v>
      </c>
      <c r="AA468" s="467">
        <f>Fuente!BD472</f>
        <v>0.2</v>
      </c>
      <c r="AB468" s="480" t="s">
        <v>78</v>
      </c>
      <c r="AC468" s="480"/>
      <c r="AD468" s="480"/>
      <c r="AE468" s="480"/>
      <c r="AF468" s="494">
        <v>10.16</v>
      </c>
      <c r="AG468" s="480" t="str">
        <f>Fuente!AB468</f>
        <v>SECRETARÍA DE VÍCTIMAS</v>
      </c>
      <c r="AH468" s="90" t="s">
        <v>1465</v>
      </c>
      <c r="AI468" s="99" t="s">
        <v>1512</v>
      </c>
      <c r="AJ468" s="98">
        <v>420000000</v>
      </c>
    </row>
    <row r="469" spans="1:36" ht="63" x14ac:dyDescent="0.2">
      <c r="A469" s="76">
        <v>6</v>
      </c>
      <c r="B469" s="350" t="s">
        <v>1751</v>
      </c>
      <c r="C469" s="351" t="s">
        <v>1454</v>
      </c>
      <c r="D469" s="350" t="s">
        <v>1455</v>
      </c>
      <c r="E469" s="351" t="s">
        <v>1517</v>
      </c>
      <c r="F469" s="350" t="s">
        <v>1883</v>
      </c>
      <c r="G469" s="352"/>
      <c r="H469" s="352" t="s">
        <v>1518</v>
      </c>
      <c r="I469" s="350" t="s">
        <v>1231</v>
      </c>
      <c r="J469" s="76" t="s">
        <v>868</v>
      </c>
      <c r="K469" s="76">
        <v>1</v>
      </c>
      <c r="L469" s="353"/>
      <c r="M469" s="350" t="s">
        <v>1528</v>
      </c>
      <c r="N469" s="350" t="s">
        <v>1529</v>
      </c>
      <c r="O469" s="76" t="s">
        <v>868</v>
      </c>
      <c r="P469" s="76">
        <v>46</v>
      </c>
      <c r="Q469" s="485">
        <f>Fuente!AT473</f>
        <v>10</v>
      </c>
      <c r="R469" s="485">
        <f>Fuente!AU473</f>
        <v>0</v>
      </c>
      <c r="S469" s="485">
        <f>Fuente!AV473</f>
        <v>0</v>
      </c>
      <c r="T469" s="485">
        <f>Fuente!AW473</f>
        <v>0</v>
      </c>
      <c r="U469" s="467">
        <f>Fuente!AM473</f>
        <v>0.21739130434782608</v>
      </c>
      <c r="V469" s="485">
        <f>Fuente!AY473</f>
        <v>10</v>
      </c>
      <c r="W469" s="485">
        <f>Fuente!AZ473</f>
        <v>0</v>
      </c>
      <c r="X469" s="485">
        <f>Fuente!BA473</f>
        <v>0</v>
      </c>
      <c r="Y469" s="485">
        <f>Fuente!BB473</f>
        <v>0</v>
      </c>
      <c r="Z469" s="485">
        <f>Fuente!BC473</f>
        <v>0</v>
      </c>
      <c r="AA469" s="467">
        <f>Fuente!BD473</f>
        <v>0</v>
      </c>
      <c r="AB469" s="477" t="s">
        <v>971</v>
      </c>
      <c r="AC469" s="477"/>
      <c r="AD469" s="477"/>
      <c r="AE469" s="477"/>
      <c r="AF469" s="494">
        <v>16</v>
      </c>
      <c r="AG469" s="480" t="str">
        <f>Fuente!AB469</f>
        <v>SECRETARÍA DE VÍCTIMAS</v>
      </c>
      <c r="AH469" s="90"/>
      <c r="AI469" s="99"/>
      <c r="AJ469" s="100"/>
    </row>
    <row r="470" spans="1:36" ht="105" x14ac:dyDescent="0.2">
      <c r="A470" s="76">
        <v>6</v>
      </c>
      <c r="B470" s="350" t="s">
        <v>1751</v>
      </c>
      <c r="C470" s="351" t="s">
        <v>1454</v>
      </c>
      <c r="D470" s="350" t="s">
        <v>1455</v>
      </c>
      <c r="E470" s="351" t="s">
        <v>1517</v>
      </c>
      <c r="F470" s="350" t="s">
        <v>1883</v>
      </c>
      <c r="G470" s="352"/>
      <c r="H470" s="352" t="s">
        <v>1518</v>
      </c>
      <c r="I470" s="350" t="s">
        <v>1231</v>
      </c>
      <c r="J470" s="76" t="s">
        <v>868</v>
      </c>
      <c r="K470" s="76">
        <v>1</v>
      </c>
      <c r="L470" s="353"/>
      <c r="M470" s="350" t="s">
        <v>1530</v>
      </c>
      <c r="N470" s="350" t="s">
        <v>1531</v>
      </c>
      <c r="O470" s="76">
        <v>1</v>
      </c>
      <c r="P470" s="76">
        <v>1</v>
      </c>
      <c r="Q470" s="485">
        <f>Fuente!AT474</f>
        <v>0.25</v>
      </c>
      <c r="R470" s="485">
        <f>Fuente!AU474</f>
        <v>0</v>
      </c>
      <c r="S470" s="485">
        <f>Fuente!AV474</f>
        <v>0</v>
      </c>
      <c r="T470" s="485">
        <f>Fuente!AW474</f>
        <v>0</v>
      </c>
      <c r="U470" s="467">
        <f>Fuente!AM474</f>
        <v>1</v>
      </c>
      <c r="V470" s="485" t="str">
        <f>Fuente!AY474</f>
        <v>NP</v>
      </c>
      <c r="W470" s="485">
        <f>Fuente!AZ474</f>
        <v>0</v>
      </c>
      <c r="X470" s="485">
        <f>Fuente!BA474</f>
        <v>0</v>
      </c>
      <c r="Y470" s="485">
        <f>Fuente!BB474</f>
        <v>0</v>
      </c>
      <c r="Z470" s="485">
        <f>Fuente!BC474</f>
        <v>0</v>
      </c>
      <c r="AA470" s="467" t="str">
        <f>Fuente!BD474</f>
        <v>NP</v>
      </c>
      <c r="AB470" s="477" t="s">
        <v>971</v>
      </c>
      <c r="AC470" s="477"/>
      <c r="AD470" s="477"/>
      <c r="AE470" s="477"/>
      <c r="AF470" s="494">
        <v>16</v>
      </c>
      <c r="AG470" s="480" t="str">
        <f>Fuente!AB470</f>
        <v>SECRETARÍA DE VÍCTIMAS</v>
      </c>
      <c r="AH470" s="90" t="s">
        <v>1465</v>
      </c>
      <c r="AI470" s="99" t="s">
        <v>1523</v>
      </c>
      <c r="AJ470" s="100">
        <v>25000000</v>
      </c>
    </row>
    <row r="471" spans="1:36" ht="110.25" x14ac:dyDescent="0.2">
      <c r="A471" s="76">
        <v>6</v>
      </c>
      <c r="B471" s="350" t="s">
        <v>1751</v>
      </c>
      <c r="C471" s="351" t="s">
        <v>1454</v>
      </c>
      <c r="D471" s="350" t="s">
        <v>1455</v>
      </c>
      <c r="E471" s="351" t="s">
        <v>1517</v>
      </c>
      <c r="F471" s="350" t="s">
        <v>1883</v>
      </c>
      <c r="G471" s="352"/>
      <c r="H471" s="352" t="s">
        <v>1518</v>
      </c>
      <c r="I471" s="350" t="s">
        <v>1231</v>
      </c>
      <c r="J471" s="76" t="s">
        <v>868</v>
      </c>
      <c r="K471" s="76">
        <v>1</v>
      </c>
      <c r="L471" s="353"/>
      <c r="M471" s="350" t="s">
        <v>1532</v>
      </c>
      <c r="N471" s="350" t="s">
        <v>1533</v>
      </c>
      <c r="O471" s="76" t="s">
        <v>868</v>
      </c>
      <c r="P471" s="76">
        <v>1</v>
      </c>
      <c r="Q471" s="485">
        <f>Fuente!AT475</f>
        <v>1</v>
      </c>
      <c r="R471" s="485">
        <f>Fuente!AU475</f>
        <v>0</v>
      </c>
      <c r="S471" s="485">
        <f>Fuente!AV475</f>
        <v>0</v>
      </c>
      <c r="T471" s="485">
        <f>Fuente!AW475</f>
        <v>0</v>
      </c>
      <c r="U471" s="467">
        <f>Fuente!AM475</f>
        <v>1</v>
      </c>
      <c r="V471" s="485" t="str">
        <f>Fuente!AY475</f>
        <v>NP</v>
      </c>
      <c r="W471" s="485">
        <f>Fuente!AZ475</f>
        <v>0</v>
      </c>
      <c r="X471" s="485">
        <f>Fuente!BA475</f>
        <v>0</v>
      </c>
      <c r="Y471" s="485">
        <f>Fuente!BB475</f>
        <v>0</v>
      </c>
      <c r="Z471" s="485">
        <f>Fuente!BC475</f>
        <v>0</v>
      </c>
      <c r="AA471" s="467" t="str">
        <f>Fuente!BD475</f>
        <v>NP</v>
      </c>
      <c r="AB471" s="477" t="s">
        <v>971</v>
      </c>
      <c r="AC471" s="477"/>
      <c r="AD471" s="477"/>
      <c r="AE471" s="477"/>
      <c r="AF471" s="494">
        <v>16</v>
      </c>
      <c r="AG471" s="480" t="str">
        <f>Fuente!AB471</f>
        <v>SECRETARÍA DE VÍCTIMAS</v>
      </c>
      <c r="AH471" s="90"/>
      <c r="AI471" s="101"/>
      <c r="AJ471" s="100"/>
    </row>
    <row r="472" spans="1:36" ht="63" x14ac:dyDescent="0.2">
      <c r="A472" s="76">
        <v>6</v>
      </c>
      <c r="B472" s="350" t="s">
        <v>1751</v>
      </c>
      <c r="C472" s="351" t="s">
        <v>1454</v>
      </c>
      <c r="D472" s="350" t="s">
        <v>1455</v>
      </c>
      <c r="E472" s="351" t="s">
        <v>1517</v>
      </c>
      <c r="F472" s="350" t="s">
        <v>1883</v>
      </c>
      <c r="G472" s="352"/>
      <c r="H472" s="352" t="s">
        <v>1518</v>
      </c>
      <c r="I472" s="350" t="s">
        <v>1231</v>
      </c>
      <c r="J472" s="76" t="s">
        <v>868</v>
      </c>
      <c r="K472" s="76">
        <v>1</v>
      </c>
      <c r="L472" s="353"/>
      <c r="M472" s="350" t="s">
        <v>1534</v>
      </c>
      <c r="N472" s="350" t="s">
        <v>1535</v>
      </c>
      <c r="O472" s="76" t="s">
        <v>868</v>
      </c>
      <c r="P472" s="76">
        <v>300</v>
      </c>
      <c r="Q472" s="485">
        <f>Fuente!AT476</f>
        <v>132</v>
      </c>
      <c r="R472" s="485">
        <f>Fuente!AU476</f>
        <v>0</v>
      </c>
      <c r="S472" s="485">
        <f>Fuente!AV476</f>
        <v>0</v>
      </c>
      <c r="T472" s="485">
        <f>Fuente!AW476</f>
        <v>0</v>
      </c>
      <c r="U472" s="467">
        <f>Fuente!AM476</f>
        <v>0.23333333333333334</v>
      </c>
      <c r="V472" s="485">
        <f>Fuente!AY476</f>
        <v>70</v>
      </c>
      <c r="W472" s="485">
        <f>Fuente!AZ476</f>
        <v>62</v>
      </c>
      <c r="X472" s="485">
        <f>Fuente!BA476</f>
        <v>0</v>
      </c>
      <c r="Y472" s="485">
        <f>Fuente!BB476</f>
        <v>0</v>
      </c>
      <c r="Z472" s="485">
        <f>Fuente!BC476</f>
        <v>0</v>
      </c>
      <c r="AA472" s="467">
        <f>Fuente!BD476</f>
        <v>0.88571428571428568</v>
      </c>
      <c r="AB472" s="477" t="s">
        <v>971</v>
      </c>
      <c r="AC472" s="477"/>
      <c r="AD472" s="477"/>
      <c r="AE472" s="477"/>
      <c r="AF472" s="494">
        <v>16</v>
      </c>
      <c r="AG472" s="480" t="str">
        <f>Fuente!AB472</f>
        <v>SECRETARÍA DE VÍCTIMAS</v>
      </c>
      <c r="AH472" s="90"/>
      <c r="AI472" s="99"/>
      <c r="AJ472" s="100"/>
    </row>
    <row r="473" spans="1:36" ht="94.5" x14ac:dyDescent="0.2">
      <c r="A473" s="76">
        <v>6</v>
      </c>
      <c r="B473" s="350" t="s">
        <v>1751</v>
      </c>
      <c r="C473" s="351" t="s">
        <v>1454</v>
      </c>
      <c r="D473" s="350" t="s">
        <v>1455</v>
      </c>
      <c r="E473" s="351" t="s">
        <v>1517</v>
      </c>
      <c r="F473" s="350" t="s">
        <v>1883</v>
      </c>
      <c r="G473" s="352"/>
      <c r="H473" s="352" t="s">
        <v>1518</v>
      </c>
      <c r="I473" s="350" t="s">
        <v>1231</v>
      </c>
      <c r="J473" s="76" t="s">
        <v>868</v>
      </c>
      <c r="K473" s="76">
        <v>1</v>
      </c>
      <c r="L473" s="353"/>
      <c r="M473" s="350" t="s">
        <v>1536</v>
      </c>
      <c r="N473" s="350" t="s">
        <v>1537</v>
      </c>
      <c r="O473" s="76" t="s">
        <v>868</v>
      </c>
      <c r="P473" s="76">
        <v>1</v>
      </c>
      <c r="Q473" s="485">
        <f>Fuente!AT477</f>
        <v>0</v>
      </c>
      <c r="R473" s="485">
        <f>Fuente!AU477</f>
        <v>0</v>
      </c>
      <c r="S473" s="485">
        <f>Fuente!AV477</f>
        <v>0</v>
      </c>
      <c r="T473" s="485">
        <f>Fuente!AW477</f>
        <v>0</v>
      </c>
      <c r="U473" s="467">
        <f>Fuente!AM477</f>
        <v>0</v>
      </c>
      <c r="V473" s="485" t="str">
        <f>Fuente!AY477</f>
        <v>NP</v>
      </c>
      <c r="W473" s="485">
        <f>Fuente!AZ477</f>
        <v>0</v>
      </c>
      <c r="X473" s="485">
        <f>Fuente!BA477</f>
        <v>0</v>
      </c>
      <c r="Y473" s="485">
        <f>Fuente!BB477</f>
        <v>0</v>
      </c>
      <c r="Z473" s="485">
        <f>Fuente!BC477</f>
        <v>0</v>
      </c>
      <c r="AA473" s="467" t="str">
        <f>Fuente!BD477</f>
        <v>NP</v>
      </c>
      <c r="AB473" s="477" t="s">
        <v>49</v>
      </c>
      <c r="AC473" s="477"/>
      <c r="AD473" s="477"/>
      <c r="AE473" s="477"/>
      <c r="AF473" s="494">
        <v>16</v>
      </c>
      <c r="AG473" s="480" t="str">
        <f>Fuente!AB473</f>
        <v>SECRETARÍA DE VÍCTIMAS</v>
      </c>
      <c r="AH473" s="90"/>
      <c r="AI473" s="99"/>
      <c r="AJ473" s="100"/>
    </row>
    <row r="474" spans="1:36" ht="47.25" x14ac:dyDescent="0.2">
      <c r="A474" s="76">
        <v>6</v>
      </c>
      <c r="B474" s="350" t="s">
        <v>1751</v>
      </c>
      <c r="C474" s="351" t="s">
        <v>1454</v>
      </c>
      <c r="D474" s="350" t="s">
        <v>1455</v>
      </c>
      <c r="E474" s="351" t="s">
        <v>1517</v>
      </c>
      <c r="F474" s="350" t="s">
        <v>1883</v>
      </c>
      <c r="G474" s="352"/>
      <c r="H474" s="352" t="s">
        <v>1518</v>
      </c>
      <c r="I474" s="350" t="s">
        <v>1231</v>
      </c>
      <c r="J474" s="76" t="s">
        <v>868</v>
      </c>
      <c r="K474" s="76">
        <v>1</v>
      </c>
      <c r="L474" s="353"/>
      <c r="M474" s="350" t="s">
        <v>1538</v>
      </c>
      <c r="N474" s="350" t="s">
        <v>1539</v>
      </c>
      <c r="O474" s="76">
        <v>4</v>
      </c>
      <c r="P474" s="76">
        <v>16</v>
      </c>
      <c r="Q474" s="485">
        <f>Fuente!AT478</f>
        <v>4</v>
      </c>
      <c r="R474" s="485">
        <f>Fuente!AU478</f>
        <v>0</v>
      </c>
      <c r="S474" s="485">
        <f>Fuente!AV478</f>
        <v>0</v>
      </c>
      <c r="T474" s="485">
        <f>Fuente!AW478</f>
        <v>0</v>
      </c>
      <c r="U474" s="467">
        <f>Fuente!AM478</f>
        <v>0.25</v>
      </c>
      <c r="V474" s="485">
        <f>Fuente!AY478</f>
        <v>4</v>
      </c>
      <c r="W474" s="485">
        <f>Fuente!AZ478</f>
        <v>0</v>
      </c>
      <c r="X474" s="485">
        <f>Fuente!BA478</f>
        <v>0</v>
      </c>
      <c r="Y474" s="485">
        <f>Fuente!BB478</f>
        <v>0</v>
      </c>
      <c r="Z474" s="485">
        <f>Fuente!BC478</f>
        <v>0</v>
      </c>
      <c r="AA474" s="467">
        <f>Fuente!BD478</f>
        <v>0</v>
      </c>
      <c r="AB474" s="480" t="s">
        <v>78</v>
      </c>
      <c r="AC474" s="477"/>
      <c r="AD474" s="477"/>
      <c r="AE474" s="477"/>
      <c r="AF474" s="494">
        <v>16</v>
      </c>
      <c r="AG474" s="480" t="str">
        <f>Fuente!AB474</f>
        <v>SECRETARÍA DE VÍCTIMAS</v>
      </c>
      <c r="AH474" s="90"/>
      <c r="AI474" s="99"/>
      <c r="AJ474" s="100"/>
    </row>
    <row r="475" spans="1:36" ht="63" x14ac:dyDescent="0.2">
      <c r="A475" s="76">
        <v>6</v>
      </c>
      <c r="B475" s="350" t="s">
        <v>1751</v>
      </c>
      <c r="C475" s="351" t="s">
        <v>1454</v>
      </c>
      <c r="D475" s="350" t="s">
        <v>1455</v>
      </c>
      <c r="E475" s="351" t="s">
        <v>1517</v>
      </c>
      <c r="F475" s="350" t="s">
        <v>1883</v>
      </c>
      <c r="G475" s="352"/>
      <c r="H475" s="352" t="s">
        <v>1518</v>
      </c>
      <c r="I475" s="350" t="s">
        <v>1231</v>
      </c>
      <c r="J475" s="76" t="s">
        <v>868</v>
      </c>
      <c r="K475" s="76">
        <v>1</v>
      </c>
      <c r="L475" s="353"/>
      <c r="M475" s="350" t="s">
        <v>1540</v>
      </c>
      <c r="N475" s="350" t="s">
        <v>1541</v>
      </c>
      <c r="O475" s="76" t="s">
        <v>868</v>
      </c>
      <c r="P475" s="76">
        <v>1</v>
      </c>
      <c r="Q475" s="485">
        <f>Fuente!AT479</f>
        <v>1</v>
      </c>
      <c r="R475" s="485">
        <f>Fuente!AU479</f>
        <v>0</v>
      </c>
      <c r="S475" s="485">
        <f>Fuente!AV479</f>
        <v>0</v>
      </c>
      <c r="T475" s="485">
        <f>Fuente!AW479</f>
        <v>0</v>
      </c>
      <c r="U475" s="467">
        <f>Fuente!AM479</f>
        <v>1</v>
      </c>
      <c r="V475" s="485" t="str">
        <f>Fuente!AY479</f>
        <v>NP</v>
      </c>
      <c r="W475" s="485">
        <f>Fuente!AZ479</f>
        <v>0</v>
      </c>
      <c r="X475" s="485">
        <f>Fuente!BA479</f>
        <v>0</v>
      </c>
      <c r="Y475" s="485">
        <f>Fuente!BB479</f>
        <v>0</v>
      </c>
      <c r="Z475" s="485">
        <f>Fuente!BC479</f>
        <v>0</v>
      </c>
      <c r="AA475" s="467" t="str">
        <f>Fuente!BD479</f>
        <v>NP</v>
      </c>
      <c r="AB475" s="477" t="s">
        <v>49</v>
      </c>
      <c r="AC475" s="477"/>
      <c r="AD475" s="477"/>
      <c r="AE475" s="477"/>
      <c r="AF475" s="494">
        <v>16</v>
      </c>
      <c r="AG475" s="480" t="str">
        <f>Fuente!AB475</f>
        <v>SECRETARÍA DE VÍCTIMAS</v>
      </c>
      <c r="AH475" s="90"/>
      <c r="AI475" s="99"/>
      <c r="AJ475" s="100"/>
    </row>
    <row r="476" spans="1:36" ht="94.5" x14ac:dyDescent="0.2">
      <c r="A476" s="76">
        <v>6</v>
      </c>
      <c r="B476" s="350" t="s">
        <v>1751</v>
      </c>
      <c r="C476" s="351" t="s">
        <v>1454</v>
      </c>
      <c r="D476" s="350" t="s">
        <v>1455</v>
      </c>
      <c r="E476" s="351" t="s">
        <v>1542</v>
      </c>
      <c r="F476" s="350" t="s">
        <v>1884</v>
      </c>
      <c r="G476" s="351"/>
      <c r="H476" s="352" t="s">
        <v>1543</v>
      </c>
      <c r="I476" s="350" t="s">
        <v>1544</v>
      </c>
      <c r="J476" s="351">
        <v>46</v>
      </c>
      <c r="K476" s="351">
        <v>9</v>
      </c>
      <c r="L476" s="350"/>
      <c r="M476" s="350" t="s">
        <v>1545</v>
      </c>
      <c r="N476" s="350" t="s">
        <v>1546</v>
      </c>
      <c r="O476" s="351" t="s">
        <v>868</v>
      </c>
      <c r="P476" s="351">
        <v>9</v>
      </c>
      <c r="Q476" s="485">
        <f>Fuente!AT480</f>
        <v>3</v>
      </c>
      <c r="R476" s="485">
        <f>Fuente!AU480</f>
        <v>0</v>
      </c>
      <c r="S476" s="485">
        <f>Fuente!AV480</f>
        <v>0</v>
      </c>
      <c r="T476" s="485">
        <f>Fuente!AW480</f>
        <v>0</v>
      </c>
      <c r="U476" s="467">
        <f>Fuente!AM480</f>
        <v>0.1111111111111111</v>
      </c>
      <c r="V476" s="485">
        <f>Fuente!AY480</f>
        <v>2</v>
      </c>
      <c r="W476" s="485">
        <f>Fuente!AZ480</f>
        <v>2</v>
      </c>
      <c r="X476" s="485">
        <f>Fuente!BA480</f>
        <v>0</v>
      </c>
      <c r="Y476" s="485">
        <f>Fuente!BB480</f>
        <v>0</v>
      </c>
      <c r="Z476" s="485">
        <f>Fuente!BC480</f>
        <v>0</v>
      </c>
      <c r="AA476" s="467">
        <f>Fuente!BD480</f>
        <v>1</v>
      </c>
      <c r="AB476" s="477" t="s">
        <v>49</v>
      </c>
      <c r="AC476" s="477"/>
      <c r="AD476" s="477"/>
      <c r="AE476" s="477"/>
      <c r="AF476" s="494">
        <v>16</v>
      </c>
      <c r="AG476" s="480" t="str">
        <f>Fuente!AB476</f>
        <v>SECRETARÍA DE VÍCTIMAS</v>
      </c>
      <c r="AH476" s="90"/>
      <c r="AI476" s="99"/>
      <c r="AJ476" s="100"/>
    </row>
    <row r="477" spans="1:36" ht="126" x14ac:dyDescent="0.2">
      <c r="A477" s="76">
        <v>6</v>
      </c>
      <c r="B477" s="350" t="s">
        <v>1751</v>
      </c>
      <c r="C477" s="351" t="s">
        <v>1454</v>
      </c>
      <c r="D477" s="350" t="s">
        <v>1455</v>
      </c>
      <c r="E477" s="351" t="s">
        <v>1542</v>
      </c>
      <c r="F477" s="350" t="s">
        <v>1884</v>
      </c>
      <c r="G477" s="351"/>
      <c r="H477" s="352" t="s">
        <v>1543</v>
      </c>
      <c r="I477" s="350" t="s">
        <v>1544</v>
      </c>
      <c r="J477" s="351">
        <v>46</v>
      </c>
      <c r="K477" s="351">
        <v>9</v>
      </c>
      <c r="L477" s="350"/>
      <c r="M477" s="350" t="s">
        <v>1545</v>
      </c>
      <c r="N477" s="350" t="s">
        <v>1547</v>
      </c>
      <c r="O477" s="351" t="s">
        <v>868</v>
      </c>
      <c r="P477" s="351">
        <v>37</v>
      </c>
      <c r="Q477" s="485">
        <f>Fuente!AT481</f>
        <v>7</v>
      </c>
      <c r="R477" s="485">
        <f>Fuente!AU481</f>
        <v>0</v>
      </c>
      <c r="S477" s="485">
        <f>Fuente!AV481</f>
        <v>0</v>
      </c>
      <c r="T477" s="485">
        <f>Fuente!AW481</f>
        <v>0</v>
      </c>
      <c r="U477" s="467">
        <f>Fuente!AM481</f>
        <v>0.13513513513513514</v>
      </c>
      <c r="V477" s="485">
        <f>Fuente!AY481</f>
        <v>10</v>
      </c>
      <c r="W477" s="485">
        <f>Fuente!AZ481</f>
        <v>2</v>
      </c>
      <c r="X477" s="485">
        <f>Fuente!BA481</f>
        <v>0</v>
      </c>
      <c r="Y477" s="485">
        <f>Fuente!BB481</f>
        <v>0</v>
      </c>
      <c r="Z477" s="485">
        <f>Fuente!BC481</f>
        <v>0</v>
      </c>
      <c r="AA477" s="467">
        <f>Fuente!BD481</f>
        <v>0.2</v>
      </c>
      <c r="AB477" s="477" t="s">
        <v>49</v>
      </c>
      <c r="AC477" s="477"/>
      <c r="AD477" s="477"/>
      <c r="AE477" s="477"/>
      <c r="AF477" s="494">
        <v>16</v>
      </c>
      <c r="AG477" s="480" t="str">
        <f>Fuente!AB477</f>
        <v>SECRETARÍA DE VÍCTIMAS</v>
      </c>
      <c r="AH477" s="90"/>
      <c r="AI477" s="99"/>
      <c r="AJ477" s="100"/>
    </row>
    <row r="478" spans="1:36" ht="141.75" x14ac:dyDescent="0.2">
      <c r="A478" s="76">
        <v>6</v>
      </c>
      <c r="B478" s="350" t="s">
        <v>1751</v>
      </c>
      <c r="C478" s="351" t="s">
        <v>1454</v>
      </c>
      <c r="D478" s="350" t="s">
        <v>1455</v>
      </c>
      <c r="E478" s="351" t="s">
        <v>1542</v>
      </c>
      <c r="F478" s="350" t="s">
        <v>1884</v>
      </c>
      <c r="G478" s="351"/>
      <c r="H478" s="352" t="s">
        <v>1543</v>
      </c>
      <c r="I478" s="350" t="s">
        <v>1544</v>
      </c>
      <c r="J478" s="351">
        <v>46</v>
      </c>
      <c r="K478" s="351">
        <v>9</v>
      </c>
      <c r="L478" s="350"/>
      <c r="M478" s="350" t="s">
        <v>1545</v>
      </c>
      <c r="N478" s="350" t="s">
        <v>1548</v>
      </c>
      <c r="O478" s="351" t="s">
        <v>868</v>
      </c>
      <c r="P478" s="491">
        <v>1</v>
      </c>
      <c r="Q478" s="485">
        <f>Fuente!AT482</f>
        <v>0.5</v>
      </c>
      <c r="R478" s="485">
        <f>Fuente!AU482</f>
        <v>0</v>
      </c>
      <c r="S478" s="485">
        <f>Fuente!AV482</f>
        <v>0</v>
      </c>
      <c r="T478" s="485">
        <f>Fuente!AW482</f>
        <v>0</v>
      </c>
      <c r="U478" s="467">
        <f>Fuente!AM482</f>
        <v>0</v>
      </c>
      <c r="V478" s="485">
        <f>Fuente!AY482</f>
        <v>0.25</v>
      </c>
      <c r="W478" s="485">
        <f>Fuente!AZ482</f>
        <v>0.5</v>
      </c>
      <c r="X478" s="485">
        <f>Fuente!BA482</f>
        <v>0</v>
      </c>
      <c r="Y478" s="485">
        <f>Fuente!BB482</f>
        <v>0</v>
      </c>
      <c r="Z478" s="485">
        <f>Fuente!BC482</f>
        <v>0</v>
      </c>
      <c r="AA478" s="467">
        <f>Fuente!BD482</f>
        <v>1</v>
      </c>
      <c r="AB478" s="477" t="s">
        <v>49</v>
      </c>
      <c r="AC478" s="477"/>
      <c r="AD478" s="477"/>
      <c r="AE478" s="477"/>
      <c r="AF478" s="494">
        <v>16</v>
      </c>
      <c r="AG478" s="480" t="str">
        <f>Fuente!AB478</f>
        <v>SECRETARÍA DE VÍCTIMAS</v>
      </c>
      <c r="AH478" s="90"/>
      <c r="AI478" s="99"/>
      <c r="AJ478" s="100"/>
    </row>
    <row r="479" spans="1:36" ht="94.5" x14ac:dyDescent="0.2">
      <c r="A479" s="76">
        <v>6</v>
      </c>
      <c r="B479" s="350" t="s">
        <v>1751</v>
      </c>
      <c r="C479" s="351" t="s">
        <v>1454</v>
      </c>
      <c r="D479" s="350" t="s">
        <v>1455</v>
      </c>
      <c r="E479" s="351" t="s">
        <v>1542</v>
      </c>
      <c r="F479" s="350" t="s">
        <v>1884</v>
      </c>
      <c r="G479" s="351"/>
      <c r="H479" s="352" t="s">
        <v>1543</v>
      </c>
      <c r="I479" s="350" t="s">
        <v>1544</v>
      </c>
      <c r="J479" s="351">
        <v>46</v>
      </c>
      <c r="K479" s="351">
        <v>9</v>
      </c>
      <c r="L479" s="350"/>
      <c r="M479" s="350" t="s">
        <v>1545</v>
      </c>
      <c r="N479" s="350" t="s">
        <v>1549</v>
      </c>
      <c r="O479" s="351" t="s">
        <v>868</v>
      </c>
      <c r="P479" s="491">
        <v>1</v>
      </c>
      <c r="Q479" s="485">
        <f>Fuente!AT483</f>
        <v>0.5</v>
      </c>
      <c r="R479" s="485">
        <f>Fuente!AU483</f>
        <v>0</v>
      </c>
      <c r="S479" s="485">
        <f>Fuente!AV483</f>
        <v>0</v>
      </c>
      <c r="T479" s="485">
        <f>Fuente!AW483</f>
        <v>0</v>
      </c>
      <c r="U479" s="467">
        <f>Fuente!AM483</f>
        <v>0</v>
      </c>
      <c r="V479" s="485">
        <f>Fuente!AY483</f>
        <v>0.25</v>
      </c>
      <c r="W479" s="485">
        <f>Fuente!AZ483</f>
        <v>0.5</v>
      </c>
      <c r="X479" s="485">
        <f>Fuente!BA483</f>
        <v>0</v>
      </c>
      <c r="Y479" s="485">
        <f>Fuente!BB483</f>
        <v>0</v>
      </c>
      <c r="Z479" s="485">
        <f>Fuente!BC483</f>
        <v>0</v>
      </c>
      <c r="AA479" s="467">
        <f>Fuente!BD483</f>
        <v>1</v>
      </c>
      <c r="AB479" s="477" t="s">
        <v>49</v>
      </c>
      <c r="AC479" s="477"/>
      <c r="AD479" s="477"/>
      <c r="AE479" s="477"/>
      <c r="AF479" s="494">
        <v>16</v>
      </c>
      <c r="AG479" s="480" t="str">
        <f>Fuente!AB479</f>
        <v>SECRETARÍA DE VÍCTIMAS</v>
      </c>
      <c r="AH479" s="90"/>
      <c r="AI479" s="99"/>
      <c r="AJ479" s="100"/>
    </row>
    <row r="480" spans="1:36" ht="110.25" x14ac:dyDescent="0.2">
      <c r="A480" s="76">
        <v>6</v>
      </c>
      <c r="B480" s="350" t="s">
        <v>1751</v>
      </c>
      <c r="C480" s="351" t="s">
        <v>1454</v>
      </c>
      <c r="D480" s="350" t="s">
        <v>1455</v>
      </c>
      <c r="E480" s="351" t="s">
        <v>1550</v>
      </c>
      <c r="F480" s="350" t="s">
        <v>1885</v>
      </c>
      <c r="G480" s="352"/>
      <c r="H480" s="352" t="s">
        <v>1551</v>
      </c>
      <c r="I480" s="350" t="s">
        <v>1552</v>
      </c>
      <c r="J480" s="76" t="s">
        <v>868</v>
      </c>
      <c r="K480" s="76">
        <v>1</v>
      </c>
      <c r="L480" s="353"/>
      <c r="M480" s="350" t="s">
        <v>1553</v>
      </c>
      <c r="N480" s="350" t="s">
        <v>1554</v>
      </c>
      <c r="O480" s="76" t="s">
        <v>868</v>
      </c>
      <c r="P480" s="76">
        <v>12</v>
      </c>
      <c r="Q480" s="485">
        <f>Fuente!AT484</f>
        <v>4</v>
      </c>
      <c r="R480" s="485">
        <f>Fuente!AU484</f>
        <v>0</v>
      </c>
      <c r="S480" s="485">
        <f>Fuente!AV484</f>
        <v>0</v>
      </c>
      <c r="T480" s="485">
        <f>Fuente!AW484</f>
        <v>0</v>
      </c>
      <c r="U480" s="467">
        <f>Fuente!AM484</f>
        <v>0.25</v>
      </c>
      <c r="V480" s="485">
        <f>Fuente!AY484</f>
        <v>3</v>
      </c>
      <c r="W480" s="485">
        <f>Fuente!AZ484</f>
        <v>1</v>
      </c>
      <c r="X480" s="485">
        <f>Fuente!BA484</f>
        <v>0</v>
      </c>
      <c r="Y480" s="485">
        <f>Fuente!BB484</f>
        <v>0</v>
      </c>
      <c r="Z480" s="485">
        <f>Fuente!BC484</f>
        <v>0</v>
      </c>
      <c r="AA480" s="467">
        <f>Fuente!BD484</f>
        <v>0.33333333333333331</v>
      </c>
      <c r="AB480" s="477" t="s">
        <v>49</v>
      </c>
      <c r="AC480" s="477"/>
      <c r="AD480" s="477"/>
      <c r="AE480" s="477"/>
      <c r="AF480" s="494">
        <v>16</v>
      </c>
      <c r="AG480" s="480" t="str">
        <f>Fuente!AB480</f>
        <v>SECRETARÍA DE VÍCTIMAS</v>
      </c>
      <c r="AH480" s="90"/>
      <c r="AI480" s="101"/>
      <c r="AJ480" s="100"/>
    </row>
    <row r="481" spans="1:36" ht="110.25" x14ac:dyDescent="0.2">
      <c r="A481" s="76">
        <v>6</v>
      </c>
      <c r="B481" s="350" t="s">
        <v>1751</v>
      </c>
      <c r="C481" s="351" t="s">
        <v>1454</v>
      </c>
      <c r="D481" s="350" t="s">
        <v>1455</v>
      </c>
      <c r="E481" s="351" t="s">
        <v>1550</v>
      </c>
      <c r="F481" s="350" t="s">
        <v>1885</v>
      </c>
      <c r="G481" s="352"/>
      <c r="H481" s="352" t="s">
        <v>1551</v>
      </c>
      <c r="I481" s="350" t="s">
        <v>1552</v>
      </c>
      <c r="J481" s="76" t="s">
        <v>868</v>
      </c>
      <c r="K481" s="76">
        <v>1</v>
      </c>
      <c r="L481" s="353"/>
      <c r="M481" s="350" t="s">
        <v>1555</v>
      </c>
      <c r="N481" s="350" t="s">
        <v>1556</v>
      </c>
      <c r="O481" s="76" t="s">
        <v>868</v>
      </c>
      <c r="P481" s="76">
        <v>10</v>
      </c>
      <c r="Q481" s="485">
        <f>Fuente!AT485</f>
        <v>2</v>
      </c>
      <c r="R481" s="485">
        <f>Fuente!AU485</f>
        <v>0</v>
      </c>
      <c r="S481" s="485">
        <f>Fuente!AV485</f>
        <v>0</v>
      </c>
      <c r="T481" s="485">
        <f>Fuente!AW485</f>
        <v>0</v>
      </c>
      <c r="U481" s="467">
        <f>Fuente!AM485</f>
        <v>0.1</v>
      </c>
      <c r="V481" s="485">
        <f>Fuente!AY485</f>
        <v>3</v>
      </c>
      <c r="W481" s="485">
        <f>Fuente!AZ485</f>
        <v>1</v>
      </c>
      <c r="X481" s="485">
        <f>Fuente!BA485</f>
        <v>0</v>
      </c>
      <c r="Y481" s="485">
        <f>Fuente!BB485</f>
        <v>0</v>
      </c>
      <c r="Z481" s="485">
        <f>Fuente!BC485</f>
        <v>0</v>
      </c>
      <c r="AA481" s="467">
        <f>Fuente!BD485</f>
        <v>0.33333333333333331</v>
      </c>
      <c r="AB481" s="477" t="s">
        <v>49</v>
      </c>
      <c r="AC481" s="477"/>
      <c r="AD481" s="477"/>
      <c r="AE481" s="477"/>
      <c r="AF481" s="494">
        <v>16</v>
      </c>
      <c r="AG481" s="480" t="str">
        <f>Fuente!AB481</f>
        <v>SECRETARÍA DE VÍCTIMAS</v>
      </c>
      <c r="AH481" s="90"/>
      <c r="AI481" s="101"/>
      <c r="AJ481" s="100"/>
    </row>
    <row r="482" spans="1:36" ht="110.25" x14ac:dyDescent="0.2">
      <c r="A482" s="76">
        <v>6</v>
      </c>
      <c r="B482" s="350" t="s">
        <v>1751</v>
      </c>
      <c r="C482" s="351" t="s">
        <v>1454</v>
      </c>
      <c r="D482" s="350" t="s">
        <v>1455</v>
      </c>
      <c r="E482" s="351" t="s">
        <v>1550</v>
      </c>
      <c r="F482" s="350" t="s">
        <v>1885</v>
      </c>
      <c r="G482" s="352"/>
      <c r="H482" s="352" t="s">
        <v>1551</v>
      </c>
      <c r="I482" s="350" t="s">
        <v>1552</v>
      </c>
      <c r="J482" s="76" t="s">
        <v>868</v>
      </c>
      <c r="K482" s="76">
        <v>1</v>
      </c>
      <c r="L482" s="353"/>
      <c r="M482" s="350" t="s">
        <v>1557</v>
      </c>
      <c r="N482" s="350" t="s">
        <v>1558</v>
      </c>
      <c r="O482" s="76" t="s">
        <v>868</v>
      </c>
      <c r="P482" s="76">
        <v>5</v>
      </c>
      <c r="Q482" s="485">
        <f>Fuente!AT486</f>
        <v>0</v>
      </c>
      <c r="R482" s="485">
        <f>Fuente!AU486</f>
        <v>0</v>
      </c>
      <c r="S482" s="485">
        <f>Fuente!AV486</f>
        <v>0</v>
      </c>
      <c r="T482" s="485">
        <f>Fuente!AW486</f>
        <v>0</v>
      </c>
      <c r="U482" s="467">
        <f>Fuente!AM486</f>
        <v>0</v>
      </c>
      <c r="V482" s="485">
        <f>Fuente!AY486</f>
        <v>1</v>
      </c>
      <c r="W482" s="485">
        <f>Fuente!AZ486</f>
        <v>0</v>
      </c>
      <c r="X482" s="485">
        <f>Fuente!BA486</f>
        <v>0</v>
      </c>
      <c r="Y482" s="485">
        <f>Fuente!BB486</f>
        <v>0</v>
      </c>
      <c r="Z482" s="485">
        <f>Fuente!BC486</f>
        <v>0</v>
      </c>
      <c r="AA482" s="467">
        <f>Fuente!BD486</f>
        <v>0</v>
      </c>
      <c r="AB482" s="477" t="s">
        <v>49</v>
      </c>
      <c r="AC482" s="477"/>
      <c r="AD482" s="477"/>
      <c r="AE482" s="477"/>
      <c r="AF482" s="494">
        <v>16</v>
      </c>
      <c r="AG482" s="480" t="str">
        <f>Fuente!AB482</f>
        <v>SECRETARÍA DE VÍCTIMAS</v>
      </c>
      <c r="AH482" s="90"/>
      <c r="AI482" s="99"/>
      <c r="AJ482" s="100"/>
    </row>
    <row r="483" spans="1:36" ht="110.25" x14ac:dyDescent="0.2">
      <c r="A483" s="76">
        <v>6</v>
      </c>
      <c r="B483" s="350" t="s">
        <v>1751</v>
      </c>
      <c r="C483" s="351" t="s">
        <v>1454</v>
      </c>
      <c r="D483" s="350" t="s">
        <v>1455</v>
      </c>
      <c r="E483" s="351" t="s">
        <v>1550</v>
      </c>
      <c r="F483" s="350" t="s">
        <v>1885</v>
      </c>
      <c r="G483" s="352"/>
      <c r="H483" s="352" t="s">
        <v>1551</v>
      </c>
      <c r="I483" s="350" t="s">
        <v>1552</v>
      </c>
      <c r="J483" s="76" t="s">
        <v>868</v>
      </c>
      <c r="K483" s="76">
        <v>1</v>
      </c>
      <c r="L483" s="353"/>
      <c r="M483" s="350" t="s">
        <v>1559</v>
      </c>
      <c r="N483" s="350" t="s">
        <v>1560</v>
      </c>
      <c r="O483" s="76" t="s">
        <v>868</v>
      </c>
      <c r="P483" s="76">
        <v>14</v>
      </c>
      <c r="Q483" s="485">
        <f>Fuente!AT487</f>
        <v>2</v>
      </c>
      <c r="R483" s="485">
        <f>Fuente!AU487</f>
        <v>0</v>
      </c>
      <c r="S483" s="485">
        <f>Fuente!AV487</f>
        <v>0</v>
      </c>
      <c r="T483" s="485">
        <f>Fuente!AW487</f>
        <v>0</v>
      </c>
      <c r="U483" s="467">
        <f>Fuente!AM487</f>
        <v>0.14285714285714285</v>
      </c>
      <c r="V483" s="485">
        <f>Fuente!AY487</f>
        <v>4</v>
      </c>
      <c r="W483" s="485">
        <f>Fuente!AZ487</f>
        <v>0</v>
      </c>
      <c r="X483" s="485">
        <f>Fuente!BA487</f>
        <v>0</v>
      </c>
      <c r="Y483" s="485">
        <f>Fuente!BB487</f>
        <v>0</v>
      </c>
      <c r="Z483" s="485">
        <f>Fuente!BC487</f>
        <v>0</v>
      </c>
      <c r="AA483" s="467">
        <f>Fuente!BD487</f>
        <v>0</v>
      </c>
      <c r="AB483" s="477" t="s">
        <v>49</v>
      </c>
      <c r="AC483" s="477"/>
      <c r="AD483" s="477"/>
      <c r="AE483" s="477"/>
      <c r="AF483" s="494">
        <v>16</v>
      </c>
      <c r="AG483" s="480" t="str">
        <f>Fuente!AB483</f>
        <v>SECRETARÍA DE VÍCTIMAS</v>
      </c>
      <c r="AH483" s="90"/>
      <c r="AI483" s="99"/>
      <c r="AJ483" s="100"/>
    </row>
    <row r="484" spans="1:36" ht="110.25" x14ac:dyDescent="0.2">
      <c r="A484" s="76">
        <v>6</v>
      </c>
      <c r="B484" s="350" t="s">
        <v>1751</v>
      </c>
      <c r="C484" s="351" t="s">
        <v>1454</v>
      </c>
      <c r="D484" s="350" t="s">
        <v>1455</v>
      </c>
      <c r="E484" s="351" t="s">
        <v>1550</v>
      </c>
      <c r="F484" s="350" t="s">
        <v>1885</v>
      </c>
      <c r="G484" s="352"/>
      <c r="H484" s="352" t="s">
        <v>1551</v>
      </c>
      <c r="I484" s="350" t="s">
        <v>1552</v>
      </c>
      <c r="J484" s="76" t="s">
        <v>868</v>
      </c>
      <c r="K484" s="76">
        <v>1</v>
      </c>
      <c r="L484" s="353"/>
      <c r="M484" s="350" t="s">
        <v>1561</v>
      </c>
      <c r="N484" s="350" t="s">
        <v>1562</v>
      </c>
      <c r="O484" s="76" t="s">
        <v>868</v>
      </c>
      <c r="P484" s="491">
        <v>0.3</v>
      </c>
      <c r="Q484" s="485">
        <f>Fuente!AT488</f>
        <v>0</v>
      </c>
      <c r="R484" s="485">
        <f>Fuente!AU488</f>
        <v>0</v>
      </c>
      <c r="S484" s="485">
        <f>Fuente!AV488</f>
        <v>0</v>
      </c>
      <c r="T484" s="485">
        <f>Fuente!AW488</f>
        <v>0</v>
      </c>
      <c r="U484" s="467">
        <f>Fuente!AM488</f>
        <v>0</v>
      </c>
      <c r="V484" s="485">
        <f>Fuente!AY488</f>
        <v>0.1</v>
      </c>
      <c r="W484" s="485">
        <f>Fuente!AZ488</f>
        <v>0</v>
      </c>
      <c r="X484" s="485">
        <f>Fuente!BA488</f>
        <v>0</v>
      </c>
      <c r="Y484" s="485">
        <f>Fuente!BB488</f>
        <v>0</v>
      </c>
      <c r="Z484" s="485">
        <f>Fuente!BC488</f>
        <v>0</v>
      </c>
      <c r="AA484" s="467">
        <f>Fuente!BD488</f>
        <v>0</v>
      </c>
      <c r="AB484" s="477" t="s">
        <v>971</v>
      </c>
      <c r="AC484" s="477"/>
      <c r="AD484" s="477"/>
      <c r="AE484" s="477"/>
      <c r="AF484" s="494">
        <v>16</v>
      </c>
      <c r="AG484" s="480" t="str">
        <f>Fuente!AB484</f>
        <v>SECRETARÍA DE VÍCTIMAS</v>
      </c>
      <c r="AH484" s="90"/>
      <c r="AI484" s="99"/>
      <c r="AJ484" s="100"/>
    </row>
    <row r="485" spans="1:36" ht="110.25" x14ac:dyDescent="0.2">
      <c r="A485" s="76">
        <v>6</v>
      </c>
      <c r="B485" s="350" t="s">
        <v>1751</v>
      </c>
      <c r="C485" s="351" t="s">
        <v>1454</v>
      </c>
      <c r="D485" s="350" t="s">
        <v>1455</v>
      </c>
      <c r="E485" s="351" t="s">
        <v>1550</v>
      </c>
      <c r="F485" s="350" t="s">
        <v>1885</v>
      </c>
      <c r="G485" s="352"/>
      <c r="H485" s="352" t="s">
        <v>1551</v>
      </c>
      <c r="I485" s="350" t="s">
        <v>1552</v>
      </c>
      <c r="J485" s="76" t="s">
        <v>868</v>
      </c>
      <c r="K485" s="76">
        <v>1</v>
      </c>
      <c r="L485" s="353"/>
      <c r="M485" s="350" t="s">
        <v>1563</v>
      </c>
      <c r="N485" s="350" t="s">
        <v>1564</v>
      </c>
      <c r="O485" s="76" t="s">
        <v>868</v>
      </c>
      <c r="P485" s="76">
        <v>2</v>
      </c>
      <c r="Q485" s="485">
        <f>Fuente!AT489</f>
        <v>1</v>
      </c>
      <c r="R485" s="485">
        <f>Fuente!AU489</f>
        <v>0</v>
      </c>
      <c r="S485" s="485">
        <f>Fuente!AV489</f>
        <v>0</v>
      </c>
      <c r="T485" s="485">
        <f>Fuente!AW489</f>
        <v>0</v>
      </c>
      <c r="U485" s="467">
        <f>Fuente!AM489</f>
        <v>0</v>
      </c>
      <c r="V485" s="485">
        <f>Fuente!AY489</f>
        <v>1</v>
      </c>
      <c r="W485" s="485">
        <f>Fuente!AZ489</f>
        <v>1</v>
      </c>
      <c r="X485" s="485">
        <f>Fuente!BA489</f>
        <v>0</v>
      </c>
      <c r="Y485" s="485">
        <f>Fuente!BB489</f>
        <v>0</v>
      </c>
      <c r="Z485" s="485">
        <f>Fuente!BC489</f>
        <v>0</v>
      </c>
      <c r="AA485" s="467">
        <f>Fuente!BD489</f>
        <v>1</v>
      </c>
      <c r="AB485" s="477" t="s">
        <v>971</v>
      </c>
      <c r="AC485" s="477"/>
      <c r="AD485" s="477"/>
      <c r="AE485" s="477"/>
      <c r="AF485" s="494">
        <v>16</v>
      </c>
      <c r="AG485" s="480" t="str">
        <f>Fuente!AB485</f>
        <v>SECRETARÍA DE VÍCTIMAS</v>
      </c>
      <c r="AH485" s="90"/>
      <c r="AI485" s="99"/>
      <c r="AJ485" s="100"/>
    </row>
    <row r="486" spans="1:36" ht="110.25" x14ac:dyDescent="0.2">
      <c r="A486" s="76">
        <v>6</v>
      </c>
      <c r="B486" s="350" t="s">
        <v>1751</v>
      </c>
      <c r="C486" s="351" t="s">
        <v>1454</v>
      </c>
      <c r="D486" s="350" t="s">
        <v>1455</v>
      </c>
      <c r="E486" s="351" t="s">
        <v>1550</v>
      </c>
      <c r="F486" s="350" t="s">
        <v>1885</v>
      </c>
      <c r="G486" s="352"/>
      <c r="H486" s="352" t="s">
        <v>1551</v>
      </c>
      <c r="I486" s="350" t="s">
        <v>1552</v>
      </c>
      <c r="J486" s="76" t="s">
        <v>868</v>
      </c>
      <c r="K486" s="76">
        <v>1</v>
      </c>
      <c r="L486" s="353"/>
      <c r="M486" s="350" t="s">
        <v>1565</v>
      </c>
      <c r="N486" s="350" t="s">
        <v>1566</v>
      </c>
      <c r="O486" s="76" t="s">
        <v>868</v>
      </c>
      <c r="P486" s="351">
        <v>50</v>
      </c>
      <c r="Q486" s="485">
        <f>Fuente!AT490</f>
        <v>0</v>
      </c>
      <c r="R486" s="485">
        <f>Fuente!AU490</f>
        <v>0</v>
      </c>
      <c r="S486" s="485">
        <f>Fuente!AV490</f>
        <v>0</v>
      </c>
      <c r="T486" s="485">
        <f>Fuente!AW490</f>
        <v>0</v>
      </c>
      <c r="U486" s="467">
        <f>Fuente!AM490</f>
        <v>0</v>
      </c>
      <c r="V486" s="485">
        <f>Fuente!AY490</f>
        <v>20</v>
      </c>
      <c r="W486" s="485">
        <f>Fuente!AZ490</f>
        <v>0</v>
      </c>
      <c r="X486" s="485">
        <f>Fuente!BA490</f>
        <v>0</v>
      </c>
      <c r="Y486" s="485">
        <f>Fuente!BB490</f>
        <v>0</v>
      </c>
      <c r="Z486" s="485">
        <f>Fuente!BC490</f>
        <v>0</v>
      </c>
      <c r="AA486" s="467">
        <f>Fuente!BD490</f>
        <v>0</v>
      </c>
      <c r="AB486" s="477" t="s">
        <v>971</v>
      </c>
      <c r="AC486" s="477"/>
      <c r="AD486" s="477"/>
      <c r="AE486" s="477"/>
      <c r="AF486" s="494">
        <v>16</v>
      </c>
      <c r="AG486" s="480" t="str">
        <f>Fuente!AB486</f>
        <v>SECRETARÍA DE VÍCTIMAS</v>
      </c>
      <c r="AH486" s="90"/>
      <c r="AI486" s="99"/>
      <c r="AJ486" s="100"/>
    </row>
    <row r="487" spans="1:36" ht="110.25" x14ac:dyDescent="0.2">
      <c r="A487" s="76">
        <v>6</v>
      </c>
      <c r="B487" s="350" t="s">
        <v>1751</v>
      </c>
      <c r="C487" s="351" t="s">
        <v>1454</v>
      </c>
      <c r="D487" s="350" t="s">
        <v>1455</v>
      </c>
      <c r="E487" s="351" t="s">
        <v>1550</v>
      </c>
      <c r="F487" s="350" t="s">
        <v>1885</v>
      </c>
      <c r="G487" s="352"/>
      <c r="H487" s="352" t="s">
        <v>1551</v>
      </c>
      <c r="I487" s="350" t="s">
        <v>1552</v>
      </c>
      <c r="J487" s="76" t="s">
        <v>868</v>
      </c>
      <c r="K487" s="76">
        <v>1</v>
      </c>
      <c r="L487" s="353"/>
      <c r="M487" s="350" t="s">
        <v>1567</v>
      </c>
      <c r="N487" s="350" t="s">
        <v>1568</v>
      </c>
      <c r="O487" s="76" t="s">
        <v>868</v>
      </c>
      <c r="P487" s="491">
        <v>0.15</v>
      </c>
      <c r="Q487" s="485">
        <f>Fuente!AT491</f>
        <v>0</v>
      </c>
      <c r="R487" s="485">
        <f>Fuente!AU491</f>
        <v>0</v>
      </c>
      <c r="S487" s="485">
        <f>Fuente!AV491</f>
        <v>0</v>
      </c>
      <c r="T487" s="485">
        <f>Fuente!AW491</f>
        <v>0</v>
      </c>
      <c r="U487" s="467">
        <f>Fuente!AM491</f>
        <v>0</v>
      </c>
      <c r="V487" s="485">
        <f>Fuente!AY491</f>
        <v>0.5</v>
      </c>
      <c r="W487" s="485">
        <f>Fuente!AZ491</f>
        <v>0</v>
      </c>
      <c r="X487" s="485">
        <f>Fuente!BA491</f>
        <v>0</v>
      </c>
      <c r="Y487" s="485">
        <f>Fuente!BB491</f>
        <v>0</v>
      </c>
      <c r="Z487" s="485">
        <f>Fuente!BC491</f>
        <v>0</v>
      </c>
      <c r="AA487" s="467">
        <f>Fuente!BD491</f>
        <v>0</v>
      </c>
      <c r="AB487" s="477" t="s">
        <v>971</v>
      </c>
      <c r="AC487" s="477"/>
      <c r="AD487" s="477"/>
      <c r="AE487" s="477"/>
      <c r="AF487" s="494">
        <v>16</v>
      </c>
      <c r="AG487" s="480" t="str">
        <f>Fuente!AB487</f>
        <v>SECRETARÍA DE VÍCTIMAS</v>
      </c>
      <c r="AH487" s="90"/>
      <c r="AI487" s="99"/>
      <c r="AJ487" s="100"/>
    </row>
    <row r="488" spans="1:36" ht="126" x14ac:dyDescent="0.2">
      <c r="A488" s="76">
        <v>6</v>
      </c>
      <c r="B488" s="350" t="s">
        <v>1751</v>
      </c>
      <c r="C488" s="351" t="s">
        <v>1569</v>
      </c>
      <c r="D488" s="350" t="s">
        <v>1818</v>
      </c>
      <c r="E488" s="351" t="s">
        <v>1980</v>
      </c>
      <c r="F488" s="350" t="s">
        <v>1886</v>
      </c>
      <c r="G488" s="351"/>
      <c r="H488" s="351" t="s">
        <v>1571</v>
      </c>
      <c r="I488" s="351" t="s">
        <v>1571</v>
      </c>
      <c r="J488" s="76">
        <v>30</v>
      </c>
      <c r="K488" s="76">
        <v>75</v>
      </c>
      <c r="L488" s="353"/>
      <c r="M488" s="350" t="s">
        <v>1572</v>
      </c>
      <c r="N488" s="350" t="s">
        <v>1572</v>
      </c>
      <c r="O488" s="76">
        <v>0</v>
      </c>
      <c r="P488" s="76">
        <v>16</v>
      </c>
      <c r="Q488" s="485">
        <f>Fuente!AT492</f>
        <v>3</v>
      </c>
      <c r="R488" s="485">
        <f>Fuente!AU492</f>
        <v>0</v>
      </c>
      <c r="S488" s="485">
        <f>Fuente!AV492</f>
        <v>0</v>
      </c>
      <c r="T488" s="485">
        <f>Fuente!AW492</f>
        <v>0</v>
      </c>
      <c r="U488" s="467">
        <f>Fuente!AM492</f>
        <v>0.125</v>
      </c>
      <c r="V488" s="485">
        <f>Fuente!AY492</f>
        <v>4</v>
      </c>
      <c r="W488" s="485">
        <f>Fuente!AZ492</f>
        <v>1</v>
      </c>
      <c r="X488" s="485">
        <f>Fuente!BA492</f>
        <v>0</v>
      </c>
      <c r="Y488" s="485">
        <f>Fuente!BB492</f>
        <v>0</v>
      </c>
      <c r="Z488" s="485">
        <f>Fuente!BC492</f>
        <v>0</v>
      </c>
      <c r="AA488" s="467">
        <f>Fuente!BD492</f>
        <v>0.25</v>
      </c>
      <c r="AB488" s="477" t="s">
        <v>971</v>
      </c>
      <c r="AC488" s="477"/>
      <c r="AD488" s="477"/>
      <c r="AE488" s="477"/>
      <c r="AF488" s="494">
        <v>16</v>
      </c>
      <c r="AG488" s="480" t="str">
        <f>Fuente!AB488</f>
        <v>SECRETARÍA DE VÍCTIMAS</v>
      </c>
      <c r="AH488" s="90"/>
      <c r="AI488" s="99"/>
      <c r="AJ488" s="100"/>
    </row>
    <row r="489" spans="1:36" ht="126" x14ac:dyDescent="0.2">
      <c r="A489" s="76">
        <v>6</v>
      </c>
      <c r="B489" s="350" t="s">
        <v>1751</v>
      </c>
      <c r="C489" s="351" t="s">
        <v>1569</v>
      </c>
      <c r="D489" s="350" t="s">
        <v>1818</v>
      </c>
      <c r="E489" s="351" t="s">
        <v>1980</v>
      </c>
      <c r="F489" s="350" t="s">
        <v>1886</v>
      </c>
      <c r="G489" s="351"/>
      <c r="H489" s="351" t="s">
        <v>1571</v>
      </c>
      <c r="I489" s="351" t="s">
        <v>1571</v>
      </c>
      <c r="J489" s="76">
        <v>30</v>
      </c>
      <c r="K489" s="76">
        <v>75</v>
      </c>
      <c r="L489" s="353"/>
      <c r="M489" s="350" t="s">
        <v>1573</v>
      </c>
      <c r="N489" s="350" t="s">
        <v>1573</v>
      </c>
      <c r="O489" s="76">
        <v>0</v>
      </c>
      <c r="P489" s="76">
        <v>1</v>
      </c>
      <c r="Q489" s="485">
        <f>Fuente!AT493</f>
        <v>1</v>
      </c>
      <c r="R489" s="485">
        <f>Fuente!AU493</f>
        <v>0</v>
      </c>
      <c r="S489" s="485">
        <f>Fuente!AV493</f>
        <v>0</v>
      </c>
      <c r="T489" s="485">
        <f>Fuente!AW493</f>
        <v>0</v>
      </c>
      <c r="U489" s="467">
        <f>Fuente!AM493</f>
        <v>0.5</v>
      </c>
      <c r="V489" s="485">
        <f>Fuente!AY493</f>
        <v>1</v>
      </c>
      <c r="W489" s="485">
        <f>Fuente!AZ493</f>
        <v>0.5</v>
      </c>
      <c r="X489" s="485">
        <f>Fuente!BA493</f>
        <v>0</v>
      </c>
      <c r="Y489" s="485">
        <f>Fuente!BB493</f>
        <v>0</v>
      </c>
      <c r="Z489" s="485">
        <f>Fuente!BC493</f>
        <v>0</v>
      </c>
      <c r="AA489" s="467">
        <f>Fuente!BD493</f>
        <v>0.5</v>
      </c>
      <c r="AB489" s="477" t="s">
        <v>971</v>
      </c>
      <c r="AC489" s="477"/>
      <c r="AD489" s="477"/>
      <c r="AE489" s="477"/>
      <c r="AF489" s="494">
        <v>16</v>
      </c>
      <c r="AG489" s="480" t="str">
        <f>Fuente!AB489</f>
        <v>SECRETARÍA DE VÍCTIMAS</v>
      </c>
      <c r="AH489" s="90"/>
      <c r="AI489" s="99"/>
      <c r="AJ489" s="100"/>
    </row>
    <row r="490" spans="1:36" ht="126" x14ac:dyDescent="0.2">
      <c r="A490" s="76">
        <v>6</v>
      </c>
      <c r="B490" s="350" t="s">
        <v>1751</v>
      </c>
      <c r="C490" s="351" t="s">
        <v>1569</v>
      </c>
      <c r="D490" s="350" t="s">
        <v>1818</v>
      </c>
      <c r="E490" s="351" t="s">
        <v>1980</v>
      </c>
      <c r="F490" s="350" t="s">
        <v>1886</v>
      </c>
      <c r="G490" s="351"/>
      <c r="H490" s="351" t="s">
        <v>1571</v>
      </c>
      <c r="I490" s="351" t="s">
        <v>1571</v>
      </c>
      <c r="J490" s="76">
        <v>30</v>
      </c>
      <c r="K490" s="76">
        <v>75</v>
      </c>
      <c r="L490" s="353"/>
      <c r="M490" s="350" t="s">
        <v>1574</v>
      </c>
      <c r="N490" s="350" t="s">
        <v>1574</v>
      </c>
      <c r="O490" s="76">
        <v>2</v>
      </c>
      <c r="P490" s="76">
        <v>2</v>
      </c>
      <c r="Q490" s="485">
        <f>Fuente!AT494</f>
        <v>1</v>
      </c>
      <c r="R490" s="485">
        <f>Fuente!AU494</f>
        <v>0</v>
      </c>
      <c r="S490" s="485">
        <f>Fuente!AV494</f>
        <v>0</v>
      </c>
      <c r="T490" s="485">
        <f>Fuente!AW494</f>
        <v>0</v>
      </c>
      <c r="U490" s="467">
        <f>Fuente!AM494</f>
        <v>1</v>
      </c>
      <c r="V490" s="485">
        <f>Fuente!AY494</f>
        <v>2</v>
      </c>
      <c r="W490" s="485">
        <f>Fuente!AZ494</f>
        <v>2</v>
      </c>
      <c r="X490" s="485">
        <f>Fuente!BA494</f>
        <v>0</v>
      </c>
      <c r="Y490" s="485">
        <f>Fuente!BB494</f>
        <v>0</v>
      </c>
      <c r="Z490" s="485">
        <f>Fuente!BC494</f>
        <v>0</v>
      </c>
      <c r="AA490" s="467">
        <f>Fuente!BD494</f>
        <v>1</v>
      </c>
      <c r="AB490" s="477" t="s">
        <v>971</v>
      </c>
      <c r="AC490" s="477"/>
      <c r="AD490" s="477"/>
      <c r="AE490" s="477"/>
      <c r="AF490" s="494">
        <v>16</v>
      </c>
      <c r="AG490" s="480" t="str">
        <f>Fuente!AB490</f>
        <v>SECRETARÍA DE VÍCTIMAS</v>
      </c>
      <c r="AH490" s="90"/>
      <c r="AI490" s="99"/>
      <c r="AJ490" s="100"/>
    </row>
    <row r="491" spans="1:36" ht="126" x14ac:dyDescent="0.2">
      <c r="A491" s="76">
        <v>6</v>
      </c>
      <c r="B491" s="350" t="s">
        <v>1751</v>
      </c>
      <c r="C491" s="351" t="s">
        <v>1569</v>
      </c>
      <c r="D491" s="350" t="s">
        <v>1818</v>
      </c>
      <c r="E491" s="351" t="s">
        <v>1980</v>
      </c>
      <c r="F491" s="350" t="s">
        <v>1886</v>
      </c>
      <c r="G491" s="351"/>
      <c r="H491" s="351" t="s">
        <v>1571</v>
      </c>
      <c r="I491" s="351" t="s">
        <v>1571</v>
      </c>
      <c r="J491" s="76">
        <v>30</v>
      </c>
      <c r="K491" s="76">
        <v>75</v>
      </c>
      <c r="L491" s="353"/>
      <c r="M491" s="350" t="s">
        <v>1575</v>
      </c>
      <c r="N491" s="350" t="s">
        <v>1575</v>
      </c>
      <c r="O491" s="76">
        <v>0</v>
      </c>
      <c r="P491" s="76">
        <v>4</v>
      </c>
      <c r="Q491" s="485">
        <f>Fuente!AT495</f>
        <v>0.5</v>
      </c>
      <c r="R491" s="485">
        <f>Fuente!AU495</f>
        <v>0</v>
      </c>
      <c r="S491" s="485">
        <f>Fuente!AV495</f>
        <v>0</v>
      </c>
      <c r="T491" s="485">
        <f>Fuente!AW495</f>
        <v>0</v>
      </c>
      <c r="U491" s="467">
        <f>Fuente!AM495</f>
        <v>0.125</v>
      </c>
      <c r="V491" s="485">
        <f>Fuente!AY495</f>
        <v>1</v>
      </c>
      <c r="W491" s="485">
        <f>Fuente!AZ495</f>
        <v>0</v>
      </c>
      <c r="X491" s="485">
        <f>Fuente!BA495</f>
        <v>0</v>
      </c>
      <c r="Y491" s="485">
        <f>Fuente!BB495</f>
        <v>0</v>
      </c>
      <c r="Z491" s="485">
        <f>Fuente!BC495</f>
        <v>0</v>
      </c>
      <c r="AA491" s="467">
        <f>Fuente!BD495</f>
        <v>0</v>
      </c>
      <c r="AB491" s="477" t="s">
        <v>971</v>
      </c>
      <c r="AC491" s="477"/>
      <c r="AD491" s="477"/>
      <c r="AE491" s="477"/>
      <c r="AF491" s="494">
        <v>16</v>
      </c>
      <c r="AG491" s="480" t="str">
        <f>Fuente!AB491</f>
        <v>SECRETARÍA DE VÍCTIMAS</v>
      </c>
      <c r="AH491" s="90"/>
      <c r="AI491" s="99"/>
      <c r="AJ491" s="100"/>
    </row>
    <row r="492" spans="1:36" ht="94.5" x14ac:dyDescent="0.2">
      <c r="A492" s="76">
        <v>6</v>
      </c>
      <c r="B492" s="350" t="s">
        <v>1751</v>
      </c>
      <c r="C492" s="351" t="s">
        <v>1569</v>
      </c>
      <c r="D492" s="350" t="s">
        <v>1818</v>
      </c>
      <c r="E492" s="351" t="s">
        <v>1576</v>
      </c>
      <c r="F492" s="350" t="s">
        <v>1887</v>
      </c>
      <c r="G492" s="352"/>
      <c r="H492" s="352" t="s">
        <v>1577</v>
      </c>
      <c r="I492" s="350" t="s">
        <v>1577</v>
      </c>
      <c r="J492" s="351" t="s">
        <v>1373</v>
      </c>
      <c r="K492" s="76">
        <v>100</v>
      </c>
      <c r="L492" s="353"/>
      <c r="M492" s="350" t="s">
        <v>1578</v>
      </c>
      <c r="N492" s="350" t="s">
        <v>1940</v>
      </c>
      <c r="O492" s="76" t="s">
        <v>55</v>
      </c>
      <c r="P492" s="76">
        <v>4</v>
      </c>
      <c r="Q492" s="485">
        <f>Fuente!AT496</f>
        <v>0.1</v>
      </c>
      <c r="R492" s="485">
        <f>Fuente!AU496</f>
        <v>0</v>
      </c>
      <c r="S492" s="485">
        <f>Fuente!AV496</f>
        <v>0</v>
      </c>
      <c r="T492" s="485">
        <f>Fuente!AW496</f>
        <v>0</v>
      </c>
      <c r="U492" s="467">
        <f>Fuente!AM496</f>
        <v>0</v>
      </c>
      <c r="V492" s="485">
        <f>Fuente!AY496</f>
        <v>1</v>
      </c>
      <c r="W492" s="485">
        <f>Fuente!AZ496</f>
        <v>0.1</v>
      </c>
      <c r="X492" s="485">
        <f>Fuente!BA496</f>
        <v>0</v>
      </c>
      <c r="Y492" s="485">
        <f>Fuente!BB496</f>
        <v>0</v>
      </c>
      <c r="Z492" s="485">
        <f>Fuente!BC496</f>
        <v>0</v>
      </c>
      <c r="AA492" s="467">
        <f>Fuente!BD496</f>
        <v>0.1</v>
      </c>
      <c r="AB492" s="477" t="s">
        <v>203</v>
      </c>
      <c r="AC492" s="477"/>
      <c r="AD492" s="480" t="s">
        <v>1212</v>
      </c>
      <c r="AE492" s="477">
        <v>45</v>
      </c>
      <c r="AF492" s="482">
        <v>10</v>
      </c>
      <c r="AG492" s="480" t="str">
        <f>Fuente!AB492</f>
        <v>SECRETARÍA DEL INTERIOR</v>
      </c>
      <c r="AH492" s="81"/>
      <c r="AI492" s="81"/>
      <c r="AJ492" s="81"/>
    </row>
    <row r="493" spans="1:36" ht="126" x14ac:dyDescent="0.2">
      <c r="A493" s="76">
        <v>6</v>
      </c>
      <c r="B493" s="350" t="s">
        <v>1751</v>
      </c>
      <c r="C493" s="351" t="s">
        <v>1569</v>
      </c>
      <c r="D493" s="350" t="s">
        <v>1818</v>
      </c>
      <c r="E493" s="351" t="s">
        <v>1576</v>
      </c>
      <c r="F493" s="350" t="s">
        <v>1887</v>
      </c>
      <c r="G493" s="352"/>
      <c r="H493" s="352" t="s">
        <v>1577</v>
      </c>
      <c r="I493" s="350" t="s">
        <v>1577</v>
      </c>
      <c r="J493" s="351" t="s">
        <v>1373</v>
      </c>
      <c r="K493" s="76">
        <v>100</v>
      </c>
      <c r="L493" s="353"/>
      <c r="M493" s="350" t="s">
        <v>1580</v>
      </c>
      <c r="N493" s="350" t="s">
        <v>1581</v>
      </c>
      <c r="O493" s="76" t="s">
        <v>55</v>
      </c>
      <c r="P493" s="76">
        <v>1</v>
      </c>
      <c r="Q493" s="485">
        <f>Fuente!AT497</f>
        <v>0</v>
      </c>
      <c r="R493" s="485">
        <f>Fuente!AU497</f>
        <v>0</v>
      </c>
      <c r="S493" s="485">
        <f>Fuente!AV497</f>
        <v>0</v>
      </c>
      <c r="T493" s="485">
        <f>Fuente!AW497</f>
        <v>0</v>
      </c>
      <c r="U493" s="467">
        <f>Fuente!AM497</f>
        <v>0</v>
      </c>
      <c r="V493" s="485" t="str">
        <f>Fuente!AY497</f>
        <v>NP</v>
      </c>
      <c r="W493" s="485">
        <f>Fuente!AZ497</f>
        <v>0</v>
      </c>
      <c r="X493" s="485">
        <f>Fuente!BA497</f>
        <v>0</v>
      </c>
      <c r="Y493" s="485">
        <f>Fuente!BB497</f>
        <v>0</v>
      </c>
      <c r="Z493" s="485">
        <f>Fuente!BC497</f>
        <v>0</v>
      </c>
      <c r="AA493" s="467" t="str">
        <f>Fuente!BD497</f>
        <v>NP</v>
      </c>
      <c r="AB493" s="477" t="s">
        <v>203</v>
      </c>
      <c r="AC493" s="477"/>
      <c r="AD493" s="480" t="s">
        <v>1212</v>
      </c>
      <c r="AE493" s="477">
        <v>45</v>
      </c>
      <c r="AF493" s="482">
        <v>10</v>
      </c>
      <c r="AG493" s="480" t="str">
        <f>Fuente!AB493</f>
        <v>SECRETARÍA DEL INTERIOR</v>
      </c>
      <c r="AH493" s="81"/>
      <c r="AI493" s="81"/>
      <c r="AJ493" s="81"/>
    </row>
    <row r="494" spans="1:36" ht="94.5" x14ac:dyDescent="0.2">
      <c r="A494" s="76">
        <v>6</v>
      </c>
      <c r="B494" s="350" t="s">
        <v>1751</v>
      </c>
      <c r="C494" s="351" t="s">
        <v>1569</v>
      </c>
      <c r="D494" s="350" t="s">
        <v>1818</v>
      </c>
      <c r="E494" s="351" t="s">
        <v>1576</v>
      </c>
      <c r="F494" s="350" t="s">
        <v>1887</v>
      </c>
      <c r="G494" s="352"/>
      <c r="H494" s="352" t="s">
        <v>1577</v>
      </c>
      <c r="I494" s="350" t="s">
        <v>1577</v>
      </c>
      <c r="J494" s="351" t="s">
        <v>1373</v>
      </c>
      <c r="K494" s="76">
        <v>100</v>
      </c>
      <c r="L494" s="353"/>
      <c r="M494" s="350" t="s">
        <v>1582</v>
      </c>
      <c r="N494" s="350" t="s">
        <v>1583</v>
      </c>
      <c r="O494" s="76" t="s">
        <v>55</v>
      </c>
      <c r="P494" s="76">
        <v>2</v>
      </c>
      <c r="Q494" s="485">
        <f>Fuente!AT498</f>
        <v>0</v>
      </c>
      <c r="R494" s="485">
        <f>Fuente!AU498</f>
        <v>0</v>
      </c>
      <c r="S494" s="485">
        <f>Fuente!AV498</f>
        <v>0</v>
      </c>
      <c r="T494" s="485">
        <f>Fuente!AW498</f>
        <v>0</v>
      </c>
      <c r="U494" s="467">
        <f>Fuente!AM498</f>
        <v>0</v>
      </c>
      <c r="V494" s="485" t="str">
        <f>Fuente!AY498</f>
        <v>NP</v>
      </c>
      <c r="W494" s="485">
        <f>Fuente!AZ498</f>
        <v>0</v>
      </c>
      <c r="X494" s="485">
        <f>Fuente!BA498</f>
        <v>0</v>
      </c>
      <c r="Y494" s="485">
        <f>Fuente!BB498</f>
        <v>0</v>
      </c>
      <c r="Z494" s="485">
        <f>Fuente!BC498</f>
        <v>0</v>
      </c>
      <c r="AA494" s="467" t="str">
        <f>Fuente!BD498</f>
        <v>NP</v>
      </c>
      <c r="AB494" s="477" t="s">
        <v>78</v>
      </c>
      <c r="AC494" s="477"/>
      <c r="AD494" s="480" t="s">
        <v>1212</v>
      </c>
      <c r="AE494" s="477">
        <v>45</v>
      </c>
      <c r="AF494" s="482">
        <v>10</v>
      </c>
      <c r="AG494" s="480" t="str">
        <f>Fuente!AB494</f>
        <v>SECRETARÍA DEL INTERIOR</v>
      </c>
      <c r="AH494" s="81"/>
      <c r="AI494" s="81"/>
      <c r="AJ494" s="81"/>
    </row>
    <row r="495" spans="1:36" ht="94.5" x14ac:dyDescent="0.2">
      <c r="A495" s="76">
        <v>6</v>
      </c>
      <c r="B495" s="350" t="s">
        <v>1751</v>
      </c>
      <c r="C495" s="351" t="s">
        <v>1569</v>
      </c>
      <c r="D495" s="350" t="s">
        <v>1818</v>
      </c>
      <c r="E495" s="351" t="s">
        <v>1576</v>
      </c>
      <c r="F495" s="350" t="s">
        <v>1887</v>
      </c>
      <c r="G495" s="352"/>
      <c r="H495" s="352" t="s">
        <v>1577</v>
      </c>
      <c r="I495" s="350" t="s">
        <v>1577</v>
      </c>
      <c r="J495" s="351" t="s">
        <v>1373</v>
      </c>
      <c r="K495" s="76">
        <v>100</v>
      </c>
      <c r="L495" s="353"/>
      <c r="M495" s="350" t="s">
        <v>1584</v>
      </c>
      <c r="N495" s="350" t="s">
        <v>1585</v>
      </c>
      <c r="O495" s="76" t="s">
        <v>55</v>
      </c>
      <c r="P495" s="76">
        <v>8</v>
      </c>
      <c r="Q495" s="485">
        <f>Fuente!AT499</f>
        <v>1.1000000000000001</v>
      </c>
      <c r="R495" s="485">
        <f>Fuente!AU499</f>
        <v>0</v>
      </c>
      <c r="S495" s="485">
        <f>Fuente!AV499</f>
        <v>0</v>
      </c>
      <c r="T495" s="485">
        <f>Fuente!AW499</f>
        <v>0</v>
      </c>
      <c r="U495" s="467">
        <f>Fuente!AM499</f>
        <v>0.125</v>
      </c>
      <c r="V495" s="485">
        <f>Fuente!AY499</f>
        <v>1</v>
      </c>
      <c r="W495" s="485">
        <f>Fuente!AZ499</f>
        <v>0.1</v>
      </c>
      <c r="X495" s="485">
        <f>Fuente!BA499</f>
        <v>0</v>
      </c>
      <c r="Y495" s="485">
        <f>Fuente!BB499</f>
        <v>0</v>
      </c>
      <c r="Z495" s="485">
        <f>Fuente!BC499</f>
        <v>0</v>
      </c>
      <c r="AA495" s="467">
        <f>Fuente!BD499</f>
        <v>0.1</v>
      </c>
      <c r="AB495" s="477" t="s">
        <v>203</v>
      </c>
      <c r="AC495" s="477"/>
      <c r="AD495" s="480" t="s">
        <v>1212</v>
      </c>
      <c r="AE495" s="477">
        <v>45</v>
      </c>
      <c r="AF495" s="482">
        <v>10</v>
      </c>
      <c r="AG495" s="480" t="str">
        <f>Fuente!AB495</f>
        <v>SECRETARÍA DEL INTERIOR</v>
      </c>
      <c r="AH495" s="81"/>
      <c r="AI495" s="81"/>
      <c r="AJ495" s="81"/>
    </row>
    <row r="496" spans="1:36" ht="204.75" x14ac:dyDescent="0.2">
      <c r="A496" s="76">
        <v>6</v>
      </c>
      <c r="B496" s="350" t="s">
        <v>1751</v>
      </c>
      <c r="C496" s="351" t="s">
        <v>1569</v>
      </c>
      <c r="D496" s="350" t="s">
        <v>1818</v>
      </c>
      <c r="E496" s="351" t="s">
        <v>1586</v>
      </c>
      <c r="F496" s="353" t="s">
        <v>1888</v>
      </c>
      <c r="G496" s="478"/>
      <c r="H496" s="352" t="s">
        <v>1587</v>
      </c>
      <c r="I496" s="350" t="s">
        <v>1587</v>
      </c>
      <c r="J496" s="351" t="s">
        <v>1373</v>
      </c>
      <c r="K496" s="76">
        <v>100</v>
      </c>
      <c r="L496" s="76"/>
      <c r="M496" s="350" t="s">
        <v>1588</v>
      </c>
      <c r="N496" s="350" t="s">
        <v>1588</v>
      </c>
      <c r="O496" s="76" t="s">
        <v>55</v>
      </c>
      <c r="P496" s="76">
        <v>4</v>
      </c>
      <c r="Q496" s="485">
        <f>Fuente!AT500</f>
        <v>0</v>
      </c>
      <c r="R496" s="485">
        <f>Fuente!AU500</f>
        <v>0</v>
      </c>
      <c r="S496" s="485">
        <f>Fuente!AV500</f>
        <v>0</v>
      </c>
      <c r="T496" s="485">
        <f>Fuente!AW500</f>
        <v>0</v>
      </c>
      <c r="U496" s="467">
        <f>Fuente!AM500</f>
        <v>0</v>
      </c>
      <c r="V496" s="485">
        <f>Fuente!AY500</f>
        <v>1</v>
      </c>
      <c r="W496" s="485">
        <f>Fuente!AZ500</f>
        <v>0</v>
      </c>
      <c r="X496" s="485">
        <f>Fuente!BA500</f>
        <v>0</v>
      </c>
      <c r="Y496" s="485">
        <f>Fuente!BB500</f>
        <v>0</v>
      </c>
      <c r="Z496" s="485">
        <f>Fuente!BC500</f>
        <v>0</v>
      </c>
      <c r="AA496" s="467">
        <f>Fuente!BD500</f>
        <v>0</v>
      </c>
      <c r="AB496" s="477" t="s">
        <v>412</v>
      </c>
      <c r="AC496" s="477" t="s">
        <v>73</v>
      </c>
      <c r="AD496" s="477"/>
      <c r="AE496" s="477">
        <v>41</v>
      </c>
      <c r="AF496" s="482" t="s">
        <v>1579</v>
      </c>
      <c r="AG496" s="480" t="str">
        <f>Fuente!AB496</f>
        <v>SECRETARÍA DE LA MUJER</v>
      </c>
      <c r="AH496" s="81"/>
      <c r="AI496" s="81"/>
      <c r="AJ496" s="81"/>
    </row>
    <row r="497" spans="1:36" ht="173.25" x14ac:dyDescent="0.2">
      <c r="A497" s="76">
        <v>6</v>
      </c>
      <c r="B497" s="350" t="s">
        <v>1751</v>
      </c>
      <c r="C497" s="351" t="s">
        <v>1569</v>
      </c>
      <c r="D497" s="350" t="s">
        <v>1818</v>
      </c>
      <c r="E497" s="351" t="s">
        <v>1586</v>
      </c>
      <c r="F497" s="353" t="s">
        <v>1888</v>
      </c>
      <c r="G497" s="478"/>
      <c r="H497" s="352" t="s">
        <v>1587</v>
      </c>
      <c r="I497" s="350" t="s">
        <v>1587</v>
      </c>
      <c r="J497" s="351" t="s">
        <v>1373</v>
      </c>
      <c r="K497" s="76">
        <v>100</v>
      </c>
      <c r="L497" s="76"/>
      <c r="M497" s="350" t="s">
        <v>1589</v>
      </c>
      <c r="N497" s="350" t="s">
        <v>1589</v>
      </c>
      <c r="O497" s="76" t="s">
        <v>1373</v>
      </c>
      <c r="P497" s="76">
        <v>100</v>
      </c>
      <c r="Q497" s="485">
        <f>Fuente!AT501</f>
        <v>0</v>
      </c>
      <c r="R497" s="485">
        <f>Fuente!AU501</f>
        <v>0</v>
      </c>
      <c r="S497" s="485">
        <f>Fuente!AV501</f>
        <v>0</v>
      </c>
      <c r="T497" s="485">
        <f>Fuente!AW501</f>
        <v>0</v>
      </c>
      <c r="U497" s="467">
        <f>Fuente!AM501</f>
        <v>0</v>
      </c>
      <c r="V497" s="485">
        <f>Fuente!AY501</f>
        <v>0.25</v>
      </c>
      <c r="W497" s="485">
        <f>Fuente!AZ501</f>
        <v>0</v>
      </c>
      <c r="X497" s="485">
        <f>Fuente!BA501</f>
        <v>0</v>
      </c>
      <c r="Y497" s="485">
        <f>Fuente!BB501</f>
        <v>0</v>
      </c>
      <c r="Z497" s="485">
        <f>Fuente!BC501</f>
        <v>0</v>
      </c>
      <c r="AA497" s="467">
        <f>Fuente!BD501</f>
        <v>0</v>
      </c>
      <c r="AB497" s="477" t="s">
        <v>412</v>
      </c>
      <c r="AC497" s="477" t="s">
        <v>50</v>
      </c>
      <c r="AD497" s="477" t="s">
        <v>50</v>
      </c>
      <c r="AE497" s="477">
        <v>41</v>
      </c>
      <c r="AF497" s="482" t="s">
        <v>1579</v>
      </c>
      <c r="AG497" s="480" t="str">
        <f>Fuente!AB497</f>
        <v>SECRETARÍA DE LA MUJER</v>
      </c>
      <c r="AH497" s="81"/>
      <c r="AI497" s="81"/>
      <c r="AJ497" s="81"/>
    </row>
    <row r="498" spans="1:36" ht="173.25" x14ac:dyDescent="0.2">
      <c r="A498" s="76">
        <v>6</v>
      </c>
      <c r="B498" s="350" t="s">
        <v>1751</v>
      </c>
      <c r="C498" s="351" t="s">
        <v>1569</v>
      </c>
      <c r="D498" s="350" t="s">
        <v>1818</v>
      </c>
      <c r="E498" s="351" t="s">
        <v>1586</v>
      </c>
      <c r="F498" s="353" t="s">
        <v>1888</v>
      </c>
      <c r="G498" s="478"/>
      <c r="H498" s="352" t="s">
        <v>1587</v>
      </c>
      <c r="I498" s="350" t="s">
        <v>1587</v>
      </c>
      <c r="J498" s="351" t="s">
        <v>1373</v>
      </c>
      <c r="K498" s="76">
        <v>100</v>
      </c>
      <c r="L498" s="76"/>
      <c r="M498" s="350" t="s">
        <v>1590</v>
      </c>
      <c r="N498" s="350" t="s">
        <v>1590</v>
      </c>
      <c r="O498" s="76" t="s">
        <v>55</v>
      </c>
      <c r="P498" s="76">
        <v>4</v>
      </c>
      <c r="Q498" s="485">
        <f>Fuente!AT502</f>
        <v>0</v>
      </c>
      <c r="R498" s="485">
        <f>Fuente!AU502</f>
        <v>0</v>
      </c>
      <c r="S498" s="485">
        <f>Fuente!AV502</f>
        <v>0</v>
      </c>
      <c r="T498" s="485">
        <f>Fuente!AW502</f>
        <v>0</v>
      </c>
      <c r="U498" s="467">
        <f>Fuente!AM502</f>
        <v>0</v>
      </c>
      <c r="V498" s="485">
        <f>Fuente!AY502</f>
        <v>1</v>
      </c>
      <c r="W498" s="485">
        <f>Fuente!AZ502</f>
        <v>0</v>
      </c>
      <c r="X498" s="485">
        <f>Fuente!BA502</f>
        <v>0</v>
      </c>
      <c r="Y498" s="485">
        <f>Fuente!BB502</f>
        <v>0</v>
      </c>
      <c r="Z498" s="485">
        <f>Fuente!BC502</f>
        <v>0</v>
      </c>
      <c r="AA498" s="467">
        <f>Fuente!BD502</f>
        <v>0</v>
      </c>
      <c r="AB498" s="477" t="s">
        <v>412</v>
      </c>
      <c r="AC498" s="477" t="s">
        <v>50</v>
      </c>
      <c r="AD498" s="477" t="s">
        <v>50</v>
      </c>
      <c r="AE498" s="477">
        <v>41</v>
      </c>
      <c r="AF498" s="482" t="s">
        <v>1579</v>
      </c>
      <c r="AG498" s="480" t="str">
        <f>Fuente!AB498</f>
        <v>SECRETARÍA DE LA MUJER</v>
      </c>
      <c r="AH498" s="81"/>
      <c r="AI498" s="81"/>
      <c r="AJ498" s="81"/>
    </row>
    <row r="499" spans="1:36" ht="173.25" x14ac:dyDescent="0.2">
      <c r="A499" s="76">
        <v>6</v>
      </c>
      <c r="B499" s="350" t="s">
        <v>1751</v>
      </c>
      <c r="C499" s="351" t="s">
        <v>1569</v>
      </c>
      <c r="D499" s="350" t="s">
        <v>1818</v>
      </c>
      <c r="E499" s="351" t="s">
        <v>1586</v>
      </c>
      <c r="F499" s="353" t="s">
        <v>1888</v>
      </c>
      <c r="G499" s="478"/>
      <c r="H499" s="352" t="s">
        <v>1587</v>
      </c>
      <c r="I499" s="350" t="s">
        <v>1587</v>
      </c>
      <c r="J499" s="351" t="s">
        <v>1373</v>
      </c>
      <c r="K499" s="76">
        <v>100</v>
      </c>
      <c r="L499" s="76"/>
      <c r="M499" s="350" t="s">
        <v>1591</v>
      </c>
      <c r="N499" s="350" t="s">
        <v>1591</v>
      </c>
      <c r="O499" s="76" t="s">
        <v>1592</v>
      </c>
      <c r="P499" s="76">
        <v>2</v>
      </c>
      <c r="Q499" s="485">
        <f>Fuente!AT503</f>
        <v>0</v>
      </c>
      <c r="R499" s="485">
        <f>Fuente!AU503</f>
        <v>0</v>
      </c>
      <c r="S499" s="485">
        <f>Fuente!AV503</f>
        <v>0</v>
      </c>
      <c r="T499" s="485">
        <f>Fuente!AW503</f>
        <v>0</v>
      </c>
      <c r="U499" s="467">
        <f>Fuente!AM503</f>
        <v>0</v>
      </c>
      <c r="V499" s="485" t="str">
        <f>Fuente!AY503</f>
        <v>NP</v>
      </c>
      <c r="W499" s="485">
        <f>Fuente!AZ503</f>
        <v>0</v>
      </c>
      <c r="X499" s="485">
        <f>Fuente!BA503</f>
        <v>0</v>
      </c>
      <c r="Y499" s="485">
        <f>Fuente!BB503</f>
        <v>0</v>
      </c>
      <c r="Z499" s="485">
        <f>Fuente!BC503</f>
        <v>0</v>
      </c>
      <c r="AA499" s="467" t="str">
        <f>Fuente!BD503</f>
        <v>NP</v>
      </c>
      <c r="AB499" s="477" t="s">
        <v>412</v>
      </c>
      <c r="AC499" s="477" t="s">
        <v>88</v>
      </c>
      <c r="AD499" s="477" t="s">
        <v>89</v>
      </c>
      <c r="AE499" s="477">
        <v>41</v>
      </c>
      <c r="AF499" s="482" t="s">
        <v>1579</v>
      </c>
      <c r="AG499" s="480" t="str">
        <f>Fuente!AB499</f>
        <v>SECRETARÍA DE LA MUJER</v>
      </c>
      <c r="AH499" s="81"/>
      <c r="AI499" s="81"/>
      <c r="AJ499" s="81"/>
    </row>
    <row r="500" spans="1:36" ht="173.25" x14ac:dyDescent="0.2">
      <c r="A500" s="76">
        <v>6</v>
      </c>
      <c r="B500" s="350" t="s">
        <v>1751</v>
      </c>
      <c r="C500" s="351" t="s">
        <v>1569</v>
      </c>
      <c r="D500" s="350" t="s">
        <v>1818</v>
      </c>
      <c r="E500" s="351" t="s">
        <v>1586</v>
      </c>
      <c r="F500" s="353" t="s">
        <v>1888</v>
      </c>
      <c r="G500" s="478"/>
      <c r="H500" s="352" t="s">
        <v>1587</v>
      </c>
      <c r="I500" s="350" t="s">
        <v>1587</v>
      </c>
      <c r="J500" s="351" t="s">
        <v>1373</v>
      </c>
      <c r="K500" s="76">
        <v>100</v>
      </c>
      <c r="L500" s="76"/>
      <c r="M500" s="350" t="s">
        <v>1593</v>
      </c>
      <c r="N500" s="350" t="s">
        <v>1593</v>
      </c>
      <c r="O500" s="76" t="s">
        <v>1592</v>
      </c>
      <c r="P500" s="76">
        <v>2</v>
      </c>
      <c r="Q500" s="485">
        <f>Fuente!AT504</f>
        <v>0</v>
      </c>
      <c r="R500" s="485">
        <f>Fuente!AU504</f>
        <v>0</v>
      </c>
      <c r="S500" s="485">
        <f>Fuente!AV504</f>
        <v>0</v>
      </c>
      <c r="T500" s="485">
        <f>Fuente!AW504</f>
        <v>0</v>
      </c>
      <c r="U500" s="467">
        <f>Fuente!AM504</f>
        <v>0</v>
      </c>
      <c r="V500" s="485">
        <f>Fuente!AY504</f>
        <v>1</v>
      </c>
      <c r="W500" s="485">
        <f>Fuente!AZ504</f>
        <v>0</v>
      </c>
      <c r="X500" s="485">
        <f>Fuente!BA504</f>
        <v>0</v>
      </c>
      <c r="Y500" s="485">
        <f>Fuente!BB504</f>
        <v>0</v>
      </c>
      <c r="Z500" s="485">
        <f>Fuente!BC504</f>
        <v>0</v>
      </c>
      <c r="AA500" s="467">
        <f>Fuente!BD504</f>
        <v>0</v>
      </c>
      <c r="AB500" s="477" t="s">
        <v>49</v>
      </c>
      <c r="AC500" s="477"/>
      <c r="AD500" s="477"/>
      <c r="AE500" s="477"/>
      <c r="AF500" s="482"/>
      <c r="AG500" s="480" t="str">
        <f>Fuente!AB500</f>
        <v>ICULTUR</v>
      </c>
      <c r="AH500" s="81"/>
      <c r="AI500" s="81"/>
      <c r="AJ500" s="81"/>
    </row>
    <row r="501" spans="1:36" ht="173.25" x14ac:dyDescent="0.2">
      <c r="A501" s="76">
        <v>6</v>
      </c>
      <c r="B501" s="350" t="s">
        <v>1751</v>
      </c>
      <c r="C501" s="351" t="s">
        <v>1569</v>
      </c>
      <c r="D501" s="350" t="s">
        <v>1818</v>
      </c>
      <c r="E501" s="351" t="s">
        <v>1586</v>
      </c>
      <c r="F501" s="353" t="s">
        <v>1888</v>
      </c>
      <c r="G501" s="478"/>
      <c r="H501" s="352" t="s">
        <v>1587</v>
      </c>
      <c r="I501" s="350" t="s">
        <v>1587</v>
      </c>
      <c r="J501" s="351" t="s">
        <v>1373</v>
      </c>
      <c r="K501" s="76">
        <v>100</v>
      </c>
      <c r="L501" s="76"/>
      <c r="M501" s="350" t="s">
        <v>1594</v>
      </c>
      <c r="N501" s="350" t="s">
        <v>1594</v>
      </c>
      <c r="O501" s="76" t="s">
        <v>55</v>
      </c>
      <c r="P501" s="76">
        <v>8</v>
      </c>
      <c r="Q501" s="485">
        <f>Fuente!AT505</f>
        <v>0</v>
      </c>
      <c r="R501" s="485">
        <f>Fuente!AU505</f>
        <v>0</v>
      </c>
      <c r="S501" s="485">
        <f>Fuente!AV505</f>
        <v>0</v>
      </c>
      <c r="T501" s="485">
        <f>Fuente!AW505</f>
        <v>0</v>
      </c>
      <c r="U501" s="467">
        <f>Fuente!AM505</f>
        <v>0</v>
      </c>
      <c r="V501" s="485">
        <f>Fuente!AY505</f>
        <v>2</v>
      </c>
      <c r="W501" s="485">
        <f>Fuente!AZ505</f>
        <v>0</v>
      </c>
      <c r="X501" s="485">
        <f>Fuente!BA505</f>
        <v>0</v>
      </c>
      <c r="Y501" s="485">
        <f>Fuente!BB505</f>
        <v>0</v>
      </c>
      <c r="Z501" s="485">
        <f>Fuente!BC505</f>
        <v>0</v>
      </c>
      <c r="AA501" s="467">
        <f>Fuente!BD505</f>
        <v>0</v>
      </c>
      <c r="AB501" s="477" t="s">
        <v>49</v>
      </c>
      <c r="AC501" s="477"/>
      <c r="AD501" s="477"/>
      <c r="AE501" s="477"/>
      <c r="AF501" s="482"/>
      <c r="AG501" s="480" t="str">
        <f>Fuente!AB501</f>
        <v>ICULTUR</v>
      </c>
      <c r="AH501" s="81"/>
      <c r="AI501" s="81"/>
      <c r="AJ501" s="81"/>
    </row>
    <row r="502" spans="1:36" ht="173.25" x14ac:dyDescent="0.2">
      <c r="A502" s="76">
        <v>6</v>
      </c>
      <c r="B502" s="350" t="s">
        <v>1751</v>
      </c>
      <c r="C502" s="351" t="s">
        <v>1569</v>
      </c>
      <c r="D502" s="350" t="s">
        <v>1818</v>
      </c>
      <c r="E502" s="351" t="s">
        <v>1586</v>
      </c>
      <c r="F502" s="353" t="s">
        <v>1888</v>
      </c>
      <c r="G502" s="478"/>
      <c r="H502" s="352" t="s">
        <v>1587</v>
      </c>
      <c r="I502" s="350" t="s">
        <v>1587</v>
      </c>
      <c r="J502" s="351" t="s">
        <v>1373</v>
      </c>
      <c r="K502" s="76">
        <v>100</v>
      </c>
      <c r="L502" s="76"/>
      <c r="M502" s="350" t="s">
        <v>1595</v>
      </c>
      <c r="N502" s="350" t="s">
        <v>1595</v>
      </c>
      <c r="O502" s="76" t="s">
        <v>55</v>
      </c>
      <c r="P502" s="76">
        <v>100</v>
      </c>
      <c r="Q502" s="485">
        <f>Fuente!AT506</f>
        <v>0</v>
      </c>
      <c r="R502" s="485">
        <f>Fuente!AU506</f>
        <v>0</v>
      </c>
      <c r="S502" s="485">
        <f>Fuente!AV506</f>
        <v>0</v>
      </c>
      <c r="T502" s="485">
        <f>Fuente!AW506</f>
        <v>0</v>
      </c>
      <c r="U502" s="467">
        <f>Fuente!AM506</f>
        <v>0</v>
      </c>
      <c r="V502" s="485">
        <f>Fuente!AY506</f>
        <v>20</v>
      </c>
      <c r="W502" s="485">
        <f>Fuente!AZ506</f>
        <v>0</v>
      </c>
      <c r="X502" s="485">
        <f>Fuente!BA506</f>
        <v>0</v>
      </c>
      <c r="Y502" s="485">
        <f>Fuente!BB506</f>
        <v>0</v>
      </c>
      <c r="Z502" s="485">
        <f>Fuente!BC506</f>
        <v>0</v>
      </c>
      <c r="AA502" s="467">
        <f>Fuente!BD506</f>
        <v>0</v>
      </c>
      <c r="AB502" s="477" t="s">
        <v>49</v>
      </c>
      <c r="AC502" s="477"/>
      <c r="AD502" s="477"/>
      <c r="AE502" s="477"/>
      <c r="AF502" s="482"/>
      <c r="AG502" s="480" t="str">
        <f>Fuente!AB502</f>
        <v>ICULTUR</v>
      </c>
      <c r="AH502" s="81"/>
      <c r="AI502" s="81"/>
      <c r="AJ502" s="81"/>
    </row>
    <row r="503" spans="1:36" ht="173.25" x14ac:dyDescent="0.2">
      <c r="A503" s="76">
        <v>6</v>
      </c>
      <c r="B503" s="350" t="s">
        <v>1751</v>
      </c>
      <c r="C503" s="351" t="s">
        <v>1569</v>
      </c>
      <c r="D503" s="350" t="s">
        <v>1818</v>
      </c>
      <c r="E503" s="351" t="s">
        <v>1981</v>
      </c>
      <c r="F503" s="350" t="s">
        <v>1889</v>
      </c>
      <c r="G503" s="352"/>
      <c r="H503" s="352" t="s">
        <v>1597</v>
      </c>
      <c r="I503" s="350" t="s">
        <v>1598</v>
      </c>
      <c r="J503" s="76" t="s">
        <v>55</v>
      </c>
      <c r="K503" s="351">
        <v>100</v>
      </c>
      <c r="L503" s="350"/>
      <c r="M503" s="350" t="s">
        <v>1599</v>
      </c>
      <c r="N503" s="350" t="s">
        <v>1600</v>
      </c>
      <c r="O503" s="76" t="s">
        <v>55</v>
      </c>
      <c r="P503" s="76">
        <v>4</v>
      </c>
      <c r="Q503" s="485">
        <f>Fuente!AT507</f>
        <v>0</v>
      </c>
      <c r="R503" s="485">
        <f>Fuente!AU507</f>
        <v>0</v>
      </c>
      <c r="S503" s="485">
        <f>Fuente!AV507</f>
        <v>0</v>
      </c>
      <c r="T503" s="485">
        <f>Fuente!AW507</f>
        <v>0</v>
      </c>
      <c r="U503" s="467">
        <f>Fuente!AM507</f>
        <v>0</v>
      </c>
      <c r="V503" s="485">
        <f>Fuente!AY507</f>
        <v>1</v>
      </c>
      <c r="W503" s="485">
        <f>Fuente!AZ507</f>
        <v>0</v>
      </c>
      <c r="X503" s="485">
        <f>Fuente!BA507</f>
        <v>0</v>
      </c>
      <c r="Y503" s="485">
        <f>Fuente!BB507</f>
        <v>0</v>
      </c>
      <c r="Z503" s="485">
        <f>Fuente!BC507</f>
        <v>0</v>
      </c>
      <c r="AA503" s="467">
        <f>Fuente!BD507</f>
        <v>0</v>
      </c>
      <c r="AB503" s="477" t="s">
        <v>49</v>
      </c>
      <c r="AC503" s="477"/>
      <c r="AD503" s="477"/>
      <c r="AE503" s="477"/>
      <c r="AF503" s="482"/>
      <c r="AG503" s="480" t="str">
        <f>Fuente!AB503</f>
        <v>SECRETARIA PRIVADA</v>
      </c>
      <c r="AH503" s="81"/>
      <c r="AI503" s="81"/>
      <c r="AJ503" s="81"/>
    </row>
    <row r="504" spans="1:36" ht="110.25" x14ac:dyDescent="0.2">
      <c r="A504" s="76">
        <v>6</v>
      </c>
      <c r="B504" s="350" t="s">
        <v>1751</v>
      </c>
      <c r="C504" s="351" t="s">
        <v>1569</v>
      </c>
      <c r="D504" s="350" t="s">
        <v>1818</v>
      </c>
      <c r="E504" s="351" t="s">
        <v>1982</v>
      </c>
      <c r="F504" s="350" t="s">
        <v>1890</v>
      </c>
      <c r="G504" s="350"/>
      <c r="H504" s="350" t="s">
        <v>1602</v>
      </c>
      <c r="I504" s="350" t="s">
        <v>1602</v>
      </c>
      <c r="J504" s="76" t="s">
        <v>55</v>
      </c>
      <c r="K504" s="484">
        <v>1</v>
      </c>
      <c r="L504" s="486"/>
      <c r="M504" s="350" t="s">
        <v>1603</v>
      </c>
      <c r="N504" s="350" t="s">
        <v>1603</v>
      </c>
      <c r="O504" s="76" t="s">
        <v>55</v>
      </c>
      <c r="P504" s="76">
        <v>4</v>
      </c>
      <c r="Q504" s="485">
        <f>Fuente!AT508</f>
        <v>1</v>
      </c>
      <c r="R504" s="485">
        <f>Fuente!AU508</f>
        <v>0</v>
      </c>
      <c r="S504" s="485">
        <f>Fuente!AV508</f>
        <v>0</v>
      </c>
      <c r="T504" s="485">
        <f>Fuente!AW508</f>
        <v>0</v>
      </c>
      <c r="U504" s="467">
        <f>Fuente!AM508</f>
        <v>0.25</v>
      </c>
      <c r="V504" s="485" t="str">
        <f>Fuente!AY508</f>
        <v>NP</v>
      </c>
      <c r="W504" s="485">
        <f>Fuente!AZ508</f>
        <v>0</v>
      </c>
      <c r="X504" s="485">
        <f>Fuente!BA508</f>
        <v>0</v>
      </c>
      <c r="Y504" s="485">
        <f>Fuente!BB508</f>
        <v>0</v>
      </c>
      <c r="Z504" s="485">
        <f>Fuente!BC508</f>
        <v>0</v>
      </c>
      <c r="AA504" s="467" t="str">
        <f>Fuente!BD508</f>
        <v>NP</v>
      </c>
      <c r="AB504" s="477" t="s">
        <v>49</v>
      </c>
      <c r="AC504" s="477"/>
      <c r="AD504" s="477"/>
      <c r="AE504" s="477"/>
      <c r="AF504" s="482"/>
      <c r="AG504" s="480" t="str">
        <f>Fuente!AB504</f>
        <v>ICULTUR</v>
      </c>
      <c r="AH504" s="81"/>
      <c r="AI504" s="81"/>
      <c r="AJ504" s="81"/>
    </row>
    <row r="505" spans="1:36" ht="78.75" x14ac:dyDescent="0.2">
      <c r="A505" s="76">
        <v>6</v>
      </c>
      <c r="B505" s="350" t="s">
        <v>1751</v>
      </c>
      <c r="C505" s="351" t="s">
        <v>1569</v>
      </c>
      <c r="D505" s="350" t="s">
        <v>1818</v>
      </c>
      <c r="E505" s="351" t="s">
        <v>1982</v>
      </c>
      <c r="F505" s="350" t="s">
        <v>1890</v>
      </c>
      <c r="G505" s="352"/>
      <c r="H505" s="352" t="s">
        <v>1602</v>
      </c>
      <c r="I505" s="350" t="s">
        <v>1602</v>
      </c>
      <c r="J505" s="76" t="s">
        <v>55</v>
      </c>
      <c r="K505" s="484">
        <v>1</v>
      </c>
      <c r="L505" s="486"/>
      <c r="M505" s="350" t="s">
        <v>1604</v>
      </c>
      <c r="N505" s="350" t="s">
        <v>1605</v>
      </c>
      <c r="O505" s="76" t="s">
        <v>55</v>
      </c>
      <c r="P505" s="76">
        <v>4</v>
      </c>
      <c r="Q505" s="485">
        <f>Fuente!AT509</f>
        <v>0</v>
      </c>
      <c r="R505" s="485">
        <f>Fuente!AU509</f>
        <v>0</v>
      </c>
      <c r="S505" s="485">
        <f>Fuente!AV509</f>
        <v>0</v>
      </c>
      <c r="T505" s="485">
        <f>Fuente!AW509</f>
        <v>0</v>
      </c>
      <c r="U505" s="467">
        <f>Fuente!AM509</f>
        <v>0</v>
      </c>
      <c r="V505" s="485">
        <f>Fuente!AY509</f>
        <v>1</v>
      </c>
      <c r="W505" s="485">
        <f>Fuente!AZ509</f>
        <v>0</v>
      </c>
      <c r="X505" s="485">
        <f>Fuente!BA509</f>
        <v>0</v>
      </c>
      <c r="Y505" s="485">
        <f>Fuente!BB509</f>
        <v>0</v>
      </c>
      <c r="Z505" s="485">
        <f>Fuente!BC509</f>
        <v>0</v>
      </c>
      <c r="AA505" s="467">
        <f>Fuente!BD509</f>
        <v>0</v>
      </c>
      <c r="AB505" s="477" t="s">
        <v>49</v>
      </c>
      <c r="AC505" s="477"/>
      <c r="AD505" s="477"/>
      <c r="AE505" s="477"/>
      <c r="AF505" s="482"/>
      <c r="AG505" s="480" t="str">
        <f>Fuente!AB505</f>
        <v>ICULTUR</v>
      </c>
      <c r="AH505" s="81"/>
      <c r="AI505" s="81"/>
      <c r="AJ505" s="81"/>
    </row>
    <row r="506" spans="1:36" ht="78.75" x14ac:dyDescent="0.2">
      <c r="A506" s="76">
        <v>6</v>
      </c>
      <c r="B506" s="350" t="s">
        <v>1751</v>
      </c>
      <c r="C506" s="351" t="s">
        <v>1569</v>
      </c>
      <c r="D506" s="350" t="s">
        <v>1818</v>
      </c>
      <c r="E506" s="351" t="s">
        <v>1982</v>
      </c>
      <c r="F506" s="350" t="s">
        <v>1890</v>
      </c>
      <c r="G506" s="352"/>
      <c r="H506" s="352" t="s">
        <v>1602</v>
      </c>
      <c r="I506" s="350" t="s">
        <v>1602</v>
      </c>
      <c r="J506" s="76" t="s">
        <v>55</v>
      </c>
      <c r="K506" s="484">
        <v>1</v>
      </c>
      <c r="L506" s="486"/>
      <c r="M506" s="350" t="s">
        <v>1607</v>
      </c>
      <c r="N506" s="350" t="s">
        <v>1607</v>
      </c>
      <c r="O506" s="76" t="s">
        <v>55</v>
      </c>
      <c r="P506" s="76">
        <v>4</v>
      </c>
      <c r="Q506" s="485">
        <f>Fuente!AT510</f>
        <v>0</v>
      </c>
      <c r="R506" s="485">
        <f>Fuente!AU510</f>
        <v>0</v>
      </c>
      <c r="S506" s="485">
        <f>Fuente!AV510</f>
        <v>0</v>
      </c>
      <c r="T506" s="485">
        <f>Fuente!AW510</f>
        <v>0</v>
      </c>
      <c r="U506" s="467">
        <f>Fuente!AM510</f>
        <v>0</v>
      </c>
      <c r="V506" s="485">
        <f>Fuente!AY510</f>
        <v>1</v>
      </c>
      <c r="W506" s="485">
        <f>Fuente!AZ510</f>
        <v>0</v>
      </c>
      <c r="X506" s="485">
        <f>Fuente!BA510</f>
        <v>0</v>
      </c>
      <c r="Y506" s="485">
        <f>Fuente!BB510</f>
        <v>0</v>
      </c>
      <c r="Z506" s="485">
        <f>Fuente!BC510</f>
        <v>0</v>
      </c>
      <c r="AA506" s="467">
        <f>Fuente!BD510</f>
        <v>0</v>
      </c>
      <c r="AB506" s="477" t="s">
        <v>49</v>
      </c>
      <c r="AC506" s="477"/>
      <c r="AD506" s="477"/>
      <c r="AE506" s="477"/>
      <c r="AF506" s="482"/>
      <c r="AG506" s="480" t="str">
        <f>Fuente!AB506</f>
        <v>ICULTUR</v>
      </c>
      <c r="AH506" s="81"/>
      <c r="AI506" s="81"/>
      <c r="AJ506" s="81"/>
    </row>
    <row r="507" spans="1:36" ht="78.75" x14ac:dyDescent="0.2">
      <c r="A507" s="76">
        <v>6</v>
      </c>
      <c r="B507" s="350" t="s">
        <v>1751</v>
      </c>
      <c r="C507" s="351" t="s">
        <v>1569</v>
      </c>
      <c r="D507" s="350" t="s">
        <v>1818</v>
      </c>
      <c r="E507" s="351" t="s">
        <v>1982</v>
      </c>
      <c r="F507" s="350" t="s">
        <v>1890</v>
      </c>
      <c r="G507" s="352"/>
      <c r="H507" s="352" t="s">
        <v>1602</v>
      </c>
      <c r="I507" s="350" t="s">
        <v>1602</v>
      </c>
      <c r="J507" s="76" t="s">
        <v>55</v>
      </c>
      <c r="K507" s="484">
        <v>1</v>
      </c>
      <c r="L507" s="486"/>
      <c r="M507" s="350" t="s">
        <v>1608</v>
      </c>
      <c r="N507" s="350" t="s">
        <v>1609</v>
      </c>
      <c r="O507" s="76" t="s">
        <v>55</v>
      </c>
      <c r="P507" s="76">
        <v>4</v>
      </c>
      <c r="Q507" s="485">
        <f>Fuente!AT511</f>
        <v>1</v>
      </c>
      <c r="R507" s="485">
        <f>Fuente!AU511</f>
        <v>0</v>
      </c>
      <c r="S507" s="485">
        <f>Fuente!AV511</f>
        <v>0</v>
      </c>
      <c r="T507" s="485">
        <f>Fuente!AW511</f>
        <v>0</v>
      </c>
      <c r="U507" s="467">
        <f>Fuente!AM511</f>
        <v>0</v>
      </c>
      <c r="V507" s="485">
        <f>Fuente!AY511</f>
        <v>1</v>
      </c>
      <c r="W507" s="485">
        <f>Fuente!AZ511</f>
        <v>1</v>
      </c>
      <c r="X507" s="485">
        <f>Fuente!BA511</f>
        <v>0</v>
      </c>
      <c r="Y507" s="485">
        <f>Fuente!BB511</f>
        <v>0</v>
      </c>
      <c r="Z507" s="485">
        <f>Fuente!BC511</f>
        <v>0</v>
      </c>
      <c r="AA507" s="467">
        <f>Fuente!BD511</f>
        <v>1</v>
      </c>
      <c r="AB507" s="477" t="s">
        <v>412</v>
      </c>
      <c r="AC507" s="480" t="s">
        <v>720</v>
      </c>
      <c r="AD507" s="480" t="s">
        <v>659</v>
      </c>
      <c r="AE507" s="477" t="s">
        <v>613</v>
      </c>
      <c r="AF507" s="494" t="s">
        <v>660</v>
      </c>
      <c r="AG507" s="480" t="str">
        <f>Fuente!AB507</f>
        <v>IDERBOL/SECRETARÍA DEL INTERIOR/SECRETARÍA PRIVADA</v>
      </c>
      <c r="AH507" s="81"/>
      <c r="AI507" s="81"/>
      <c r="AJ507" s="81"/>
    </row>
    <row r="508" spans="1:36" ht="141.75" x14ac:dyDescent="0.2">
      <c r="A508" s="76">
        <v>6</v>
      </c>
      <c r="B508" s="350" t="s">
        <v>1751</v>
      </c>
      <c r="C508" s="351" t="s">
        <v>1569</v>
      </c>
      <c r="D508" s="350" t="s">
        <v>1818</v>
      </c>
      <c r="E508" s="351" t="s">
        <v>1982</v>
      </c>
      <c r="F508" s="350" t="s">
        <v>1890</v>
      </c>
      <c r="G508" s="352"/>
      <c r="H508" s="352" t="s">
        <v>1602</v>
      </c>
      <c r="I508" s="350" t="s">
        <v>1602</v>
      </c>
      <c r="J508" s="76" t="s">
        <v>55</v>
      </c>
      <c r="K508" s="484">
        <v>1</v>
      </c>
      <c r="L508" s="486"/>
      <c r="M508" s="350" t="s">
        <v>1610</v>
      </c>
      <c r="N508" s="350" t="s">
        <v>1611</v>
      </c>
      <c r="O508" s="76" t="s">
        <v>55</v>
      </c>
      <c r="P508" s="31">
        <v>1</v>
      </c>
      <c r="Q508" s="485">
        <f>Fuente!AT512</f>
        <v>0</v>
      </c>
      <c r="R508" s="485">
        <f>Fuente!AU512</f>
        <v>0</v>
      </c>
      <c r="S508" s="485">
        <f>Fuente!AV512</f>
        <v>0</v>
      </c>
      <c r="T508" s="485">
        <f>Fuente!AW512</f>
        <v>0</v>
      </c>
      <c r="U508" s="467">
        <f>Fuente!AM512</f>
        <v>0</v>
      </c>
      <c r="V508" s="485">
        <f>Fuente!AY512</f>
        <v>10</v>
      </c>
      <c r="W508" s="485">
        <f>Fuente!AZ512</f>
        <v>0</v>
      </c>
      <c r="X508" s="485">
        <f>Fuente!BA512</f>
        <v>0</v>
      </c>
      <c r="Y508" s="485">
        <f>Fuente!BB512</f>
        <v>0</v>
      </c>
      <c r="Z508" s="485">
        <f>Fuente!BC512</f>
        <v>0</v>
      </c>
      <c r="AA508" s="467">
        <f>Fuente!BD512</f>
        <v>0</v>
      </c>
      <c r="AB508" s="477" t="s">
        <v>203</v>
      </c>
      <c r="AC508" s="477"/>
      <c r="AD508" s="480" t="s">
        <v>67</v>
      </c>
      <c r="AE508" s="477" t="s">
        <v>68</v>
      </c>
      <c r="AF508" s="494" t="s">
        <v>895</v>
      </c>
      <c r="AG508" s="480" t="str">
        <f>Fuente!AB508</f>
        <v>SECRETARÍA DE PLANEACIÓN</v>
      </c>
      <c r="AH508" s="81"/>
      <c r="AI508" s="81"/>
      <c r="AJ508" s="81"/>
    </row>
    <row r="509" spans="1:36" ht="110.25" x14ac:dyDescent="0.2">
      <c r="A509" s="76">
        <v>6</v>
      </c>
      <c r="B509" s="350" t="s">
        <v>1751</v>
      </c>
      <c r="C509" s="351" t="s">
        <v>1569</v>
      </c>
      <c r="D509" s="350" t="s">
        <v>1818</v>
      </c>
      <c r="E509" s="351" t="s">
        <v>1982</v>
      </c>
      <c r="F509" s="350" t="s">
        <v>1890</v>
      </c>
      <c r="G509" s="352"/>
      <c r="H509" s="352" t="s">
        <v>1602</v>
      </c>
      <c r="I509" s="350" t="s">
        <v>1602</v>
      </c>
      <c r="J509" s="76" t="s">
        <v>55</v>
      </c>
      <c r="K509" s="484">
        <v>1</v>
      </c>
      <c r="L509" s="486"/>
      <c r="M509" s="350" t="s">
        <v>1612</v>
      </c>
      <c r="N509" s="350" t="s">
        <v>1612</v>
      </c>
      <c r="O509" s="76" t="s">
        <v>55</v>
      </c>
      <c r="P509" s="76">
        <v>40</v>
      </c>
      <c r="Q509" s="485">
        <f>Fuente!AT513</f>
        <v>0</v>
      </c>
      <c r="R509" s="485">
        <f>Fuente!AU513</f>
        <v>0</v>
      </c>
      <c r="S509" s="485">
        <f>Fuente!AV513</f>
        <v>0</v>
      </c>
      <c r="T509" s="485">
        <f>Fuente!AW513</f>
        <v>0</v>
      </c>
      <c r="U509" s="467">
        <f>Fuente!AM513</f>
        <v>0</v>
      </c>
      <c r="V509" s="485">
        <f>Fuente!AY513</f>
        <v>10</v>
      </c>
      <c r="W509" s="485">
        <f>Fuente!AZ513</f>
        <v>0</v>
      </c>
      <c r="X509" s="485">
        <f>Fuente!BA513</f>
        <v>0</v>
      </c>
      <c r="Y509" s="485">
        <f>Fuente!BB513</f>
        <v>0</v>
      </c>
      <c r="Z509" s="485">
        <f>Fuente!BC513</f>
        <v>0</v>
      </c>
      <c r="AA509" s="467">
        <f>Fuente!BD513</f>
        <v>0</v>
      </c>
      <c r="AB509" s="477" t="s">
        <v>49</v>
      </c>
      <c r="AC509" s="477">
        <v>1</v>
      </c>
      <c r="AD509" s="480" t="s">
        <v>1606</v>
      </c>
      <c r="AE509" s="477" t="s">
        <v>68</v>
      </c>
      <c r="AF509" s="494" t="s">
        <v>895</v>
      </c>
      <c r="AG509" s="480" t="str">
        <f>Fuente!AB509</f>
        <v>SECRETARÍA DE PLANEACIÓN</v>
      </c>
      <c r="AH509" s="81"/>
      <c r="AI509" s="81"/>
      <c r="AJ509" s="81"/>
    </row>
    <row r="510" spans="1:36" ht="110.25" x14ac:dyDescent="0.2">
      <c r="A510" s="76">
        <v>6</v>
      </c>
      <c r="B510" s="350" t="s">
        <v>1751</v>
      </c>
      <c r="C510" s="351" t="s">
        <v>1569</v>
      </c>
      <c r="D510" s="350" t="s">
        <v>1818</v>
      </c>
      <c r="E510" s="351" t="s">
        <v>1982</v>
      </c>
      <c r="F510" s="350" t="s">
        <v>1890</v>
      </c>
      <c r="G510" s="352"/>
      <c r="H510" s="352" t="s">
        <v>1602</v>
      </c>
      <c r="I510" s="350" t="s">
        <v>1602</v>
      </c>
      <c r="J510" s="76" t="s">
        <v>55</v>
      </c>
      <c r="K510" s="484">
        <v>1</v>
      </c>
      <c r="L510" s="486"/>
      <c r="M510" s="350" t="s">
        <v>1603</v>
      </c>
      <c r="N510" s="350" t="s">
        <v>1603</v>
      </c>
      <c r="O510" s="76" t="s">
        <v>55</v>
      </c>
      <c r="P510" s="76">
        <v>4</v>
      </c>
      <c r="Q510" s="485">
        <f>Fuente!AT514</f>
        <v>0</v>
      </c>
      <c r="R510" s="485">
        <f>Fuente!AU514</f>
        <v>0</v>
      </c>
      <c r="S510" s="485">
        <f>Fuente!AV514</f>
        <v>0</v>
      </c>
      <c r="T510" s="485">
        <f>Fuente!AW514</f>
        <v>0</v>
      </c>
      <c r="U510" s="467">
        <f>Fuente!AM514</f>
        <v>0</v>
      </c>
      <c r="V510" s="485">
        <f>Fuente!AY514</f>
        <v>1</v>
      </c>
      <c r="W510" s="485">
        <f>Fuente!AZ514</f>
        <v>0</v>
      </c>
      <c r="X510" s="485">
        <f>Fuente!BA514</f>
        <v>0</v>
      </c>
      <c r="Y510" s="485">
        <f>Fuente!BB514</f>
        <v>0</v>
      </c>
      <c r="Z510" s="485">
        <f>Fuente!BC514</f>
        <v>0</v>
      </c>
      <c r="AA510" s="467">
        <f>Fuente!BD514</f>
        <v>0</v>
      </c>
      <c r="AB510" s="477" t="s">
        <v>49</v>
      </c>
      <c r="AC510" s="477">
        <v>1</v>
      </c>
      <c r="AD510" s="480" t="s">
        <v>1606</v>
      </c>
      <c r="AE510" s="477" t="s">
        <v>68</v>
      </c>
      <c r="AF510" s="494" t="s">
        <v>895</v>
      </c>
      <c r="AG510" s="480" t="str">
        <f>Fuente!AB510</f>
        <v>SECRETARÍA DE PLANEACIÓN</v>
      </c>
      <c r="AH510" s="81"/>
      <c r="AI510" s="81"/>
      <c r="AJ510" s="81"/>
    </row>
    <row r="511" spans="1:36" ht="157.5" x14ac:dyDescent="0.2">
      <c r="A511" s="76">
        <v>6</v>
      </c>
      <c r="B511" s="350" t="s">
        <v>1751</v>
      </c>
      <c r="C511" s="351" t="s">
        <v>1569</v>
      </c>
      <c r="D511" s="350" t="s">
        <v>1818</v>
      </c>
      <c r="E511" s="351" t="s">
        <v>1613</v>
      </c>
      <c r="F511" s="350" t="s">
        <v>1891</v>
      </c>
      <c r="G511" s="352"/>
      <c r="H511" s="352" t="s">
        <v>1614</v>
      </c>
      <c r="I511" s="350" t="s">
        <v>1614</v>
      </c>
      <c r="J511" s="76" t="s">
        <v>55</v>
      </c>
      <c r="K511" s="484">
        <v>1</v>
      </c>
      <c r="L511" s="486"/>
      <c r="M511" s="350" t="s">
        <v>1615</v>
      </c>
      <c r="N511" s="350" t="s">
        <v>1615</v>
      </c>
      <c r="O511" s="76" t="s">
        <v>55</v>
      </c>
      <c r="P511" s="76">
        <v>4</v>
      </c>
      <c r="Q511" s="485">
        <f>Fuente!AT515</f>
        <v>0</v>
      </c>
      <c r="R511" s="485">
        <f>Fuente!AU515</f>
        <v>0</v>
      </c>
      <c r="S511" s="485">
        <f>Fuente!AV515</f>
        <v>0</v>
      </c>
      <c r="T511" s="485">
        <f>Fuente!AW515</f>
        <v>0</v>
      </c>
      <c r="U511" s="467">
        <f>Fuente!AM515</f>
        <v>0</v>
      </c>
      <c r="V511" s="485">
        <f>Fuente!AY515</f>
        <v>1</v>
      </c>
      <c r="W511" s="485">
        <f>Fuente!AZ515</f>
        <v>0</v>
      </c>
      <c r="X511" s="485">
        <f>Fuente!BA515</f>
        <v>0</v>
      </c>
      <c r="Y511" s="485">
        <f>Fuente!BB515</f>
        <v>0</v>
      </c>
      <c r="Z511" s="485">
        <f>Fuente!BC515</f>
        <v>0</v>
      </c>
      <c r="AA511" s="467">
        <f>Fuente!BD515</f>
        <v>0</v>
      </c>
      <c r="AB511" s="477" t="s">
        <v>49</v>
      </c>
      <c r="AC511" s="477">
        <v>1</v>
      </c>
      <c r="AD511" s="480" t="s">
        <v>1606</v>
      </c>
      <c r="AE511" s="477" t="s">
        <v>68</v>
      </c>
      <c r="AF511" s="494" t="s">
        <v>895</v>
      </c>
      <c r="AG511" s="480" t="str">
        <f>Fuente!AB511</f>
        <v>SECRETARÍA DE PLANEACIÓN</v>
      </c>
      <c r="AH511" s="81"/>
      <c r="AI511" s="81"/>
      <c r="AJ511" s="81"/>
    </row>
    <row r="512" spans="1:36" ht="157.5" x14ac:dyDescent="0.2">
      <c r="A512" s="76">
        <v>6</v>
      </c>
      <c r="B512" s="350" t="s">
        <v>1751</v>
      </c>
      <c r="C512" s="351" t="s">
        <v>1569</v>
      </c>
      <c r="D512" s="350" t="s">
        <v>1818</v>
      </c>
      <c r="E512" s="351" t="s">
        <v>1613</v>
      </c>
      <c r="F512" s="350" t="s">
        <v>1891</v>
      </c>
      <c r="G512" s="352"/>
      <c r="H512" s="352" t="s">
        <v>1614</v>
      </c>
      <c r="I512" s="350" t="s">
        <v>1614</v>
      </c>
      <c r="J512" s="76" t="s">
        <v>55</v>
      </c>
      <c r="K512" s="484">
        <v>1</v>
      </c>
      <c r="L512" s="486"/>
      <c r="M512" s="350" t="s">
        <v>1616</v>
      </c>
      <c r="N512" s="350" t="s">
        <v>1616</v>
      </c>
      <c r="O512" s="76" t="s">
        <v>55</v>
      </c>
      <c r="P512" s="76">
        <v>4</v>
      </c>
      <c r="Q512" s="485">
        <f>Fuente!AT516</f>
        <v>0</v>
      </c>
      <c r="R512" s="485">
        <f>Fuente!AU516</f>
        <v>0</v>
      </c>
      <c r="S512" s="485">
        <f>Fuente!AV516</f>
        <v>0</v>
      </c>
      <c r="T512" s="485">
        <f>Fuente!AW516</f>
        <v>0</v>
      </c>
      <c r="U512" s="467">
        <f>Fuente!AM516</f>
        <v>0</v>
      </c>
      <c r="V512" s="485">
        <f>Fuente!AY516</f>
        <v>1</v>
      </c>
      <c r="W512" s="485">
        <f>Fuente!AZ516</f>
        <v>0</v>
      </c>
      <c r="X512" s="485">
        <f>Fuente!BA516</f>
        <v>0</v>
      </c>
      <c r="Y512" s="485">
        <f>Fuente!BB516</f>
        <v>0</v>
      </c>
      <c r="Z512" s="485">
        <f>Fuente!BC516</f>
        <v>0</v>
      </c>
      <c r="AA512" s="467">
        <f>Fuente!BD516</f>
        <v>0</v>
      </c>
      <c r="AB512" s="477" t="s">
        <v>49</v>
      </c>
      <c r="AC512" s="477">
        <v>10</v>
      </c>
      <c r="AD512" s="480" t="s">
        <v>1606</v>
      </c>
      <c r="AE512" s="477" t="s">
        <v>68</v>
      </c>
      <c r="AF512" s="494" t="s">
        <v>895</v>
      </c>
      <c r="AG512" s="480" t="str">
        <f>Fuente!AB512</f>
        <v>SECRETARÍA DE PLANEACIÓN</v>
      </c>
      <c r="AH512" s="81"/>
      <c r="AI512" s="81"/>
      <c r="AJ512" s="81"/>
    </row>
    <row r="513" spans="1:36" ht="157.5" x14ac:dyDescent="0.2">
      <c r="A513" s="76">
        <v>6</v>
      </c>
      <c r="B513" s="350" t="s">
        <v>1751</v>
      </c>
      <c r="C513" s="351" t="s">
        <v>1569</v>
      </c>
      <c r="D513" s="350" t="s">
        <v>1818</v>
      </c>
      <c r="E513" s="351" t="s">
        <v>1613</v>
      </c>
      <c r="F513" s="350" t="s">
        <v>1891</v>
      </c>
      <c r="G513" s="352"/>
      <c r="H513" s="352" t="s">
        <v>1614</v>
      </c>
      <c r="I513" s="350" t="s">
        <v>1614</v>
      </c>
      <c r="J513" s="76" t="s">
        <v>55</v>
      </c>
      <c r="K513" s="484">
        <v>1</v>
      </c>
      <c r="L513" s="486"/>
      <c r="M513" s="350" t="s">
        <v>1617</v>
      </c>
      <c r="N513" s="350" t="s">
        <v>1617</v>
      </c>
      <c r="O513" s="76" t="s">
        <v>55</v>
      </c>
      <c r="P513" s="76">
        <v>30</v>
      </c>
      <c r="Q513" s="485">
        <f>Fuente!AT517</f>
        <v>0</v>
      </c>
      <c r="R513" s="485">
        <f>Fuente!AU517</f>
        <v>0</v>
      </c>
      <c r="S513" s="485">
        <f>Fuente!AV517</f>
        <v>0</v>
      </c>
      <c r="T513" s="485">
        <f>Fuente!AW517</f>
        <v>0</v>
      </c>
      <c r="U513" s="467">
        <f>Fuente!AM517</f>
        <v>0</v>
      </c>
      <c r="V513" s="485">
        <f>Fuente!AY517</f>
        <v>20</v>
      </c>
      <c r="W513" s="485">
        <f>Fuente!AZ517</f>
        <v>0</v>
      </c>
      <c r="X513" s="485">
        <f>Fuente!BA517</f>
        <v>0</v>
      </c>
      <c r="Y513" s="485">
        <f>Fuente!BB517</f>
        <v>0</v>
      </c>
      <c r="Z513" s="485">
        <f>Fuente!BC517</f>
        <v>0</v>
      </c>
      <c r="AA513" s="467">
        <f>Fuente!BD517</f>
        <v>0</v>
      </c>
      <c r="AB513" s="477" t="s">
        <v>49</v>
      </c>
      <c r="AC513" s="477">
        <v>10</v>
      </c>
      <c r="AD513" s="480" t="s">
        <v>1606</v>
      </c>
      <c r="AE513" s="477" t="s">
        <v>68</v>
      </c>
      <c r="AF513" s="494" t="s">
        <v>895</v>
      </c>
      <c r="AG513" s="480" t="str">
        <f>Fuente!AB513</f>
        <v>SECRETARÍA DE PLANEACIÓN</v>
      </c>
      <c r="AH513" s="81"/>
      <c r="AI513" s="81"/>
      <c r="AJ513" s="81"/>
    </row>
    <row r="514" spans="1:36" ht="157.5" x14ac:dyDescent="0.2">
      <c r="A514" s="76">
        <v>6</v>
      </c>
      <c r="B514" s="350" t="s">
        <v>1751</v>
      </c>
      <c r="C514" s="351" t="s">
        <v>1569</v>
      </c>
      <c r="D514" s="350" t="s">
        <v>1818</v>
      </c>
      <c r="E514" s="351" t="s">
        <v>1613</v>
      </c>
      <c r="F514" s="350" t="s">
        <v>1891</v>
      </c>
      <c r="G514" s="352"/>
      <c r="H514" s="352" t="s">
        <v>1614</v>
      </c>
      <c r="I514" s="350" t="s">
        <v>1614</v>
      </c>
      <c r="J514" s="76" t="s">
        <v>55</v>
      </c>
      <c r="K514" s="484">
        <v>1</v>
      </c>
      <c r="L514" s="486"/>
      <c r="M514" s="350" t="s">
        <v>1618</v>
      </c>
      <c r="N514" s="350" t="s">
        <v>1618</v>
      </c>
      <c r="O514" s="76">
        <v>1</v>
      </c>
      <c r="P514" s="76">
        <v>1</v>
      </c>
      <c r="Q514" s="485">
        <f>Fuente!AT518</f>
        <v>0</v>
      </c>
      <c r="R514" s="485">
        <f>Fuente!AU518</f>
        <v>0</v>
      </c>
      <c r="S514" s="485">
        <f>Fuente!AV518</f>
        <v>0</v>
      </c>
      <c r="T514" s="485">
        <f>Fuente!AW518</f>
        <v>0</v>
      </c>
      <c r="U514" s="467">
        <f>Fuente!AM518</f>
        <v>0</v>
      </c>
      <c r="V514" s="485">
        <f>Fuente!AY518</f>
        <v>1</v>
      </c>
      <c r="W514" s="485">
        <f>Fuente!AZ518</f>
        <v>0</v>
      </c>
      <c r="X514" s="485">
        <f>Fuente!BA518</f>
        <v>0</v>
      </c>
      <c r="Y514" s="485">
        <f>Fuente!BB518</f>
        <v>0</v>
      </c>
      <c r="Z514" s="485">
        <f>Fuente!BC518</f>
        <v>0</v>
      </c>
      <c r="AA514" s="467">
        <f>Fuente!BD518</f>
        <v>0</v>
      </c>
      <c r="AB514" s="477" t="s">
        <v>49</v>
      </c>
      <c r="AC514" s="477">
        <v>1</v>
      </c>
      <c r="AD514" s="480" t="s">
        <v>1606</v>
      </c>
      <c r="AE514" s="477" t="s">
        <v>68</v>
      </c>
      <c r="AF514" s="494" t="s">
        <v>895</v>
      </c>
      <c r="AG514" s="480" t="str">
        <f>Fuente!AB514</f>
        <v>SECRETARÍA DE PLANEACIÓN</v>
      </c>
      <c r="AH514" s="81"/>
      <c r="AI514" s="81"/>
      <c r="AJ514" s="81"/>
    </row>
    <row r="515" spans="1:36" ht="157.5" x14ac:dyDescent="0.2">
      <c r="A515" s="76">
        <v>6</v>
      </c>
      <c r="B515" s="350" t="s">
        <v>1751</v>
      </c>
      <c r="C515" s="351" t="s">
        <v>1569</v>
      </c>
      <c r="D515" s="350" t="s">
        <v>1818</v>
      </c>
      <c r="E515" s="351" t="s">
        <v>1613</v>
      </c>
      <c r="F515" s="350" t="s">
        <v>1891</v>
      </c>
      <c r="G515" s="352"/>
      <c r="H515" s="352" t="s">
        <v>1614</v>
      </c>
      <c r="I515" s="350" t="s">
        <v>1614</v>
      </c>
      <c r="J515" s="76" t="s">
        <v>55</v>
      </c>
      <c r="K515" s="484">
        <v>1</v>
      </c>
      <c r="L515" s="486"/>
      <c r="M515" s="350" t="s">
        <v>1619</v>
      </c>
      <c r="N515" s="350" t="s">
        <v>1619</v>
      </c>
      <c r="O515" s="76" t="s">
        <v>1592</v>
      </c>
      <c r="P515" s="76">
        <v>200</v>
      </c>
      <c r="Q515" s="485">
        <f>Fuente!AT519</f>
        <v>0</v>
      </c>
      <c r="R515" s="485">
        <f>Fuente!AU519</f>
        <v>0</v>
      </c>
      <c r="S515" s="485">
        <f>Fuente!AV519</f>
        <v>0</v>
      </c>
      <c r="T515" s="485">
        <f>Fuente!AW519</f>
        <v>0</v>
      </c>
      <c r="U515" s="467">
        <f>Fuente!AM519</f>
        <v>0</v>
      </c>
      <c r="V515" s="485">
        <f>Fuente!AY519</f>
        <v>40</v>
      </c>
      <c r="W515" s="485">
        <f>Fuente!AZ519</f>
        <v>0</v>
      </c>
      <c r="X515" s="485">
        <f>Fuente!BA519</f>
        <v>0</v>
      </c>
      <c r="Y515" s="485">
        <f>Fuente!BB519</f>
        <v>0</v>
      </c>
      <c r="Z515" s="485">
        <f>Fuente!BC519</f>
        <v>0</v>
      </c>
      <c r="AA515" s="467">
        <f>Fuente!BD519</f>
        <v>0</v>
      </c>
      <c r="AB515" s="477" t="s">
        <v>412</v>
      </c>
      <c r="AC515" s="477"/>
      <c r="AD515" s="477"/>
      <c r="AE515" s="477"/>
      <c r="AF515" s="482"/>
      <c r="AG515" s="480" t="str">
        <f>Fuente!AB515</f>
        <v>SECRETARÍA DE EDUCACIÓN</v>
      </c>
      <c r="AH515" s="81"/>
      <c r="AI515" s="81"/>
      <c r="AJ515" s="81"/>
    </row>
    <row r="516" spans="1:36" ht="141.75" x14ac:dyDescent="0.2">
      <c r="A516" s="76">
        <v>6</v>
      </c>
      <c r="B516" s="350" t="s">
        <v>1751</v>
      </c>
      <c r="C516" s="351" t="s">
        <v>1569</v>
      </c>
      <c r="D516" s="350" t="s">
        <v>1818</v>
      </c>
      <c r="E516" s="351" t="s">
        <v>1613</v>
      </c>
      <c r="F516" s="350" t="s">
        <v>1891</v>
      </c>
      <c r="G516" s="352"/>
      <c r="H516" s="352" t="s">
        <v>1620</v>
      </c>
      <c r="I516" s="350" t="s">
        <v>1620</v>
      </c>
      <c r="J516" s="76" t="s">
        <v>55</v>
      </c>
      <c r="K516" s="484">
        <v>1</v>
      </c>
      <c r="L516" s="486"/>
      <c r="M516" s="350" t="s">
        <v>1621</v>
      </c>
      <c r="N516" s="350" t="s">
        <v>1621</v>
      </c>
      <c r="O516" s="76" t="s">
        <v>1373</v>
      </c>
      <c r="P516" s="484">
        <v>0.2</v>
      </c>
      <c r="Q516" s="485">
        <f>Fuente!AT520</f>
        <v>0</v>
      </c>
      <c r="R516" s="485">
        <f>Fuente!AU520</f>
        <v>0</v>
      </c>
      <c r="S516" s="485">
        <f>Fuente!AV520</f>
        <v>0</v>
      </c>
      <c r="T516" s="485">
        <f>Fuente!AW520</f>
        <v>0</v>
      </c>
      <c r="U516" s="467">
        <f>Fuente!AM520</f>
        <v>0</v>
      </c>
      <c r="V516" s="485" t="str">
        <f>Fuente!AY520</f>
        <v>NP</v>
      </c>
      <c r="W516" s="485">
        <f>Fuente!AZ520</f>
        <v>0</v>
      </c>
      <c r="X516" s="485">
        <f>Fuente!BA520</f>
        <v>0</v>
      </c>
      <c r="Y516" s="485">
        <f>Fuente!BB520</f>
        <v>0</v>
      </c>
      <c r="Z516" s="485">
        <f>Fuente!BC520</f>
        <v>0</v>
      </c>
      <c r="AA516" s="467" t="str">
        <f>Fuente!BD520</f>
        <v>NP</v>
      </c>
      <c r="AB516" s="477" t="s">
        <v>412</v>
      </c>
      <c r="AC516" s="477"/>
      <c r="AD516" s="477"/>
      <c r="AE516" s="477"/>
      <c r="AF516" s="482"/>
      <c r="AG516" s="480" t="str">
        <f>Fuente!AB516</f>
        <v>SECRETARÍA DE EDUCACIÓN</v>
      </c>
      <c r="AH516" s="81"/>
      <c r="AI516" s="81"/>
      <c r="AJ516" s="81"/>
    </row>
    <row r="517" spans="1:36" ht="126" x14ac:dyDescent="0.2">
      <c r="A517" s="76">
        <v>6</v>
      </c>
      <c r="B517" s="350" t="s">
        <v>1751</v>
      </c>
      <c r="C517" s="351" t="s">
        <v>1569</v>
      </c>
      <c r="D517" s="350" t="s">
        <v>1818</v>
      </c>
      <c r="E517" s="351" t="s">
        <v>1622</v>
      </c>
      <c r="F517" s="350" t="s">
        <v>1892</v>
      </c>
      <c r="G517" s="352"/>
      <c r="H517" s="352" t="s">
        <v>1623</v>
      </c>
      <c r="I517" s="352" t="s">
        <v>1623</v>
      </c>
      <c r="J517" s="76" t="s">
        <v>55</v>
      </c>
      <c r="K517" s="484">
        <v>1</v>
      </c>
      <c r="L517" s="486"/>
      <c r="M517" s="350" t="s">
        <v>1624</v>
      </c>
      <c r="N517" s="350" t="s">
        <v>1624</v>
      </c>
      <c r="O517" s="76" t="s">
        <v>1373</v>
      </c>
      <c r="P517" s="76">
        <v>8</v>
      </c>
      <c r="Q517" s="485">
        <f>Fuente!AT521</f>
        <v>0</v>
      </c>
      <c r="R517" s="485">
        <f>Fuente!AU521</f>
        <v>0</v>
      </c>
      <c r="S517" s="485">
        <f>Fuente!AV521</f>
        <v>0</v>
      </c>
      <c r="T517" s="485">
        <f>Fuente!AW521</f>
        <v>0</v>
      </c>
      <c r="U517" s="467">
        <f>Fuente!AM521</f>
        <v>0</v>
      </c>
      <c r="V517" s="485" t="str">
        <f>Fuente!AY521</f>
        <v>NP</v>
      </c>
      <c r="W517" s="485">
        <f>Fuente!AZ521</f>
        <v>0</v>
      </c>
      <c r="X517" s="485">
        <f>Fuente!BA521</f>
        <v>0</v>
      </c>
      <c r="Y517" s="485">
        <f>Fuente!BB521</f>
        <v>0</v>
      </c>
      <c r="Z517" s="485">
        <f>Fuente!BC521</f>
        <v>0</v>
      </c>
      <c r="AA517" s="467" t="str">
        <f>Fuente!BD521</f>
        <v>NP</v>
      </c>
      <c r="AB517" s="477" t="s">
        <v>412</v>
      </c>
      <c r="AC517" s="477"/>
      <c r="AD517" s="477"/>
      <c r="AE517" s="477"/>
      <c r="AF517" s="482"/>
      <c r="AG517" s="480" t="str">
        <f>Fuente!AB517</f>
        <v>SECRETARÍA DE EDUCACIÓN</v>
      </c>
      <c r="AH517" s="81"/>
      <c r="AI517" s="81"/>
      <c r="AJ517" s="81"/>
    </row>
    <row r="518" spans="1:36" ht="126" x14ac:dyDescent="0.2">
      <c r="A518" s="76">
        <v>6</v>
      </c>
      <c r="B518" s="350" t="s">
        <v>1751</v>
      </c>
      <c r="C518" s="351" t="s">
        <v>1569</v>
      </c>
      <c r="D518" s="350" t="s">
        <v>1818</v>
      </c>
      <c r="E518" s="351" t="s">
        <v>1622</v>
      </c>
      <c r="F518" s="350" t="s">
        <v>1892</v>
      </c>
      <c r="G518" s="352"/>
      <c r="H518" s="352" t="s">
        <v>1623</v>
      </c>
      <c r="I518" s="352" t="s">
        <v>1623</v>
      </c>
      <c r="J518" s="76" t="s">
        <v>55</v>
      </c>
      <c r="K518" s="484">
        <v>1</v>
      </c>
      <c r="L518" s="486"/>
      <c r="M518" s="350" t="s">
        <v>1625</v>
      </c>
      <c r="N518" s="350" t="s">
        <v>1625</v>
      </c>
      <c r="O518" s="76" t="s">
        <v>1592</v>
      </c>
      <c r="P518" s="76">
        <v>4</v>
      </c>
      <c r="Q518" s="485">
        <f>Fuente!AT522</f>
        <v>0</v>
      </c>
      <c r="R518" s="485">
        <f>Fuente!AU522</f>
        <v>0</v>
      </c>
      <c r="S518" s="485">
        <f>Fuente!AV522</f>
        <v>0</v>
      </c>
      <c r="T518" s="485">
        <f>Fuente!AW522</f>
        <v>0</v>
      </c>
      <c r="U518" s="467">
        <f>Fuente!AM522</f>
        <v>0</v>
      </c>
      <c r="V518" s="485" t="str">
        <f>Fuente!AY522</f>
        <v>NP</v>
      </c>
      <c r="W518" s="485">
        <f>Fuente!AZ522</f>
        <v>0</v>
      </c>
      <c r="X518" s="485">
        <f>Fuente!BA522</f>
        <v>0</v>
      </c>
      <c r="Y518" s="485">
        <f>Fuente!BB522</f>
        <v>0</v>
      </c>
      <c r="Z518" s="485">
        <f>Fuente!BC522</f>
        <v>0</v>
      </c>
      <c r="AA518" s="467" t="str">
        <f>Fuente!BD522</f>
        <v>NP</v>
      </c>
      <c r="AB518" s="477" t="s">
        <v>420</v>
      </c>
      <c r="AC518" s="477"/>
      <c r="AD518" s="477"/>
      <c r="AE518" s="477"/>
      <c r="AF518" s="482"/>
      <c r="AG518" s="480" t="str">
        <f>Fuente!AB518</f>
        <v>SECRETARÍA DE EDUCACIÓN</v>
      </c>
      <c r="AH518" s="81"/>
      <c r="AI518" s="81"/>
      <c r="AJ518" s="81"/>
    </row>
    <row r="519" spans="1:36" ht="126" x14ac:dyDescent="0.2">
      <c r="A519" s="76">
        <v>6</v>
      </c>
      <c r="B519" s="350" t="s">
        <v>1751</v>
      </c>
      <c r="C519" s="351" t="s">
        <v>1569</v>
      </c>
      <c r="D519" s="350" t="s">
        <v>1818</v>
      </c>
      <c r="E519" s="351" t="s">
        <v>1622</v>
      </c>
      <c r="F519" s="350" t="s">
        <v>1892</v>
      </c>
      <c r="G519" s="351"/>
      <c r="H519" s="351" t="s">
        <v>1623</v>
      </c>
      <c r="I519" s="353" t="s">
        <v>1626</v>
      </c>
      <c r="J519" s="76" t="s">
        <v>55</v>
      </c>
      <c r="K519" s="76">
        <v>100</v>
      </c>
      <c r="L519" s="353"/>
      <c r="M519" s="350" t="s">
        <v>1627</v>
      </c>
      <c r="N519" s="350" t="s">
        <v>1627</v>
      </c>
      <c r="O519" s="76" t="s">
        <v>55</v>
      </c>
      <c r="P519" s="351">
        <v>1</v>
      </c>
      <c r="Q519" s="485">
        <f>Fuente!AT523</f>
        <v>0.5</v>
      </c>
      <c r="R519" s="485">
        <f>Fuente!AU523</f>
        <v>0</v>
      </c>
      <c r="S519" s="485">
        <f>Fuente!AV523</f>
        <v>0</v>
      </c>
      <c r="T519" s="485">
        <f>Fuente!AW523</f>
        <v>0</v>
      </c>
      <c r="U519" s="467">
        <f>Fuente!AM523</f>
        <v>0.5</v>
      </c>
      <c r="V519" s="485">
        <f>Fuente!AY523</f>
        <v>1</v>
      </c>
      <c r="W519" s="485">
        <f>Fuente!AZ523</f>
        <v>0</v>
      </c>
      <c r="X519" s="485">
        <f>Fuente!BA523</f>
        <v>0</v>
      </c>
      <c r="Y519" s="485">
        <f>Fuente!BB523</f>
        <v>0</v>
      </c>
      <c r="Z519" s="485">
        <f>Fuente!BC523</f>
        <v>0</v>
      </c>
      <c r="AA519" s="467">
        <f>Fuente!BD523</f>
        <v>0</v>
      </c>
      <c r="AB519" s="477" t="s">
        <v>412</v>
      </c>
      <c r="AC519" s="477"/>
      <c r="AD519" s="477"/>
      <c r="AE519" s="477"/>
      <c r="AF519" s="482"/>
      <c r="AG519" s="480" t="str">
        <f>Fuente!AB519</f>
        <v>SECRETARÍA DE EDUCACIÓN</v>
      </c>
      <c r="AH519" s="81"/>
      <c r="AI519" s="81"/>
      <c r="AJ519" s="81"/>
    </row>
    <row r="520" spans="1:36" ht="94.5" x14ac:dyDescent="0.2">
      <c r="A520" s="76">
        <v>6</v>
      </c>
      <c r="B520" s="350" t="s">
        <v>1751</v>
      </c>
      <c r="C520" s="351" t="s">
        <v>1569</v>
      </c>
      <c r="D520" s="350" t="s">
        <v>1818</v>
      </c>
      <c r="E520" s="351" t="s">
        <v>1628</v>
      </c>
      <c r="F520" s="350" t="s">
        <v>1893</v>
      </c>
      <c r="G520" s="351"/>
      <c r="H520" s="351" t="s">
        <v>1629</v>
      </c>
      <c r="I520" s="353" t="s">
        <v>1211</v>
      </c>
      <c r="J520" s="76" t="s">
        <v>55</v>
      </c>
      <c r="K520" s="76">
        <v>100</v>
      </c>
      <c r="L520" s="353"/>
      <c r="M520" s="350" t="s">
        <v>1630</v>
      </c>
      <c r="N520" s="350" t="s">
        <v>1630</v>
      </c>
      <c r="O520" s="76" t="s">
        <v>55</v>
      </c>
      <c r="P520" s="76">
        <v>1</v>
      </c>
      <c r="Q520" s="485">
        <f>Fuente!AT524</f>
        <v>1</v>
      </c>
      <c r="R520" s="485">
        <f>Fuente!AU524</f>
        <v>0</v>
      </c>
      <c r="S520" s="485">
        <f>Fuente!AV524</f>
        <v>0</v>
      </c>
      <c r="T520" s="485">
        <f>Fuente!AW524</f>
        <v>0</v>
      </c>
      <c r="U520" s="467">
        <f>Fuente!AM524</f>
        <v>0.5</v>
      </c>
      <c r="V520" s="485">
        <f>Fuente!AY524</f>
        <v>1</v>
      </c>
      <c r="W520" s="485">
        <f>Fuente!AZ524</f>
        <v>0.5</v>
      </c>
      <c r="X520" s="485">
        <f>Fuente!BA524</f>
        <v>0</v>
      </c>
      <c r="Y520" s="485">
        <f>Fuente!BB524</f>
        <v>0</v>
      </c>
      <c r="Z520" s="485">
        <f>Fuente!BC524</f>
        <v>0</v>
      </c>
      <c r="AA520" s="467">
        <f>Fuente!BD524</f>
        <v>0.5</v>
      </c>
      <c r="AB520" s="477" t="s">
        <v>49</v>
      </c>
      <c r="AC520" s="477"/>
      <c r="AD520" s="477"/>
      <c r="AE520" s="477"/>
      <c r="AF520" s="482"/>
      <c r="AG520" s="480" t="str">
        <f>Fuente!AB520</f>
        <v>SECRETARÍA DE EDUCACIÓN</v>
      </c>
      <c r="AH520" s="81"/>
      <c r="AI520" s="81"/>
      <c r="AJ520" s="81"/>
    </row>
    <row r="521" spans="1:36" ht="94.5" x14ac:dyDescent="0.2">
      <c r="A521" s="76">
        <v>6</v>
      </c>
      <c r="B521" s="350" t="s">
        <v>1751</v>
      </c>
      <c r="C521" s="351" t="s">
        <v>1569</v>
      </c>
      <c r="D521" s="350" t="s">
        <v>1818</v>
      </c>
      <c r="E521" s="351" t="s">
        <v>1628</v>
      </c>
      <c r="F521" s="350" t="s">
        <v>1893</v>
      </c>
      <c r="G521" s="351"/>
      <c r="H521" s="351" t="s">
        <v>1629</v>
      </c>
      <c r="I521" s="351" t="s">
        <v>1629</v>
      </c>
      <c r="J521" s="76" t="s">
        <v>55</v>
      </c>
      <c r="K521" s="76">
        <v>100</v>
      </c>
      <c r="L521" s="353"/>
      <c r="M521" s="350" t="s">
        <v>1631</v>
      </c>
      <c r="N521" s="350" t="s">
        <v>1631</v>
      </c>
      <c r="O521" s="76" t="s">
        <v>55</v>
      </c>
      <c r="P521" s="76">
        <v>8</v>
      </c>
      <c r="Q521" s="485">
        <f>Fuente!AT525</f>
        <v>2</v>
      </c>
      <c r="R521" s="485">
        <f>Fuente!AU525</f>
        <v>0</v>
      </c>
      <c r="S521" s="485">
        <f>Fuente!AV525</f>
        <v>0</v>
      </c>
      <c r="T521" s="485">
        <f>Fuente!AW525</f>
        <v>0</v>
      </c>
      <c r="U521" s="467">
        <f>Fuente!AM525</f>
        <v>0.125</v>
      </c>
      <c r="V521" s="485">
        <f>Fuente!AY525</f>
        <v>2</v>
      </c>
      <c r="W521" s="485">
        <f>Fuente!AZ525</f>
        <v>1</v>
      </c>
      <c r="X521" s="485">
        <f>Fuente!BA525</f>
        <v>0</v>
      </c>
      <c r="Y521" s="485">
        <f>Fuente!BB525</f>
        <v>0</v>
      </c>
      <c r="Z521" s="485">
        <f>Fuente!BC525</f>
        <v>0</v>
      </c>
      <c r="AA521" s="467">
        <f>Fuente!BD525</f>
        <v>0.5</v>
      </c>
      <c r="AB521" s="477" t="s">
        <v>49</v>
      </c>
      <c r="AC521" s="477"/>
      <c r="AD521" s="477"/>
      <c r="AE521" s="477"/>
      <c r="AF521" s="482"/>
      <c r="AG521" s="480" t="str">
        <f>Fuente!AB521</f>
        <v>SECRETARÍA DE VÍCTIMAS</v>
      </c>
      <c r="AH521" s="81"/>
      <c r="AI521" s="81"/>
      <c r="AJ521" s="81"/>
    </row>
    <row r="522" spans="1:36" ht="94.5" x14ac:dyDescent="0.2">
      <c r="A522" s="76">
        <v>6</v>
      </c>
      <c r="B522" s="350" t="s">
        <v>1751</v>
      </c>
      <c r="C522" s="351" t="s">
        <v>1569</v>
      </c>
      <c r="D522" s="350" t="s">
        <v>1818</v>
      </c>
      <c r="E522" s="351" t="s">
        <v>1628</v>
      </c>
      <c r="F522" s="350" t="s">
        <v>1893</v>
      </c>
      <c r="G522" s="351"/>
      <c r="H522" s="351" t="s">
        <v>1629</v>
      </c>
      <c r="I522" s="351" t="s">
        <v>1629</v>
      </c>
      <c r="J522" s="76" t="s">
        <v>55</v>
      </c>
      <c r="K522" s="76">
        <v>100</v>
      </c>
      <c r="L522" s="353"/>
      <c r="M522" s="350" t="s">
        <v>1632</v>
      </c>
      <c r="N522" s="350" t="s">
        <v>1632</v>
      </c>
      <c r="O522" s="76" t="s">
        <v>55</v>
      </c>
      <c r="P522" s="76">
        <v>16</v>
      </c>
      <c r="Q522" s="485">
        <f>Fuente!AT526</f>
        <v>0</v>
      </c>
      <c r="R522" s="485">
        <f>Fuente!AU526</f>
        <v>0</v>
      </c>
      <c r="S522" s="485">
        <f>Fuente!AV526</f>
        <v>0</v>
      </c>
      <c r="T522" s="485">
        <f>Fuente!AW526</f>
        <v>0</v>
      </c>
      <c r="U522" s="467">
        <f>Fuente!AM526</f>
        <v>0</v>
      </c>
      <c r="V522" s="485" t="str">
        <f>Fuente!AY526</f>
        <v>NP</v>
      </c>
      <c r="W522" s="485">
        <f>Fuente!AZ526</f>
        <v>0</v>
      </c>
      <c r="X522" s="485">
        <f>Fuente!BA526</f>
        <v>0</v>
      </c>
      <c r="Y522" s="485">
        <f>Fuente!BB526</f>
        <v>0</v>
      </c>
      <c r="Z522" s="485">
        <f>Fuente!BC526</f>
        <v>0</v>
      </c>
      <c r="AA522" s="467" t="str">
        <f>Fuente!BD526</f>
        <v>NP</v>
      </c>
      <c r="AB522" s="477" t="s">
        <v>49</v>
      </c>
      <c r="AC522" s="477"/>
      <c r="AD522" s="477"/>
      <c r="AE522" s="477"/>
      <c r="AF522" s="482"/>
      <c r="AG522" s="480" t="str">
        <f>Fuente!AB522</f>
        <v>SECRETARÍA DEL INTERIOR</v>
      </c>
      <c r="AH522" s="81"/>
      <c r="AI522" s="81"/>
      <c r="AJ522" s="81"/>
    </row>
    <row r="523" spans="1:36" ht="94.5" x14ac:dyDescent="0.2">
      <c r="A523" s="76">
        <v>6</v>
      </c>
      <c r="B523" s="350" t="s">
        <v>1751</v>
      </c>
      <c r="C523" s="351" t="s">
        <v>1569</v>
      </c>
      <c r="D523" s="350" t="s">
        <v>1818</v>
      </c>
      <c r="E523" s="351" t="s">
        <v>1628</v>
      </c>
      <c r="F523" s="350" t="s">
        <v>1893</v>
      </c>
      <c r="G523" s="351"/>
      <c r="H523" s="351" t="s">
        <v>1629</v>
      </c>
      <c r="I523" s="351" t="s">
        <v>1629</v>
      </c>
      <c r="J523" s="76" t="s">
        <v>55</v>
      </c>
      <c r="K523" s="76">
        <v>100</v>
      </c>
      <c r="L523" s="353"/>
      <c r="M523" s="350" t="s">
        <v>1633</v>
      </c>
      <c r="N523" s="350" t="s">
        <v>1633</v>
      </c>
      <c r="O523" s="76" t="s">
        <v>55</v>
      </c>
      <c r="P523" s="76">
        <v>20</v>
      </c>
      <c r="Q523" s="485">
        <f>Fuente!AT527</f>
        <v>0</v>
      </c>
      <c r="R523" s="485">
        <f>Fuente!AU527</f>
        <v>0</v>
      </c>
      <c r="S523" s="485">
        <f>Fuente!AV527</f>
        <v>0</v>
      </c>
      <c r="T523" s="485">
        <f>Fuente!AW527</f>
        <v>0</v>
      </c>
      <c r="U523" s="467">
        <f>Fuente!AM527</f>
        <v>0</v>
      </c>
      <c r="V523" s="485" t="str">
        <f>Fuente!AY527</f>
        <v>NP</v>
      </c>
      <c r="W523" s="485">
        <f>Fuente!AZ527</f>
        <v>0</v>
      </c>
      <c r="X523" s="485">
        <f>Fuente!BA527</f>
        <v>0</v>
      </c>
      <c r="Y523" s="485">
        <f>Fuente!BB527</f>
        <v>0</v>
      </c>
      <c r="Z523" s="485">
        <f>Fuente!BC527</f>
        <v>0</v>
      </c>
      <c r="AA523" s="467" t="str">
        <f>Fuente!BD527</f>
        <v>NP</v>
      </c>
      <c r="AB523" s="480" t="s">
        <v>203</v>
      </c>
      <c r="AC523" s="477"/>
      <c r="AD523" s="480" t="s">
        <v>1212</v>
      </c>
      <c r="AE523" s="477">
        <v>45</v>
      </c>
      <c r="AF523" s="482">
        <v>16</v>
      </c>
      <c r="AG523" s="480" t="str">
        <f>Fuente!AB523</f>
        <v>SECRETARÍA DEL INTERIOR</v>
      </c>
      <c r="AH523" s="81"/>
      <c r="AI523" s="81"/>
      <c r="AJ523" s="81"/>
    </row>
    <row r="524" spans="1:36" ht="94.5" x14ac:dyDescent="0.2">
      <c r="A524" s="76">
        <v>6</v>
      </c>
      <c r="B524" s="350" t="s">
        <v>1751</v>
      </c>
      <c r="C524" s="351" t="s">
        <v>1569</v>
      </c>
      <c r="D524" s="350" t="s">
        <v>1818</v>
      </c>
      <c r="E524" s="351" t="s">
        <v>1628</v>
      </c>
      <c r="F524" s="350" t="s">
        <v>1893</v>
      </c>
      <c r="G524" s="351"/>
      <c r="H524" s="351" t="s">
        <v>1629</v>
      </c>
      <c r="I524" s="351" t="s">
        <v>1629</v>
      </c>
      <c r="J524" s="76" t="s">
        <v>55</v>
      </c>
      <c r="K524" s="76">
        <v>100</v>
      </c>
      <c r="L524" s="76"/>
      <c r="M524" s="350" t="s">
        <v>1634</v>
      </c>
      <c r="N524" s="350" t="s">
        <v>1634</v>
      </c>
      <c r="O524" s="76" t="s">
        <v>55</v>
      </c>
      <c r="P524" s="76">
        <v>8</v>
      </c>
      <c r="Q524" s="485">
        <f>Fuente!AT528</f>
        <v>0</v>
      </c>
      <c r="R524" s="485">
        <f>Fuente!AU528</f>
        <v>0</v>
      </c>
      <c r="S524" s="485">
        <f>Fuente!AV528</f>
        <v>0</v>
      </c>
      <c r="T524" s="485">
        <f>Fuente!AW528</f>
        <v>0</v>
      </c>
      <c r="U524" s="467">
        <f>Fuente!AM528</f>
        <v>0.02</v>
      </c>
      <c r="V524" s="485">
        <f>Fuente!AY528</f>
        <v>2</v>
      </c>
      <c r="W524" s="485">
        <f>Fuente!AZ528</f>
        <v>0</v>
      </c>
      <c r="X524" s="485">
        <f>Fuente!BA528</f>
        <v>0</v>
      </c>
      <c r="Y524" s="485">
        <f>Fuente!BB528</f>
        <v>0</v>
      </c>
      <c r="Z524" s="485">
        <f>Fuente!BC528</f>
        <v>0</v>
      </c>
      <c r="AA524" s="467">
        <f>Fuente!BD528</f>
        <v>0</v>
      </c>
      <c r="AB524" s="477" t="s">
        <v>412</v>
      </c>
      <c r="AC524" s="477"/>
      <c r="AD524" s="480" t="s">
        <v>1212</v>
      </c>
      <c r="AE524" s="477">
        <v>45</v>
      </c>
      <c r="AF524" s="482">
        <v>10</v>
      </c>
      <c r="AG524" s="480" t="str">
        <f>Fuente!AB524</f>
        <v>SECRETARÍA DEL INTERIOR</v>
      </c>
      <c r="AH524" s="81"/>
      <c r="AI524" s="81"/>
      <c r="AJ524" s="81"/>
    </row>
    <row r="525" spans="1:36" ht="126" x14ac:dyDescent="0.2">
      <c r="A525" s="76">
        <v>6</v>
      </c>
      <c r="B525" s="350" t="s">
        <v>1751</v>
      </c>
      <c r="C525" s="351" t="s">
        <v>1635</v>
      </c>
      <c r="D525" s="350" t="s">
        <v>1819</v>
      </c>
      <c r="E525" s="351" t="s">
        <v>1636</v>
      </c>
      <c r="F525" s="350" t="s">
        <v>1894</v>
      </c>
      <c r="G525" s="466"/>
      <c r="H525" s="463" t="s">
        <v>1637</v>
      </c>
      <c r="I525" s="350" t="s">
        <v>1638</v>
      </c>
      <c r="J525" s="484">
        <v>0.1</v>
      </c>
      <c r="K525" s="484">
        <v>0.15</v>
      </c>
      <c r="L525" s="486"/>
      <c r="M525" s="350" t="s">
        <v>1639</v>
      </c>
      <c r="N525" s="350" t="s">
        <v>1640</v>
      </c>
      <c r="O525" s="493">
        <v>30000</v>
      </c>
      <c r="P525" s="493">
        <v>50000</v>
      </c>
      <c r="Q525" s="485">
        <f>Fuente!AT529</f>
        <v>10000</v>
      </c>
      <c r="R525" s="485">
        <f>Fuente!AU529</f>
        <v>0</v>
      </c>
      <c r="S525" s="485">
        <f>Fuente!AV529</f>
        <v>0</v>
      </c>
      <c r="T525" s="485">
        <f>Fuente!AW529</f>
        <v>0</v>
      </c>
      <c r="U525" s="467">
        <f>Fuente!AM529</f>
        <v>0.1</v>
      </c>
      <c r="V525" s="485">
        <f>Fuente!AY529</f>
        <v>5000</v>
      </c>
      <c r="W525" s="485">
        <f>Fuente!AZ529</f>
        <v>5000</v>
      </c>
      <c r="X525" s="485">
        <f>Fuente!BA529</f>
        <v>0</v>
      </c>
      <c r="Y525" s="485">
        <f>Fuente!BB529</f>
        <v>0</v>
      </c>
      <c r="Z525" s="485">
        <f>Fuente!BC529</f>
        <v>0</v>
      </c>
      <c r="AA525" s="467">
        <f>Fuente!BD529</f>
        <v>1</v>
      </c>
      <c r="AB525" s="477" t="s">
        <v>412</v>
      </c>
      <c r="AC525" s="477"/>
      <c r="AD525" s="480" t="s">
        <v>1212</v>
      </c>
      <c r="AE525" s="477">
        <v>45</v>
      </c>
      <c r="AF525" s="482">
        <v>10</v>
      </c>
      <c r="AG525" s="480" t="str">
        <f>Fuente!AB525</f>
        <v>SECRETARÍA DEL INTERIOR</v>
      </c>
      <c r="AH525" s="81"/>
      <c r="AI525" s="81"/>
      <c r="AJ525" s="81"/>
    </row>
    <row r="526" spans="1:36" ht="126" x14ac:dyDescent="0.2">
      <c r="A526" s="76">
        <v>6</v>
      </c>
      <c r="B526" s="350" t="s">
        <v>1751</v>
      </c>
      <c r="C526" s="351" t="s">
        <v>1635</v>
      </c>
      <c r="D526" s="350" t="s">
        <v>1819</v>
      </c>
      <c r="E526" s="351" t="s">
        <v>1636</v>
      </c>
      <c r="F526" s="350" t="s">
        <v>1894</v>
      </c>
      <c r="G526" s="466"/>
      <c r="H526" s="463" t="s">
        <v>1637</v>
      </c>
      <c r="I526" s="350" t="s">
        <v>1638</v>
      </c>
      <c r="J526" s="484">
        <v>0.1</v>
      </c>
      <c r="K526" s="484">
        <v>0.15</v>
      </c>
      <c r="L526" s="486"/>
      <c r="M526" s="350" t="s">
        <v>2001</v>
      </c>
      <c r="N526" s="350" t="s">
        <v>1642</v>
      </c>
      <c r="O526" s="76">
        <v>0</v>
      </c>
      <c r="P526" s="76">
        <v>1</v>
      </c>
      <c r="Q526" s="485">
        <f>Fuente!AT530</f>
        <v>1</v>
      </c>
      <c r="R526" s="485">
        <f>Fuente!AU530</f>
        <v>0</v>
      </c>
      <c r="S526" s="485">
        <f>Fuente!AV530</f>
        <v>0</v>
      </c>
      <c r="T526" s="485">
        <f>Fuente!AW530</f>
        <v>0</v>
      </c>
      <c r="U526" s="467">
        <f>Fuente!AM530</f>
        <v>1</v>
      </c>
      <c r="V526" s="485">
        <f>Fuente!AY530</f>
        <v>1</v>
      </c>
      <c r="W526" s="485">
        <f>Fuente!AZ530</f>
        <v>0</v>
      </c>
      <c r="X526" s="485">
        <f>Fuente!BA530</f>
        <v>0</v>
      </c>
      <c r="Y526" s="485">
        <f>Fuente!BB530</f>
        <v>0</v>
      </c>
      <c r="Z526" s="485">
        <f>Fuente!BC530</f>
        <v>0</v>
      </c>
      <c r="AA526" s="467">
        <f>Fuente!BD530</f>
        <v>0</v>
      </c>
      <c r="AB526" s="477" t="s">
        <v>412</v>
      </c>
      <c r="AC526" s="477"/>
      <c r="AD526" s="480" t="s">
        <v>1212</v>
      </c>
      <c r="AE526" s="477">
        <v>45</v>
      </c>
      <c r="AF526" s="482">
        <v>10</v>
      </c>
      <c r="AG526" s="480" t="str">
        <f>Fuente!AB526</f>
        <v>SECRETARÍA DEL INTERIOR</v>
      </c>
      <c r="AH526" s="81"/>
      <c r="AI526" s="81"/>
      <c r="AJ526" s="81"/>
    </row>
    <row r="527" spans="1:36" ht="126" x14ac:dyDescent="0.2">
      <c r="A527" s="76">
        <v>6</v>
      </c>
      <c r="B527" s="350" t="s">
        <v>1751</v>
      </c>
      <c r="C527" s="351" t="s">
        <v>1635</v>
      </c>
      <c r="D527" s="350" t="s">
        <v>1819</v>
      </c>
      <c r="E527" s="351" t="s">
        <v>1636</v>
      </c>
      <c r="F527" s="350" t="s">
        <v>1894</v>
      </c>
      <c r="G527" s="466"/>
      <c r="H527" s="463" t="s">
        <v>1637</v>
      </c>
      <c r="I527" s="350" t="s">
        <v>1638</v>
      </c>
      <c r="J527" s="484">
        <v>0.1</v>
      </c>
      <c r="K527" s="484">
        <v>0.15</v>
      </c>
      <c r="L527" s="486"/>
      <c r="M527" s="350" t="s">
        <v>1643</v>
      </c>
      <c r="N527" s="350" t="s">
        <v>1644</v>
      </c>
      <c r="O527" s="76">
        <v>5</v>
      </c>
      <c r="P527" s="76">
        <v>8</v>
      </c>
      <c r="Q527" s="485">
        <f>Fuente!AT531</f>
        <v>0</v>
      </c>
      <c r="R527" s="485">
        <f>Fuente!AU531</f>
        <v>0</v>
      </c>
      <c r="S527" s="485">
        <f>Fuente!AV531</f>
        <v>0</v>
      </c>
      <c r="T527" s="485">
        <f>Fuente!AW531</f>
        <v>0</v>
      </c>
      <c r="U527" s="467">
        <f>Fuente!AM531</f>
        <v>0</v>
      </c>
      <c r="V527" s="485" t="str">
        <f>Fuente!AY531</f>
        <v>NP</v>
      </c>
      <c r="W527" s="485">
        <f>Fuente!AZ531</f>
        <v>0</v>
      </c>
      <c r="X527" s="485">
        <f>Fuente!BA531</f>
        <v>0</v>
      </c>
      <c r="Y527" s="485">
        <f>Fuente!BB531</f>
        <v>0</v>
      </c>
      <c r="Z527" s="485">
        <f>Fuente!BC531</f>
        <v>0</v>
      </c>
      <c r="AA527" s="467" t="str">
        <f>Fuente!BD531</f>
        <v>NP</v>
      </c>
      <c r="AB527" s="477" t="s">
        <v>49</v>
      </c>
      <c r="AC527" s="477"/>
      <c r="AD527" s="477"/>
      <c r="AE527" s="477"/>
      <c r="AF527" s="482"/>
      <c r="AG527" s="480" t="str">
        <f>Fuente!AB527</f>
        <v>SECRETARÍA DEL INTERIOR</v>
      </c>
      <c r="AH527" s="81"/>
      <c r="AI527" s="81"/>
      <c r="AJ527" s="81"/>
    </row>
    <row r="528" spans="1:36" ht="78.75" x14ac:dyDescent="0.2">
      <c r="A528" s="76">
        <v>6</v>
      </c>
      <c r="B528" s="350" t="s">
        <v>1751</v>
      </c>
      <c r="C528" s="351" t="s">
        <v>1635</v>
      </c>
      <c r="D528" s="350" t="s">
        <v>1819</v>
      </c>
      <c r="E528" s="351" t="s">
        <v>1636</v>
      </c>
      <c r="F528" s="350" t="s">
        <v>1894</v>
      </c>
      <c r="G528" s="466"/>
      <c r="H528" s="352" t="s">
        <v>1645</v>
      </c>
      <c r="I528" s="353" t="s">
        <v>1646</v>
      </c>
      <c r="J528" s="493">
        <v>24000</v>
      </c>
      <c r="K528" s="493">
        <v>26000</v>
      </c>
      <c r="L528" s="509"/>
      <c r="M528" s="350" t="s">
        <v>1647</v>
      </c>
      <c r="N528" s="350" t="s">
        <v>1648</v>
      </c>
      <c r="O528" s="76">
        <v>12</v>
      </c>
      <c r="P528" s="76">
        <v>18</v>
      </c>
      <c r="Q528" s="485">
        <f>Fuente!AT532</f>
        <v>18</v>
      </c>
      <c r="R528" s="485">
        <f>Fuente!AU532</f>
        <v>0</v>
      </c>
      <c r="S528" s="485">
        <f>Fuente!AV532</f>
        <v>0</v>
      </c>
      <c r="T528" s="485">
        <f>Fuente!AW532</f>
        <v>0</v>
      </c>
      <c r="U528" s="467">
        <f>Fuente!AM532</f>
        <v>1</v>
      </c>
      <c r="V528" s="485">
        <f>Fuente!AY532</f>
        <v>5</v>
      </c>
      <c r="W528" s="485">
        <f>Fuente!AZ532</f>
        <v>0</v>
      </c>
      <c r="X528" s="485">
        <f>Fuente!BA532</f>
        <v>0</v>
      </c>
      <c r="Y528" s="485">
        <f>Fuente!BB532</f>
        <v>0</v>
      </c>
      <c r="Z528" s="485">
        <f>Fuente!BC532</f>
        <v>0</v>
      </c>
      <c r="AA528" s="467">
        <f>Fuente!BD532</f>
        <v>0</v>
      </c>
      <c r="AB528" s="477" t="s">
        <v>49</v>
      </c>
      <c r="AC528" s="477"/>
      <c r="AD528" s="477"/>
      <c r="AE528" s="477"/>
      <c r="AF528" s="482"/>
      <c r="AG528" s="480" t="str">
        <f>Fuente!AB528</f>
        <v>ICULTUR</v>
      </c>
      <c r="AH528" s="81"/>
      <c r="AI528" s="81"/>
      <c r="AJ528" s="81"/>
    </row>
    <row r="529" spans="1:36" ht="126" x14ac:dyDescent="0.2">
      <c r="A529" s="76">
        <v>6</v>
      </c>
      <c r="B529" s="350" t="s">
        <v>1751</v>
      </c>
      <c r="C529" s="351" t="s">
        <v>1635</v>
      </c>
      <c r="D529" s="350" t="s">
        <v>1819</v>
      </c>
      <c r="E529" s="351" t="s">
        <v>1636</v>
      </c>
      <c r="F529" s="350" t="s">
        <v>1894</v>
      </c>
      <c r="G529" s="466"/>
      <c r="H529" s="463" t="s">
        <v>1637</v>
      </c>
      <c r="I529" s="350" t="s">
        <v>1638</v>
      </c>
      <c r="J529" s="493">
        <v>24000</v>
      </c>
      <c r="K529" s="493">
        <v>26000</v>
      </c>
      <c r="L529" s="509"/>
      <c r="M529" s="350" t="s">
        <v>1649</v>
      </c>
      <c r="N529" s="350" t="s">
        <v>1650</v>
      </c>
      <c r="O529" s="76">
        <v>5</v>
      </c>
      <c r="P529" s="76">
        <v>8</v>
      </c>
      <c r="Q529" s="485">
        <f>Fuente!AT533</f>
        <v>0</v>
      </c>
      <c r="R529" s="485">
        <f>Fuente!AU533</f>
        <v>0</v>
      </c>
      <c r="S529" s="485">
        <f>Fuente!AV533</f>
        <v>0</v>
      </c>
      <c r="T529" s="485">
        <f>Fuente!AW533</f>
        <v>0</v>
      </c>
      <c r="U529" s="467">
        <f>Fuente!AM533</f>
        <v>0</v>
      </c>
      <c r="V529" s="485">
        <f>Fuente!AY533</f>
        <v>3</v>
      </c>
      <c r="W529" s="485">
        <f>Fuente!AZ533</f>
        <v>0</v>
      </c>
      <c r="X529" s="485">
        <f>Fuente!BA533</f>
        <v>0</v>
      </c>
      <c r="Y529" s="485">
        <f>Fuente!BB533</f>
        <v>0</v>
      </c>
      <c r="Z529" s="485">
        <f>Fuente!BC533</f>
        <v>0</v>
      </c>
      <c r="AA529" s="467">
        <f>Fuente!BD533</f>
        <v>0</v>
      </c>
      <c r="AB529" s="477" t="s">
        <v>412</v>
      </c>
      <c r="AC529" s="477" t="s">
        <v>88</v>
      </c>
      <c r="AD529" s="477" t="s">
        <v>89</v>
      </c>
      <c r="AE529" s="477">
        <v>41</v>
      </c>
      <c r="AF529" s="482" t="s">
        <v>1641</v>
      </c>
      <c r="AG529" s="480" t="str">
        <f>Fuente!AB529</f>
        <v>SECRETARÍA DE LA MUJER</v>
      </c>
      <c r="AH529" s="81"/>
      <c r="AI529" s="81"/>
      <c r="AJ529" s="81"/>
    </row>
    <row r="530" spans="1:36" ht="110.25" x14ac:dyDescent="0.2">
      <c r="A530" s="76">
        <v>6</v>
      </c>
      <c r="B530" s="350" t="s">
        <v>1751</v>
      </c>
      <c r="C530" s="351" t="s">
        <v>1635</v>
      </c>
      <c r="D530" s="350" t="s">
        <v>1819</v>
      </c>
      <c r="E530" s="351" t="s">
        <v>1636</v>
      </c>
      <c r="F530" s="350" t="s">
        <v>1894</v>
      </c>
      <c r="G530" s="466"/>
      <c r="H530" s="510" t="s">
        <v>1653</v>
      </c>
      <c r="I530" s="353" t="s">
        <v>1654</v>
      </c>
      <c r="J530" s="493">
        <v>24000</v>
      </c>
      <c r="K530" s="493">
        <v>26000</v>
      </c>
      <c r="L530" s="509"/>
      <c r="M530" s="350" t="s">
        <v>1655</v>
      </c>
      <c r="N530" s="350" t="s">
        <v>1656</v>
      </c>
      <c r="O530" s="76">
        <v>12</v>
      </c>
      <c r="P530" s="76">
        <v>18</v>
      </c>
      <c r="Q530" s="485">
        <f>Fuente!AT534</f>
        <v>11</v>
      </c>
      <c r="R530" s="485">
        <f>Fuente!AU534</f>
        <v>0</v>
      </c>
      <c r="S530" s="485">
        <f>Fuente!AV534</f>
        <v>0</v>
      </c>
      <c r="T530" s="485">
        <f>Fuente!AW534</f>
        <v>0</v>
      </c>
      <c r="U530" s="467">
        <f>Fuente!AM534</f>
        <v>0.33333333333333331</v>
      </c>
      <c r="V530" s="485">
        <f>Fuente!AY534</f>
        <v>5</v>
      </c>
      <c r="W530" s="485">
        <f>Fuente!AZ534</f>
        <v>5</v>
      </c>
      <c r="X530" s="485">
        <f>Fuente!BA534</f>
        <v>0</v>
      </c>
      <c r="Y530" s="485">
        <f>Fuente!BB534</f>
        <v>0</v>
      </c>
      <c r="Z530" s="485">
        <f>Fuente!BC534</f>
        <v>0</v>
      </c>
      <c r="AA530" s="467">
        <f>Fuente!BD534</f>
        <v>1</v>
      </c>
      <c r="AB530" s="477" t="s">
        <v>412</v>
      </c>
      <c r="AC530" s="477" t="s">
        <v>73</v>
      </c>
      <c r="AD530" s="477" t="s">
        <v>50</v>
      </c>
      <c r="AE530" s="477">
        <v>41</v>
      </c>
      <c r="AF530" s="482" t="s">
        <v>1641</v>
      </c>
      <c r="AG530" s="480" t="str">
        <f>Fuente!AB530</f>
        <v>SECRETARÍA DE LA MUJER</v>
      </c>
      <c r="AH530" s="81"/>
      <c r="AI530" s="81"/>
      <c r="AJ530" s="92"/>
    </row>
    <row r="531" spans="1:36" ht="78.75" x14ac:dyDescent="0.2">
      <c r="A531" s="76">
        <v>6</v>
      </c>
      <c r="B531" s="350" t="s">
        <v>1751</v>
      </c>
      <c r="C531" s="351" t="s">
        <v>1635</v>
      </c>
      <c r="D531" s="350" t="s">
        <v>1819</v>
      </c>
      <c r="E531" s="351" t="s">
        <v>1636</v>
      </c>
      <c r="F531" s="350" t="s">
        <v>1894</v>
      </c>
      <c r="G531" s="466"/>
      <c r="H531" s="308" t="s">
        <v>1653</v>
      </c>
      <c r="I531" s="353" t="s">
        <v>1654</v>
      </c>
      <c r="J531" s="493">
        <v>24000</v>
      </c>
      <c r="K531" s="493">
        <v>26000</v>
      </c>
      <c r="L531" s="509"/>
      <c r="M531" s="350" t="s">
        <v>1658</v>
      </c>
      <c r="N531" s="350" t="s">
        <v>1659</v>
      </c>
      <c r="O531" s="76">
        <v>1</v>
      </c>
      <c r="P531" s="76">
        <v>1</v>
      </c>
      <c r="Q531" s="485">
        <f>Fuente!AT535</f>
        <v>2</v>
      </c>
      <c r="R531" s="485">
        <f>Fuente!AU535</f>
        <v>0</v>
      </c>
      <c r="S531" s="485">
        <f>Fuente!AV535</f>
        <v>0</v>
      </c>
      <c r="T531" s="485">
        <f>Fuente!AW535</f>
        <v>0</v>
      </c>
      <c r="U531" s="467">
        <f>Fuente!AM535</f>
        <v>1</v>
      </c>
      <c r="V531" s="485">
        <f>Fuente!AY535</f>
        <v>1</v>
      </c>
      <c r="W531" s="485">
        <f>Fuente!AZ535</f>
        <v>0</v>
      </c>
      <c r="X531" s="485">
        <f>Fuente!BA535</f>
        <v>0</v>
      </c>
      <c r="Y531" s="485">
        <f>Fuente!BB535</f>
        <v>0</v>
      </c>
      <c r="Z531" s="485">
        <f>Fuente!BC535</f>
        <v>0</v>
      </c>
      <c r="AA531" s="467">
        <f>Fuente!BD535</f>
        <v>0</v>
      </c>
      <c r="AB531" s="477" t="s">
        <v>412</v>
      </c>
      <c r="AC531" s="477" t="s">
        <v>50</v>
      </c>
      <c r="AD531" s="477" t="s">
        <v>50</v>
      </c>
      <c r="AE531" s="477">
        <v>41</v>
      </c>
      <c r="AF531" s="482" t="s">
        <v>1641</v>
      </c>
      <c r="AG531" s="480" t="str">
        <f>Fuente!AB531</f>
        <v>SECRETARÍA DE LA MUJER</v>
      </c>
      <c r="AH531" s="81"/>
      <c r="AI531" s="81"/>
      <c r="AJ531" s="81"/>
    </row>
    <row r="532" spans="1:36" ht="63" x14ac:dyDescent="0.2">
      <c r="A532" s="76">
        <v>6</v>
      </c>
      <c r="B532" s="350" t="s">
        <v>1751</v>
      </c>
      <c r="C532" s="351" t="s">
        <v>1635</v>
      </c>
      <c r="D532" s="350" t="s">
        <v>1819</v>
      </c>
      <c r="E532" s="351" t="s">
        <v>1636</v>
      </c>
      <c r="F532" s="350" t="s">
        <v>1894</v>
      </c>
      <c r="G532" s="466"/>
      <c r="H532" s="510" t="s">
        <v>1653</v>
      </c>
      <c r="I532" s="353" t="s">
        <v>1654</v>
      </c>
      <c r="J532" s="493">
        <v>24000</v>
      </c>
      <c r="K532" s="493">
        <v>26000</v>
      </c>
      <c r="L532" s="509"/>
      <c r="M532" s="350" t="s">
        <v>1660</v>
      </c>
      <c r="N532" s="350" t="s">
        <v>1661</v>
      </c>
      <c r="O532" s="76">
        <v>1</v>
      </c>
      <c r="P532" s="76">
        <v>1</v>
      </c>
      <c r="Q532" s="485">
        <f>Fuente!AT536</f>
        <v>3</v>
      </c>
      <c r="R532" s="485">
        <f>Fuente!AU536</f>
        <v>0</v>
      </c>
      <c r="S532" s="485">
        <f>Fuente!AV536</f>
        <v>0</v>
      </c>
      <c r="T532" s="485">
        <f>Fuente!AW536</f>
        <v>0</v>
      </c>
      <c r="U532" s="467">
        <f>Fuente!AM536</f>
        <v>1</v>
      </c>
      <c r="V532" s="485">
        <f>Fuente!AY536</f>
        <v>1</v>
      </c>
      <c r="W532" s="485">
        <f>Fuente!AZ536</f>
        <v>0</v>
      </c>
      <c r="X532" s="485">
        <f>Fuente!BA536</f>
        <v>0</v>
      </c>
      <c r="Y532" s="485">
        <f>Fuente!BB536</f>
        <v>0</v>
      </c>
      <c r="Z532" s="485">
        <f>Fuente!BC536</f>
        <v>0</v>
      </c>
      <c r="AA532" s="467">
        <f>Fuente!BD536</f>
        <v>0</v>
      </c>
      <c r="AB532" s="477" t="s">
        <v>412</v>
      </c>
      <c r="AC532" s="477" t="s">
        <v>88</v>
      </c>
      <c r="AD532" s="477"/>
      <c r="AE532" s="477">
        <v>41</v>
      </c>
      <c r="AF532" s="482" t="s">
        <v>1641</v>
      </c>
      <c r="AG532" s="480" t="str">
        <f>Fuente!AB532</f>
        <v>SECRETARÍA DE LA MUJER</v>
      </c>
      <c r="AH532" s="81"/>
      <c r="AI532" s="81"/>
      <c r="AJ532" s="81"/>
    </row>
    <row r="533" spans="1:36" ht="94.5" x14ac:dyDescent="0.2">
      <c r="A533" s="76">
        <v>6</v>
      </c>
      <c r="B533" s="350" t="s">
        <v>1751</v>
      </c>
      <c r="C533" s="351" t="s">
        <v>1635</v>
      </c>
      <c r="D533" s="350" t="s">
        <v>1819</v>
      </c>
      <c r="E533" s="351" t="s">
        <v>1636</v>
      </c>
      <c r="F533" s="350" t="s">
        <v>1894</v>
      </c>
      <c r="G533" s="466"/>
      <c r="H533" s="352" t="s">
        <v>1645</v>
      </c>
      <c r="I533" s="353" t="s">
        <v>1646</v>
      </c>
      <c r="J533" s="76">
        <v>0</v>
      </c>
      <c r="K533" s="76">
        <v>20</v>
      </c>
      <c r="L533" s="353"/>
      <c r="M533" s="350" t="s">
        <v>1664</v>
      </c>
      <c r="N533" s="350" t="s">
        <v>1650</v>
      </c>
      <c r="O533" s="76">
        <v>5</v>
      </c>
      <c r="P533" s="76">
        <v>8</v>
      </c>
      <c r="Q533" s="485">
        <f>Fuente!AT537</f>
        <v>0</v>
      </c>
      <c r="R533" s="485">
        <f>Fuente!AU537</f>
        <v>0</v>
      </c>
      <c r="S533" s="485">
        <f>Fuente!AV537</f>
        <v>0</v>
      </c>
      <c r="T533" s="485">
        <f>Fuente!AW537</f>
        <v>0</v>
      </c>
      <c r="U533" s="467">
        <f>Fuente!AM537</f>
        <v>0</v>
      </c>
      <c r="V533" s="485">
        <f>Fuente!AY537</f>
        <v>3</v>
      </c>
      <c r="W533" s="485">
        <f>Fuente!AZ537</f>
        <v>0</v>
      </c>
      <c r="X533" s="485">
        <f>Fuente!BA537</f>
        <v>0</v>
      </c>
      <c r="Y533" s="485">
        <f>Fuente!BB537</f>
        <v>0</v>
      </c>
      <c r="Z533" s="485">
        <f>Fuente!BC537</f>
        <v>0</v>
      </c>
      <c r="AA533" s="467">
        <f>Fuente!BD537</f>
        <v>0</v>
      </c>
      <c r="AB533" s="477" t="s">
        <v>412</v>
      </c>
      <c r="AC533" s="477" t="s">
        <v>1651</v>
      </c>
      <c r="AD533" s="477"/>
      <c r="AE533" s="477">
        <v>41</v>
      </c>
      <c r="AF533" s="482" t="s">
        <v>1652</v>
      </c>
      <c r="AG533" s="480" t="str">
        <f>Fuente!AB533</f>
        <v>SECRETARÍA DE LA MUJER</v>
      </c>
      <c r="AH533" s="81"/>
      <c r="AI533" s="81"/>
      <c r="AJ533" s="92"/>
    </row>
    <row r="534" spans="1:36" ht="63" x14ac:dyDescent="0.2">
      <c r="A534" s="76">
        <v>6</v>
      </c>
      <c r="B534" s="350" t="s">
        <v>1751</v>
      </c>
      <c r="C534" s="351" t="s">
        <v>1666</v>
      </c>
      <c r="D534" s="350" t="s">
        <v>1820</v>
      </c>
      <c r="E534" s="351" t="s">
        <v>1667</v>
      </c>
      <c r="F534" s="350" t="s">
        <v>1895</v>
      </c>
      <c r="G534" s="351"/>
      <c r="H534" s="351" t="s">
        <v>1668</v>
      </c>
      <c r="I534" s="351" t="s">
        <v>1668</v>
      </c>
      <c r="J534" s="76">
        <v>264</v>
      </c>
      <c r="K534" s="76">
        <v>350</v>
      </c>
      <c r="L534" s="353"/>
      <c r="M534" s="350" t="s">
        <v>1669</v>
      </c>
      <c r="N534" s="350" t="s">
        <v>1211</v>
      </c>
      <c r="O534" s="76">
        <v>0</v>
      </c>
      <c r="P534" s="76">
        <v>50</v>
      </c>
      <c r="Q534" s="485">
        <f>Fuente!AT538</f>
        <v>20</v>
      </c>
      <c r="R534" s="485">
        <f>Fuente!AU538</f>
        <v>0</v>
      </c>
      <c r="S534" s="485">
        <f>Fuente!AV538</f>
        <v>0</v>
      </c>
      <c r="T534" s="485">
        <f>Fuente!AW538</f>
        <v>0</v>
      </c>
      <c r="U534" s="467">
        <f>Fuente!AM538</f>
        <v>0.3</v>
      </c>
      <c r="V534" s="485">
        <f>Fuente!AY538</f>
        <v>10</v>
      </c>
      <c r="W534" s="485">
        <f>Fuente!AZ538</f>
        <v>5</v>
      </c>
      <c r="X534" s="485">
        <f>Fuente!BA538</f>
        <v>0</v>
      </c>
      <c r="Y534" s="485">
        <f>Fuente!BB538</f>
        <v>0</v>
      </c>
      <c r="Z534" s="485">
        <f>Fuente!BC538</f>
        <v>0</v>
      </c>
      <c r="AA534" s="467">
        <f>Fuente!BD538</f>
        <v>0.5</v>
      </c>
      <c r="AB534" s="477" t="s">
        <v>412</v>
      </c>
      <c r="AC534" s="477" t="s">
        <v>1651</v>
      </c>
      <c r="AD534" s="477"/>
      <c r="AE534" s="477">
        <v>41</v>
      </c>
      <c r="AF534" s="482" t="s">
        <v>1657</v>
      </c>
      <c r="AG534" s="480" t="str">
        <f>Fuente!AB534</f>
        <v>SECRETARÍA DE LA MUJER</v>
      </c>
      <c r="AH534" s="81"/>
      <c r="AI534" s="81"/>
      <c r="AJ534" s="92"/>
    </row>
    <row r="535" spans="1:36" ht="63" x14ac:dyDescent="0.2">
      <c r="A535" s="76">
        <v>6</v>
      </c>
      <c r="B535" s="350" t="s">
        <v>1751</v>
      </c>
      <c r="C535" s="351" t="s">
        <v>1666</v>
      </c>
      <c r="D535" s="350" t="s">
        <v>1820</v>
      </c>
      <c r="E535" s="351" t="s">
        <v>1667</v>
      </c>
      <c r="F535" s="350" t="s">
        <v>1895</v>
      </c>
      <c r="G535" s="351"/>
      <c r="H535" s="351" t="s">
        <v>1668</v>
      </c>
      <c r="I535" s="351" t="s">
        <v>1668</v>
      </c>
      <c r="J535" s="76">
        <v>264</v>
      </c>
      <c r="K535" s="76">
        <v>350</v>
      </c>
      <c r="L535" s="353"/>
      <c r="M535" s="350" t="s">
        <v>1670</v>
      </c>
      <c r="N535" s="350" t="s">
        <v>1670</v>
      </c>
      <c r="O535" s="76">
        <v>0</v>
      </c>
      <c r="P535" s="76">
        <v>47</v>
      </c>
      <c r="Q535" s="485">
        <f>Fuente!AT539</f>
        <v>66</v>
      </c>
      <c r="R535" s="485">
        <f>Fuente!AU539</f>
        <v>0</v>
      </c>
      <c r="S535" s="485">
        <f>Fuente!AV539</f>
        <v>0</v>
      </c>
      <c r="T535" s="485">
        <f>Fuente!AW539</f>
        <v>0</v>
      </c>
      <c r="U535" s="467">
        <f>Fuente!AM539</f>
        <v>0.97872340425531912</v>
      </c>
      <c r="V535" s="485">
        <f>Fuente!AY539</f>
        <v>47</v>
      </c>
      <c r="W535" s="485">
        <f>Fuente!AZ539</f>
        <v>20</v>
      </c>
      <c r="X535" s="485">
        <f>Fuente!BA539</f>
        <v>0</v>
      </c>
      <c r="Y535" s="485">
        <f>Fuente!BB539</f>
        <v>0</v>
      </c>
      <c r="Z535" s="485">
        <f>Fuente!BC539</f>
        <v>0</v>
      </c>
      <c r="AA535" s="467">
        <f>Fuente!BD539</f>
        <v>0.42553191489361702</v>
      </c>
      <c r="AB535" s="477" t="s">
        <v>412</v>
      </c>
      <c r="AC535" s="477" t="s">
        <v>73</v>
      </c>
      <c r="AD535" s="477" t="s">
        <v>50</v>
      </c>
      <c r="AE535" s="477">
        <v>41</v>
      </c>
      <c r="AF535" s="482" t="s">
        <v>1579</v>
      </c>
      <c r="AG535" s="480" t="str">
        <f>Fuente!AB535</f>
        <v>SECRETARÍA DE LA MUJER</v>
      </c>
      <c r="AH535" s="81"/>
      <c r="AI535" s="81"/>
      <c r="AJ535" s="92"/>
    </row>
    <row r="536" spans="1:36" ht="63" x14ac:dyDescent="0.2">
      <c r="A536" s="76">
        <v>6</v>
      </c>
      <c r="B536" s="350" t="s">
        <v>1751</v>
      </c>
      <c r="C536" s="351" t="s">
        <v>1666</v>
      </c>
      <c r="D536" s="350" t="s">
        <v>1820</v>
      </c>
      <c r="E536" s="351" t="s">
        <v>1667</v>
      </c>
      <c r="F536" s="350" t="s">
        <v>1895</v>
      </c>
      <c r="G536" s="351"/>
      <c r="H536" s="351" t="s">
        <v>1668</v>
      </c>
      <c r="I536" s="351" t="s">
        <v>1668</v>
      </c>
      <c r="J536" s="76">
        <v>264</v>
      </c>
      <c r="K536" s="76">
        <v>350</v>
      </c>
      <c r="L536" s="353"/>
      <c r="M536" s="350" t="s">
        <v>1671</v>
      </c>
      <c r="N536" s="350" t="s">
        <v>1671</v>
      </c>
      <c r="O536" s="76">
        <v>0</v>
      </c>
      <c r="P536" s="76">
        <v>46</v>
      </c>
      <c r="Q536" s="485">
        <f>Fuente!AT540</f>
        <v>0</v>
      </c>
      <c r="R536" s="485">
        <f>Fuente!AU540</f>
        <v>0</v>
      </c>
      <c r="S536" s="485">
        <f>Fuente!AV540</f>
        <v>0</v>
      </c>
      <c r="T536" s="485">
        <f>Fuente!AW540</f>
        <v>0</v>
      </c>
      <c r="U536" s="467">
        <f>Fuente!AM540</f>
        <v>0</v>
      </c>
      <c r="V536" s="485">
        <f>Fuente!AY540</f>
        <v>46</v>
      </c>
      <c r="W536" s="485">
        <f>Fuente!AZ540</f>
        <v>0</v>
      </c>
      <c r="X536" s="485">
        <f>Fuente!BA540</f>
        <v>0</v>
      </c>
      <c r="Y536" s="485">
        <f>Fuente!BB540</f>
        <v>0</v>
      </c>
      <c r="Z536" s="485">
        <f>Fuente!BC540</f>
        <v>0</v>
      </c>
      <c r="AA536" s="467">
        <f>Fuente!BD540</f>
        <v>0</v>
      </c>
      <c r="AB536" s="477" t="s">
        <v>412</v>
      </c>
      <c r="AC536" s="477" t="s">
        <v>1662</v>
      </c>
      <c r="AD536" s="477" t="s">
        <v>50</v>
      </c>
      <c r="AE536" s="477">
        <v>41</v>
      </c>
      <c r="AF536" s="482" t="s">
        <v>1663</v>
      </c>
      <c r="AG536" s="480" t="str">
        <f>Fuente!AB536</f>
        <v>SECRETARÍA DE LA MUJER</v>
      </c>
      <c r="AH536" s="81"/>
      <c r="AI536" s="81"/>
      <c r="AJ536" s="81"/>
    </row>
    <row r="537" spans="1:36" ht="94.5" x14ac:dyDescent="0.2">
      <c r="A537" s="76">
        <v>6</v>
      </c>
      <c r="B537" s="350" t="s">
        <v>1751</v>
      </c>
      <c r="C537" s="351" t="s">
        <v>1666</v>
      </c>
      <c r="D537" s="350" t="s">
        <v>1820</v>
      </c>
      <c r="E537" s="351" t="s">
        <v>1667</v>
      </c>
      <c r="F537" s="350" t="s">
        <v>1895</v>
      </c>
      <c r="G537" s="351"/>
      <c r="H537" s="351" t="s">
        <v>1672</v>
      </c>
      <c r="I537" s="351" t="s">
        <v>1672</v>
      </c>
      <c r="J537" s="76">
        <v>287</v>
      </c>
      <c r="K537" s="76">
        <v>287</v>
      </c>
      <c r="L537" s="353"/>
      <c r="M537" s="350" t="s">
        <v>1673</v>
      </c>
      <c r="N537" s="350" t="s">
        <v>1673</v>
      </c>
      <c r="O537" s="76">
        <v>1</v>
      </c>
      <c r="P537" s="76">
        <v>1</v>
      </c>
      <c r="Q537" s="485">
        <f>Fuente!AT541</f>
        <v>0.375</v>
      </c>
      <c r="R537" s="485">
        <f>Fuente!AU541</f>
        <v>0</v>
      </c>
      <c r="S537" s="485">
        <f>Fuente!AV541</f>
        <v>0</v>
      </c>
      <c r="T537" s="485">
        <f>Fuente!AW541</f>
        <v>0</v>
      </c>
      <c r="U537" s="467">
        <f>Fuente!AM541</f>
        <v>1</v>
      </c>
      <c r="V537" s="485">
        <f>Fuente!AY541</f>
        <v>1</v>
      </c>
      <c r="W537" s="485">
        <f>Fuente!AZ541</f>
        <v>0.5</v>
      </c>
      <c r="X537" s="485">
        <f>Fuente!BA541</f>
        <v>0</v>
      </c>
      <c r="Y537" s="485">
        <f>Fuente!BB541</f>
        <v>0</v>
      </c>
      <c r="Z537" s="485">
        <f>Fuente!BC541</f>
        <v>0</v>
      </c>
      <c r="AA537" s="467">
        <f>Fuente!BD541</f>
        <v>0.5</v>
      </c>
      <c r="AB537" s="477" t="s">
        <v>412</v>
      </c>
      <c r="AC537" s="477" t="s">
        <v>73</v>
      </c>
      <c r="AD537" s="477" t="s">
        <v>1665</v>
      </c>
      <c r="AE537" s="477">
        <v>41</v>
      </c>
      <c r="AF537" s="482" t="s">
        <v>1641</v>
      </c>
      <c r="AG537" s="480" t="str">
        <f>Fuente!AB537</f>
        <v>SECRETARÍA DE LA MUJER</v>
      </c>
      <c r="AH537" s="81"/>
      <c r="AI537" s="81"/>
      <c r="AJ537" s="92"/>
    </row>
    <row r="538" spans="1:36" ht="63" x14ac:dyDescent="0.2">
      <c r="A538" s="76">
        <v>6</v>
      </c>
      <c r="B538" s="350" t="s">
        <v>1751</v>
      </c>
      <c r="C538" s="351" t="s">
        <v>1674</v>
      </c>
      <c r="D538" s="350" t="s">
        <v>1675</v>
      </c>
      <c r="E538" s="351" t="s">
        <v>1676</v>
      </c>
      <c r="F538" s="350" t="s">
        <v>1896</v>
      </c>
      <c r="G538" s="352"/>
      <c r="H538" s="352" t="s">
        <v>1677</v>
      </c>
      <c r="I538" s="350" t="s">
        <v>1678</v>
      </c>
      <c r="J538" s="76">
        <v>7000</v>
      </c>
      <c r="K538" s="76">
        <v>7200</v>
      </c>
      <c r="L538" s="353"/>
      <c r="M538" s="350" t="s">
        <v>1679</v>
      </c>
      <c r="N538" s="350" t="s">
        <v>1680</v>
      </c>
      <c r="O538" s="76">
        <v>45</v>
      </c>
      <c r="P538" s="76">
        <v>45</v>
      </c>
      <c r="Q538" s="485">
        <f>Fuente!AT542</f>
        <v>11.5</v>
      </c>
      <c r="R538" s="485">
        <f>Fuente!AU542</f>
        <v>0</v>
      </c>
      <c r="S538" s="485">
        <f>Fuente!AV542</f>
        <v>0</v>
      </c>
      <c r="T538" s="485">
        <f>Fuente!AW542</f>
        <v>0</v>
      </c>
      <c r="U538" s="467">
        <f>Fuente!AM542</f>
        <v>1</v>
      </c>
      <c r="V538" s="485">
        <f>Fuente!AY542</f>
        <v>45</v>
      </c>
      <c r="W538" s="485">
        <f>Fuente!AZ542</f>
        <v>0</v>
      </c>
      <c r="X538" s="485">
        <f>Fuente!BA542</f>
        <v>0</v>
      </c>
      <c r="Y538" s="485">
        <f>Fuente!BB542</f>
        <v>0</v>
      </c>
      <c r="Z538" s="485">
        <f>Fuente!BC542</f>
        <v>0</v>
      </c>
      <c r="AA538" s="467">
        <f>Fuente!BD542</f>
        <v>0</v>
      </c>
      <c r="AB538" s="477" t="s">
        <v>203</v>
      </c>
      <c r="AC538" s="477"/>
      <c r="AD538" s="480" t="s">
        <v>1212</v>
      </c>
      <c r="AE538" s="477">
        <v>45</v>
      </c>
      <c r="AF538" s="482">
        <v>10</v>
      </c>
      <c r="AG538" s="480" t="str">
        <f>Fuente!AB538</f>
        <v>SECRETARÍA DEL INTERIOR</v>
      </c>
      <c r="AH538" s="81"/>
      <c r="AI538" s="81"/>
      <c r="AJ538" s="81"/>
    </row>
    <row r="539" spans="1:36" ht="78.75" x14ac:dyDescent="0.2">
      <c r="A539" s="76">
        <v>6</v>
      </c>
      <c r="B539" s="350" t="s">
        <v>1751</v>
      </c>
      <c r="C539" s="351" t="s">
        <v>1674</v>
      </c>
      <c r="D539" s="350" t="s">
        <v>1675</v>
      </c>
      <c r="E539" s="351" t="s">
        <v>1676</v>
      </c>
      <c r="F539" s="350" t="s">
        <v>1896</v>
      </c>
      <c r="G539" s="352"/>
      <c r="H539" s="352" t="s">
        <v>1677</v>
      </c>
      <c r="I539" s="350" t="s">
        <v>1678</v>
      </c>
      <c r="J539" s="76">
        <v>7000</v>
      </c>
      <c r="K539" s="76">
        <v>7200</v>
      </c>
      <c r="L539" s="353"/>
      <c r="M539" s="350" t="s">
        <v>1682</v>
      </c>
      <c r="N539" s="350" t="s">
        <v>1683</v>
      </c>
      <c r="O539" s="76">
        <v>36</v>
      </c>
      <c r="P539" s="76">
        <v>40</v>
      </c>
      <c r="Q539" s="485">
        <f>Fuente!AT543</f>
        <v>77</v>
      </c>
      <c r="R539" s="485">
        <f>Fuente!AU543</f>
        <v>0</v>
      </c>
      <c r="S539" s="485">
        <f>Fuente!AV543</f>
        <v>0</v>
      </c>
      <c r="T539" s="485">
        <f>Fuente!AW543</f>
        <v>0</v>
      </c>
      <c r="U539" s="467">
        <f>Fuente!AM543</f>
        <v>1</v>
      </c>
      <c r="V539" s="485">
        <f>Fuente!AY543</f>
        <v>40</v>
      </c>
      <c r="W539" s="485">
        <f>Fuente!AZ543</f>
        <v>0</v>
      </c>
      <c r="X539" s="485">
        <f>Fuente!BA543</f>
        <v>0</v>
      </c>
      <c r="Y539" s="485">
        <f>Fuente!BB543</f>
        <v>0</v>
      </c>
      <c r="Z539" s="485">
        <f>Fuente!BC543</f>
        <v>0</v>
      </c>
      <c r="AA539" s="467">
        <f>Fuente!BD543</f>
        <v>0</v>
      </c>
      <c r="AB539" s="477" t="s">
        <v>203</v>
      </c>
      <c r="AC539" s="477"/>
      <c r="AD539" s="480" t="s">
        <v>1212</v>
      </c>
      <c r="AE539" s="477">
        <v>45</v>
      </c>
      <c r="AF539" s="482">
        <v>10</v>
      </c>
      <c r="AG539" s="480" t="str">
        <f>Fuente!AB539</f>
        <v>SECRETARÍA DEL INTERIOR</v>
      </c>
      <c r="AH539" s="81"/>
      <c r="AI539" s="81"/>
      <c r="AJ539" s="81"/>
    </row>
    <row r="540" spans="1:36" ht="78.75" x14ac:dyDescent="0.2">
      <c r="A540" s="76">
        <v>6</v>
      </c>
      <c r="B540" s="350" t="s">
        <v>1751</v>
      </c>
      <c r="C540" s="351" t="s">
        <v>1674</v>
      </c>
      <c r="D540" s="350" t="s">
        <v>1675</v>
      </c>
      <c r="E540" s="351" t="s">
        <v>1676</v>
      </c>
      <c r="F540" s="350" t="s">
        <v>1896</v>
      </c>
      <c r="G540" s="352"/>
      <c r="H540" s="352" t="s">
        <v>1677</v>
      </c>
      <c r="I540" s="350" t="s">
        <v>1678</v>
      </c>
      <c r="J540" s="76">
        <v>7000</v>
      </c>
      <c r="K540" s="76">
        <v>7200</v>
      </c>
      <c r="L540" s="353"/>
      <c r="M540" s="350" t="s">
        <v>1684</v>
      </c>
      <c r="N540" s="350" t="s">
        <v>1685</v>
      </c>
      <c r="O540" s="76">
        <v>5</v>
      </c>
      <c r="P540" s="76">
        <v>8</v>
      </c>
      <c r="Q540" s="485">
        <f>Fuente!AT544</f>
        <v>8</v>
      </c>
      <c r="R540" s="485">
        <f>Fuente!AU544</f>
        <v>0</v>
      </c>
      <c r="S540" s="485">
        <f>Fuente!AV544</f>
        <v>0</v>
      </c>
      <c r="T540" s="485">
        <f>Fuente!AW544</f>
        <v>0</v>
      </c>
      <c r="U540" s="467">
        <f>Fuente!AM544</f>
        <v>1</v>
      </c>
      <c r="V540" s="485">
        <f>Fuente!AY544</f>
        <v>8</v>
      </c>
      <c r="W540" s="485">
        <f>Fuente!AZ544</f>
        <v>0</v>
      </c>
      <c r="X540" s="485">
        <f>Fuente!BA544</f>
        <v>0</v>
      </c>
      <c r="Y540" s="485">
        <f>Fuente!BB544</f>
        <v>0</v>
      </c>
      <c r="Z540" s="485">
        <f>Fuente!BC544</f>
        <v>0</v>
      </c>
      <c r="AA540" s="467">
        <f>Fuente!BD544</f>
        <v>0</v>
      </c>
      <c r="AB540" s="477" t="s">
        <v>203</v>
      </c>
      <c r="AC540" s="477"/>
      <c r="AD540" s="480" t="s">
        <v>1212</v>
      </c>
      <c r="AE540" s="477">
        <v>45</v>
      </c>
      <c r="AF540" s="482">
        <v>10</v>
      </c>
      <c r="AG540" s="480" t="str">
        <f>Fuente!AB540</f>
        <v>SECRETARÍA DEL INTERIOR</v>
      </c>
      <c r="AH540" s="81"/>
      <c r="AI540" s="81"/>
      <c r="AJ540" s="81"/>
    </row>
    <row r="541" spans="1:36" ht="78.75" x14ac:dyDescent="0.2">
      <c r="A541" s="76">
        <v>6</v>
      </c>
      <c r="B541" s="350" t="s">
        <v>1751</v>
      </c>
      <c r="C541" s="351" t="s">
        <v>1674</v>
      </c>
      <c r="D541" s="350" t="s">
        <v>1675</v>
      </c>
      <c r="E541" s="351" t="s">
        <v>1676</v>
      </c>
      <c r="F541" s="350" t="s">
        <v>1896</v>
      </c>
      <c r="G541" s="352"/>
      <c r="H541" s="352" t="s">
        <v>1686</v>
      </c>
      <c r="I541" s="350" t="s">
        <v>1687</v>
      </c>
      <c r="J541" s="76">
        <v>400</v>
      </c>
      <c r="K541" s="76">
        <v>600</v>
      </c>
      <c r="L541" s="353"/>
      <c r="M541" s="350" t="s">
        <v>1688</v>
      </c>
      <c r="N541" s="350" t="s">
        <v>1689</v>
      </c>
      <c r="O541" s="76" t="s">
        <v>55</v>
      </c>
      <c r="P541" s="76">
        <v>100</v>
      </c>
      <c r="Q541" s="485">
        <f>Fuente!AT545</f>
        <v>0</v>
      </c>
      <c r="R541" s="485">
        <f>Fuente!AU545</f>
        <v>0</v>
      </c>
      <c r="S541" s="485">
        <f>Fuente!AV545</f>
        <v>0</v>
      </c>
      <c r="T541" s="485">
        <f>Fuente!AW545</f>
        <v>0</v>
      </c>
      <c r="U541" s="467">
        <f>Fuente!AM545</f>
        <v>0</v>
      </c>
      <c r="V541" s="485">
        <f>Fuente!AY545</f>
        <v>50</v>
      </c>
      <c r="W541" s="485">
        <f>Fuente!AZ545</f>
        <v>0</v>
      </c>
      <c r="X541" s="485">
        <f>Fuente!BA545</f>
        <v>0</v>
      </c>
      <c r="Y541" s="485">
        <f>Fuente!BB545</f>
        <v>0</v>
      </c>
      <c r="Z541" s="485">
        <f>Fuente!BC545</f>
        <v>0</v>
      </c>
      <c r="AA541" s="467">
        <f>Fuente!BD545</f>
        <v>0</v>
      </c>
      <c r="AB541" s="477" t="s">
        <v>78</v>
      </c>
      <c r="AC541" s="477"/>
      <c r="AD541" s="480" t="s">
        <v>1212</v>
      </c>
      <c r="AE541" s="477">
        <v>45</v>
      </c>
      <c r="AF541" s="482">
        <v>10</v>
      </c>
      <c r="AG541" s="480" t="str">
        <f>Fuente!AB541</f>
        <v>SECRETARÍA DEL INTERIOR</v>
      </c>
      <c r="AH541" s="81"/>
      <c r="AI541" s="81"/>
      <c r="AJ541" s="81"/>
    </row>
    <row r="542" spans="1:36" ht="63" x14ac:dyDescent="0.2">
      <c r="A542" s="76">
        <v>6</v>
      </c>
      <c r="B542" s="350" t="s">
        <v>1751</v>
      </c>
      <c r="C542" s="351" t="s">
        <v>1674</v>
      </c>
      <c r="D542" s="350" t="s">
        <v>1675</v>
      </c>
      <c r="E542" s="351" t="s">
        <v>1676</v>
      </c>
      <c r="F542" s="350" t="s">
        <v>1896</v>
      </c>
      <c r="G542" s="352"/>
      <c r="H542" s="352" t="s">
        <v>1686</v>
      </c>
      <c r="I542" s="350" t="s">
        <v>1687</v>
      </c>
      <c r="J542" s="76">
        <v>400</v>
      </c>
      <c r="K542" s="76">
        <v>600</v>
      </c>
      <c r="L542" s="353"/>
      <c r="M542" s="350" t="s">
        <v>1690</v>
      </c>
      <c r="N542" s="350" t="s">
        <v>1691</v>
      </c>
      <c r="O542" s="76">
        <v>4</v>
      </c>
      <c r="P542" s="76">
        <v>3</v>
      </c>
      <c r="Q542" s="485">
        <f>Fuente!AT546</f>
        <v>0</v>
      </c>
      <c r="R542" s="485">
        <f>Fuente!AU546</f>
        <v>0</v>
      </c>
      <c r="S542" s="485">
        <f>Fuente!AV546</f>
        <v>0</v>
      </c>
      <c r="T542" s="485">
        <f>Fuente!AW546</f>
        <v>0</v>
      </c>
      <c r="U542" s="467">
        <f>Fuente!AM546</f>
        <v>0</v>
      </c>
      <c r="V542" s="485">
        <f>Fuente!AY546</f>
        <v>1</v>
      </c>
      <c r="W542" s="485">
        <f>Fuente!AZ546</f>
        <v>0</v>
      </c>
      <c r="X542" s="485">
        <f>Fuente!BA546</f>
        <v>0</v>
      </c>
      <c r="Y542" s="485">
        <f>Fuente!BB546</f>
        <v>0</v>
      </c>
      <c r="Z542" s="485">
        <f>Fuente!BC546</f>
        <v>0</v>
      </c>
      <c r="AA542" s="467">
        <f>Fuente!BD546</f>
        <v>0</v>
      </c>
      <c r="AB542" s="477" t="s">
        <v>420</v>
      </c>
      <c r="AC542" s="477" t="s">
        <v>50</v>
      </c>
      <c r="AD542" s="477" t="s">
        <v>50</v>
      </c>
      <c r="AE542" s="477">
        <v>41</v>
      </c>
      <c r="AF542" s="482" t="s">
        <v>1681</v>
      </c>
      <c r="AG542" s="480" t="str">
        <f>Fuente!AB542</f>
        <v>SECRETARÍA DE LA MUJER</v>
      </c>
      <c r="AH542" s="81"/>
      <c r="AI542" s="90"/>
      <c r="AJ542" s="93"/>
    </row>
    <row r="543" spans="1:36" ht="63" x14ac:dyDescent="0.2">
      <c r="A543" s="76">
        <v>6</v>
      </c>
      <c r="B543" s="350" t="s">
        <v>1751</v>
      </c>
      <c r="C543" s="351" t="s">
        <v>1674</v>
      </c>
      <c r="D543" s="350" t="s">
        <v>1675</v>
      </c>
      <c r="E543" s="351" t="s">
        <v>1676</v>
      </c>
      <c r="F543" s="350" t="s">
        <v>1896</v>
      </c>
      <c r="G543" s="352"/>
      <c r="H543" s="352" t="s">
        <v>1686</v>
      </c>
      <c r="I543" s="350" t="s">
        <v>1687</v>
      </c>
      <c r="J543" s="76">
        <v>400</v>
      </c>
      <c r="K543" s="76">
        <v>600</v>
      </c>
      <c r="L543" s="353"/>
      <c r="M543" s="350" t="s">
        <v>1692</v>
      </c>
      <c r="N543" s="350" t="s">
        <v>1693</v>
      </c>
      <c r="O543" s="76">
        <v>2</v>
      </c>
      <c r="P543" s="76">
        <v>3</v>
      </c>
      <c r="Q543" s="485">
        <f>Fuente!AT547</f>
        <v>1</v>
      </c>
      <c r="R543" s="485">
        <f>Fuente!AU547</f>
        <v>0</v>
      </c>
      <c r="S543" s="485">
        <f>Fuente!AV547</f>
        <v>0</v>
      </c>
      <c r="T543" s="485">
        <f>Fuente!AW547</f>
        <v>0</v>
      </c>
      <c r="U543" s="467">
        <f>Fuente!AM547</f>
        <v>0.33333333333333331</v>
      </c>
      <c r="V543" s="485">
        <f>Fuente!AY547</f>
        <v>1</v>
      </c>
      <c r="W543" s="485">
        <f>Fuente!AZ547</f>
        <v>0</v>
      </c>
      <c r="X543" s="485">
        <f>Fuente!BA547</f>
        <v>0</v>
      </c>
      <c r="Y543" s="485">
        <f>Fuente!BB547</f>
        <v>0</v>
      </c>
      <c r="Z543" s="485">
        <f>Fuente!BC547</f>
        <v>0</v>
      </c>
      <c r="AA543" s="467">
        <f>Fuente!BD547</f>
        <v>0</v>
      </c>
      <c r="AB543" s="477" t="s">
        <v>412</v>
      </c>
      <c r="AC543" s="477" t="s">
        <v>50</v>
      </c>
      <c r="AD543" s="477" t="s">
        <v>50</v>
      </c>
      <c r="AE543" s="477">
        <v>41</v>
      </c>
      <c r="AF543" s="482" t="s">
        <v>1681</v>
      </c>
      <c r="AG543" s="480" t="str">
        <f>Fuente!AB543</f>
        <v>SECRETARÍA DE LA MUJER</v>
      </c>
      <c r="AH543" s="81"/>
      <c r="AI543" s="90"/>
      <c r="AJ543" s="93"/>
    </row>
    <row r="544" spans="1:36" ht="63" x14ac:dyDescent="0.2">
      <c r="A544" s="76">
        <v>6</v>
      </c>
      <c r="B544" s="350" t="s">
        <v>1751</v>
      </c>
      <c r="C544" s="351" t="s">
        <v>1674</v>
      </c>
      <c r="D544" s="350" t="s">
        <v>1675</v>
      </c>
      <c r="E544" s="351" t="s">
        <v>1676</v>
      </c>
      <c r="F544" s="350" t="s">
        <v>1896</v>
      </c>
      <c r="G544" s="352"/>
      <c r="H544" s="352" t="s">
        <v>1686</v>
      </c>
      <c r="I544" s="350" t="s">
        <v>1687</v>
      </c>
      <c r="J544" s="76">
        <v>400</v>
      </c>
      <c r="K544" s="76">
        <v>600</v>
      </c>
      <c r="L544" s="353"/>
      <c r="M544" s="350" t="s">
        <v>1694</v>
      </c>
      <c r="N544" s="350" t="s">
        <v>1695</v>
      </c>
      <c r="O544" s="76">
        <v>3</v>
      </c>
      <c r="P544" s="76">
        <v>3</v>
      </c>
      <c r="Q544" s="485">
        <f>Fuente!AT548</f>
        <v>0.25</v>
      </c>
      <c r="R544" s="485">
        <f>Fuente!AU548</f>
        <v>0</v>
      </c>
      <c r="S544" s="485">
        <f>Fuente!AV548</f>
        <v>0</v>
      </c>
      <c r="T544" s="485">
        <f>Fuente!AW548</f>
        <v>0</v>
      </c>
      <c r="U544" s="467">
        <f>Fuente!AM548</f>
        <v>0.33333333333333331</v>
      </c>
      <c r="V544" s="485">
        <f>Fuente!AY548</f>
        <v>1</v>
      </c>
      <c r="W544" s="485">
        <f>Fuente!AZ548</f>
        <v>0</v>
      </c>
      <c r="X544" s="485">
        <f>Fuente!BA548</f>
        <v>0</v>
      </c>
      <c r="Y544" s="485">
        <f>Fuente!BB548</f>
        <v>0</v>
      </c>
      <c r="Z544" s="485">
        <f>Fuente!BC548</f>
        <v>0</v>
      </c>
      <c r="AA544" s="467">
        <f>Fuente!BD548</f>
        <v>0</v>
      </c>
      <c r="AB544" s="477" t="s">
        <v>412</v>
      </c>
      <c r="AC544" s="477" t="s">
        <v>50</v>
      </c>
      <c r="AD544" s="477" t="s">
        <v>50</v>
      </c>
      <c r="AE544" s="477">
        <v>41</v>
      </c>
      <c r="AF544" s="482" t="s">
        <v>1681</v>
      </c>
      <c r="AG544" s="480" t="str">
        <f>Fuente!AB544</f>
        <v>SECRETARÍA DE LA MUJER</v>
      </c>
      <c r="AH544" s="81"/>
      <c r="AI544" s="90"/>
      <c r="AJ544" s="93"/>
    </row>
    <row r="545" spans="1:36" ht="110.25" x14ac:dyDescent="0.2">
      <c r="A545" s="76">
        <v>6</v>
      </c>
      <c r="B545" s="350" t="s">
        <v>1751</v>
      </c>
      <c r="C545" s="351" t="s">
        <v>1696</v>
      </c>
      <c r="D545" s="350" t="s">
        <v>1821</v>
      </c>
      <c r="E545" s="351" t="s">
        <v>1697</v>
      </c>
      <c r="F545" s="350" t="s">
        <v>1897</v>
      </c>
      <c r="G545" s="352"/>
      <c r="H545" s="352" t="s">
        <v>1698</v>
      </c>
      <c r="I545" s="350" t="s">
        <v>1699</v>
      </c>
      <c r="J545" s="76">
        <v>1</v>
      </c>
      <c r="K545" s="76">
        <v>1</v>
      </c>
      <c r="L545" s="353"/>
      <c r="M545" s="350" t="s">
        <v>1700</v>
      </c>
      <c r="N545" s="511" t="s">
        <v>1701</v>
      </c>
      <c r="O545" s="76">
        <v>3</v>
      </c>
      <c r="P545" s="76">
        <v>8</v>
      </c>
      <c r="Q545" s="485">
        <f>Fuente!AT549</f>
        <v>6</v>
      </c>
      <c r="R545" s="485">
        <f>Fuente!AU549</f>
        <v>0</v>
      </c>
      <c r="S545" s="485">
        <f>Fuente!AV549</f>
        <v>0</v>
      </c>
      <c r="T545" s="485">
        <f>Fuente!AW549</f>
        <v>0</v>
      </c>
      <c r="U545" s="467">
        <f>Fuente!AM549</f>
        <v>0.75</v>
      </c>
      <c r="V545" s="485">
        <f>Fuente!AY549</f>
        <v>5</v>
      </c>
      <c r="W545" s="485">
        <f>Fuente!AZ549</f>
        <v>0</v>
      </c>
      <c r="X545" s="485">
        <f>Fuente!BA549</f>
        <v>0</v>
      </c>
      <c r="Y545" s="485">
        <f>Fuente!BB549</f>
        <v>0</v>
      </c>
      <c r="Z545" s="485">
        <f>Fuente!BC549</f>
        <v>0</v>
      </c>
      <c r="AA545" s="467">
        <f>Fuente!BD549</f>
        <v>0</v>
      </c>
      <c r="AB545" s="477" t="s">
        <v>412</v>
      </c>
      <c r="AC545" s="477" t="s">
        <v>50</v>
      </c>
      <c r="AD545" s="477" t="s">
        <v>50</v>
      </c>
      <c r="AE545" s="477">
        <v>41</v>
      </c>
      <c r="AF545" s="482" t="s">
        <v>1681</v>
      </c>
      <c r="AG545" s="480" t="str">
        <f>Fuente!AB545</f>
        <v>SECRETARÍA DE LA MUJER</v>
      </c>
      <c r="AH545" s="81"/>
      <c r="AI545" s="81"/>
      <c r="AJ545" s="92"/>
    </row>
    <row r="546" spans="1:36" ht="78.75" x14ac:dyDescent="0.2">
      <c r="A546" s="76">
        <v>6</v>
      </c>
      <c r="B546" s="350" t="s">
        <v>1751</v>
      </c>
      <c r="C546" s="351" t="s">
        <v>1696</v>
      </c>
      <c r="D546" s="350" t="s">
        <v>1821</v>
      </c>
      <c r="E546" s="351" t="s">
        <v>1697</v>
      </c>
      <c r="F546" s="350" t="s">
        <v>1897</v>
      </c>
      <c r="G546" s="352"/>
      <c r="H546" s="352" t="s">
        <v>1698</v>
      </c>
      <c r="I546" s="350" t="s">
        <v>1699</v>
      </c>
      <c r="J546" s="76">
        <v>1</v>
      </c>
      <c r="K546" s="76">
        <v>1</v>
      </c>
      <c r="L546" s="353"/>
      <c r="M546" s="350" t="s">
        <v>1702</v>
      </c>
      <c r="N546" s="511" t="s">
        <v>1703</v>
      </c>
      <c r="O546" s="76">
        <v>0</v>
      </c>
      <c r="P546" s="76">
        <v>1</v>
      </c>
      <c r="Q546" s="485">
        <f>Fuente!AT550</f>
        <v>0</v>
      </c>
      <c r="R546" s="485">
        <f>Fuente!AU550</f>
        <v>0</v>
      </c>
      <c r="S546" s="485">
        <f>Fuente!AV550</f>
        <v>0</v>
      </c>
      <c r="T546" s="485">
        <f>Fuente!AW550</f>
        <v>0</v>
      </c>
      <c r="U546" s="467">
        <f>Fuente!AM550</f>
        <v>0</v>
      </c>
      <c r="V546" s="485" t="str">
        <f>Fuente!AY550</f>
        <v>np</v>
      </c>
      <c r="W546" s="485">
        <f>Fuente!AZ550</f>
        <v>0</v>
      </c>
      <c r="X546" s="485">
        <f>Fuente!BA550</f>
        <v>0</v>
      </c>
      <c r="Y546" s="485">
        <f>Fuente!BB550</f>
        <v>0</v>
      </c>
      <c r="Z546" s="485">
        <f>Fuente!BC550</f>
        <v>0</v>
      </c>
      <c r="AA546" s="467" t="str">
        <f>Fuente!BD550</f>
        <v>NP</v>
      </c>
      <c r="AB546" s="477" t="s">
        <v>633</v>
      </c>
      <c r="AC546" s="477" t="s">
        <v>50</v>
      </c>
      <c r="AD546" s="477" t="s">
        <v>50</v>
      </c>
      <c r="AE546" s="477">
        <v>41</v>
      </c>
      <c r="AF546" s="482" t="s">
        <v>1681</v>
      </c>
      <c r="AG546" s="480" t="str">
        <f>Fuente!AB546</f>
        <v>SECRETARÍA DE LA MUJER</v>
      </c>
      <c r="AH546" s="81"/>
      <c r="AI546" s="81"/>
      <c r="AJ546" s="81"/>
    </row>
    <row r="547" spans="1:36" ht="126" x14ac:dyDescent="0.2">
      <c r="A547" s="76">
        <v>6</v>
      </c>
      <c r="B547" s="350" t="s">
        <v>1751</v>
      </c>
      <c r="C547" s="351" t="s">
        <v>1696</v>
      </c>
      <c r="D547" s="350" t="s">
        <v>1821</v>
      </c>
      <c r="E547" s="351">
        <v>0</v>
      </c>
      <c r="F547" s="350" t="s">
        <v>1897</v>
      </c>
      <c r="G547" s="352"/>
      <c r="H547" s="350" t="s">
        <v>1698</v>
      </c>
      <c r="I547" s="350" t="s">
        <v>1699</v>
      </c>
      <c r="J547" s="76">
        <v>1</v>
      </c>
      <c r="K547" s="76">
        <v>1</v>
      </c>
      <c r="L547" s="353"/>
      <c r="M547" s="350" t="s">
        <v>2002</v>
      </c>
      <c r="N547" s="511" t="s">
        <v>2003</v>
      </c>
      <c r="O547" s="76">
        <v>1</v>
      </c>
      <c r="P547" s="76">
        <v>4</v>
      </c>
      <c r="Q547" s="485">
        <f>Fuente!AT551</f>
        <v>1</v>
      </c>
      <c r="R547" s="485">
        <f>Fuente!AU551</f>
        <v>0</v>
      </c>
      <c r="S547" s="485">
        <f>Fuente!AV551</f>
        <v>0</v>
      </c>
      <c r="T547" s="485">
        <f>Fuente!AW551</f>
        <v>0</v>
      </c>
      <c r="U547" s="467">
        <f>Fuente!AM551</f>
        <v>0</v>
      </c>
      <c r="V547" s="485">
        <f>Fuente!AY551</f>
        <v>1</v>
      </c>
      <c r="W547" s="485">
        <f>Fuente!AZ551</f>
        <v>1</v>
      </c>
      <c r="X547" s="485">
        <f>Fuente!BA551</f>
        <v>0</v>
      </c>
      <c r="Y547" s="485">
        <f>Fuente!BB551</f>
        <v>0</v>
      </c>
      <c r="Z547" s="485">
        <f>Fuente!BC551</f>
        <v>0</v>
      </c>
      <c r="AA547" s="467">
        <f>Fuente!BD551</f>
        <v>1</v>
      </c>
      <c r="AB547" s="477" t="s">
        <v>412</v>
      </c>
      <c r="AC547" s="477" t="s">
        <v>73</v>
      </c>
      <c r="AD547" s="477" t="s">
        <v>50</v>
      </c>
      <c r="AE547" s="477">
        <v>41</v>
      </c>
      <c r="AF547" s="482" t="s">
        <v>1681</v>
      </c>
      <c r="AG547" s="480" t="str">
        <f>Fuente!AB547</f>
        <v>SECRETARÍA DE LA MUJER</v>
      </c>
      <c r="AH547" s="81"/>
      <c r="AI547" s="81"/>
      <c r="AJ547" s="92"/>
    </row>
    <row r="548" spans="1:36" ht="94.5" x14ac:dyDescent="0.2">
      <c r="A548" s="76">
        <v>6</v>
      </c>
      <c r="B548" s="350" t="s">
        <v>1751</v>
      </c>
      <c r="C548" s="351" t="s">
        <v>1696</v>
      </c>
      <c r="D548" s="350" t="s">
        <v>1821</v>
      </c>
      <c r="E548" s="351" t="s">
        <v>1697</v>
      </c>
      <c r="F548" s="350" t="s">
        <v>1897</v>
      </c>
      <c r="G548" s="352"/>
      <c r="H548" s="352" t="s">
        <v>1705</v>
      </c>
      <c r="I548" s="350" t="s">
        <v>1706</v>
      </c>
      <c r="J548" s="76">
        <v>3400</v>
      </c>
      <c r="K548" s="76">
        <v>6000</v>
      </c>
      <c r="L548" s="353"/>
      <c r="M548" s="350" t="s">
        <v>1707</v>
      </c>
      <c r="N548" s="511" t="s">
        <v>1708</v>
      </c>
      <c r="O548" s="76" t="s">
        <v>55</v>
      </c>
      <c r="P548" s="76">
        <v>3</v>
      </c>
      <c r="Q548" s="485">
        <f>Fuente!AT552</f>
        <v>4</v>
      </c>
      <c r="R548" s="485">
        <f>Fuente!AU552</f>
        <v>0</v>
      </c>
      <c r="S548" s="485">
        <f>Fuente!AV552</f>
        <v>0</v>
      </c>
      <c r="T548" s="485">
        <f>Fuente!AW552</f>
        <v>0</v>
      </c>
      <c r="U548" s="467">
        <f>Fuente!AM552</f>
        <v>1</v>
      </c>
      <c r="V548" s="485">
        <f>Fuente!AY552</f>
        <v>1</v>
      </c>
      <c r="W548" s="485">
        <f>Fuente!AZ552</f>
        <v>1</v>
      </c>
      <c r="X548" s="485">
        <f>Fuente!BA552</f>
        <v>0</v>
      </c>
      <c r="Y548" s="485">
        <f>Fuente!BB552</f>
        <v>0</v>
      </c>
      <c r="Z548" s="485">
        <f>Fuente!BC552</f>
        <v>0</v>
      </c>
      <c r="AA548" s="467">
        <f>Fuente!BD552</f>
        <v>1</v>
      </c>
      <c r="AB548" s="477" t="s">
        <v>420</v>
      </c>
      <c r="AC548" s="477" t="s">
        <v>50</v>
      </c>
      <c r="AD548" s="477" t="s">
        <v>50</v>
      </c>
      <c r="AE548" s="477">
        <v>41</v>
      </c>
      <c r="AF548" s="482" t="s">
        <v>1681</v>
      </c>
      <c r="AG548" s="480" t="str">
        <f>Fuente!AB548</f>
        <v>SECRETARÍA DE LA MUJER</v>
      </c>
      <c r="AH548" s="81"/>
      <c r="AI548" s="81"/>
      <c r="AJ548" s="92"/>
    </row>
    <row r="549" spans="1:36" ht="78.75" x14ac:dyDescent="0.2">
      <c r="A549" s="76">
        <v>6</v>
      </c>
      <c r="B549" s="350" t="s">
        <v>1751</v>
      </c>
      <c r="C549" s="351" t="s">
        <v>1696</v>
      </c>
      <c r="D549" s="350" t="s">
        <v>1821</v>
      </c>
      <c r="E549" s="351" t="s">
        <v>1697</v>
      </c>
      <c r="F549" s="350" t="s">
        <v>1897</v>
      </c>
      <c r="G549" s="352"/>
      <c r="H549" s="352" t="s">
        <v>1698</v>
      </c>
      <c r="I549" s="350" t="s">
        <v>1699</v>
      </c>
      <c r="J549" s="76">
        <v>1</v>
      </c>
      <c r="K549" s="76">
        <v>1</v>
      </c>
      <c r="L549" s="353"/>
      <c r="M549" s="511" t="s">
        <v>1709</v>
      </c>
      <c r="N549" s="511" t="s">
        <v>1710</v>
      </c>
      <c r="O549" s="76">
        <v>0</v>
      </c>
      <c r="P549" s="76">
        <v>1</v>
      </c>
      <c r="Q549" s="485">
        <f>Fuente!AT553</f>
        <v>0</v>
      </c>
      <c r="R549" s="485">
        <f>Fuente!AU553</f>
        <v>0</v>
      </c>
      <c r="S549" s="485">
        <f>Fuente!AV553</f>
        <v>0</v>
      </c>
      <c r="T549" s="485">
        <f>Fuente!AW553</f>
        <v>0</v>
      </c>
      <c r="U549" s="467">
        <f>Fuente!AM553</f>
        <v>0</v>
      </c>
      <c r="V549" s="485">
        <f>Fuente!AY553</f>
        <v>1</v>
      </c>
      <c r="W549" s="485">
        <f>Fuente!AZ553</f>
        <v>0</v>
      </c>
      <c r="X549" s="485">
        <f>Fuente!BA553</f>
        <v>0</v>
      </c>
      <c r="Y549" s="485">
        <f>Fuente!BB553</f>
        <v>0</v>
      </c>
      <c r="Z549" s="485">
        <f>Fuente!BC553</f>
        <v>0</v>
      </c>
      <c r="AA549" s="467">
        <f>Fuente!BD553</f>
        <v>0</v>
      </c>
      <c r="AB549" s="477" t="s">
        <v>412</v>
      </c>
      <c r="AC549" s="477" t="s">
        <v>73</v>
      </c>
      <c r="AD549" s="477" t="s">
        <v>50</v>
      </c>
      <c r="AE549" s="477">
        <v>41</v>
      </c>
      <c r="AF549" s="482" t="s">
        <v>1663</v>
      </c>
      <c r="AG549" s="480" t="str">
        <f>Fuente!AB549</f>
        <v>SECRETARÍA DE LA MUJER</v>
      </c>
      <c r="AH549" s="81"/>
      <c r="AI549" s="81"/>
      <c r="AJ549" s="92"/>
    </row>
    <row r="550" spans="1:36" ht="78.75" x14ac:dyDescent="0.2">
      <c r="A550" s="76">
        <v>6</v>
      </c>
      <c r="B550" s="350" t="s">
        <v>1751</v>
      </c>
      <c r="C550" s="351" t="s">
        <v>1696</v>
      </c>
      <c r="D550" s="350" t="s">
        <v>1821</v>
      </c>
      <c r="E550" s="351" t="s">
        <v>1697</v>
      </c>
      <c r="F550" s="350" t="s">
        <v>1897</v>
      </c>
      <c r="G550" s="352"/>
      <c r="H550" s="352" t="s">
        <v>1698</v>
      </c>
      <c r="I550" s="350" t="s">
        <v>1699</v>
      </c>
      <c r="J550" s="76">
        <v>1</v>
      </c>
      <c r="K550" s="76">
        <v>1</v>
      </c>
      <c r="L550" s="353"/>
      <c r="M550" s="350" t="s">
        <v>1711</v>
      </c>
      <c r="N550" s="511" t="s">
        <v>1712</v>
      </c>
      <c r="O550" s="76">
        <v>0</v>
      </c>
      <c r="P550" s="76">
        <v>1</v>
      </c>
      <c r="Q550" s="485">
        <f>Fuente!AT554</f>
        <v>0</v>
      </c>
      <c r="R550" s="485">
        <f>Fuente!AU554</f>
        <v>0</v>
      </c>
      <c r="S550" s="485">
        <f>Fuente!AV554</f>
        <v>0</v>
      </c>
      <c r="T550" s="485">
        <f>Fuente!AW554</f>
        <v>0</v>
      </c>
      <c r="U550" s="467">
        <f>Fuente!AM554</f>
        <v>0</v>
      </c>
      <c r="V550" s="485">
        <f>Fuente!AY554</f>
        <v>1</v>
      </c>
      <c r="W550" s="485">
        <f>Fuente!AZ554</f>
        <v>0</v>
      </c>
      <c r="X550" s="485">
        <f>Fuente!BA554</f>
        <v>0</v>
      </c>
      <c r="Y550" s="485">
        <f>Fuente!BB554</f>
        <v>0</v>
      </c>
      <c r="Z550" s="485">
        <f>Fuente!BC554</f>
        <v>0</v>
      </c>
      <c r="AA550" s="467">
        <f>Fuente!BD554</f>
        <v>0</v>
      </c>
      <c r="AB550" s="477" t="s">
        <v>412</v>
      </c>
      <c r="AC550" s="477" t="s">
        <v>50</v>
      </c>
      <c r="AD550" s="477" t="s">
        <v>50</v>
      </c>
      <c r="AE550" s="477">
        <v>41</v>
      </c>
      <c r="AF550" s="482" t="s">
        <v>1663</v>
      </c>
      <c r="AG550" s="480" t="str">
        <f>Fuente!AB550</f>
        <v>SECRETARÍA DE LA MUJER</v>
      </c>
      <c r="AH550" s="81"/>
      <c r="AI550" s="81"/>
      <c r="AJ550" s="81"/>
    </row>
    <row r="551" spans="1:36" ht="63" x14ac:dyDescent="0.2">
      <c r="A551" s="76">
        <v>6</v>
      </c>
      <c r="B551" s="350" t="s">
        <v>1751</v>
      </c>
      <c r="C551" s="351" t="s">
        <v>1696</v>
      </c>
      <c r="D551" s="350" t="s">
        <v>1821</v>
      </c>
      <c r="E551" s="351" t="s">
        <v>1697</v>
      </c>
      <c r="F551" s="350" t="s">
        <v>1897</v>
      </c>
      <c r="G551" s="352"/>
      <c r="H551" s="352" t="s">
        <v>1713</v>
      </c>
      <c r="I551" s="350" t="s">
        <v>1714</v>
      </c>
      <c r="J551" s="76">
        <v>300</v>
      </c>
      <c r="K551" s="76">
        <v>500</v>
      </c>
      <c r="L551" s="353"/>
      <c r="M551" s="350" t="s">
        <v>1715</v>
      </c>
      <c r="N551" s="511" t="s">
        <v>1716</v>
      </c>
      <c r="O551" s="76">
        <v>1</v>
      </c>
      <c r="P551" s="76">
        <v>1</v>
      </c>
      <c r="Q551" s="485">
        <f>Fuente!AT555</f>
        <v>0</v>
      </c>
      <c r="R551" s="485">
        <f>Fuente!AU555</f>
        <v>0</v>
      </c>
      <c r="S551" s="485">
        <f>Fuente!AV555</f>
        <v>0</v>
      </c>
      <c r="T551" s="485">
        <f>Fuente!AW555</f>
        <v>0</v>
      </c>
      <c r="U551" s="467">
        <f>Fuente!AM555</f>
        <v>0</v>
      </c>
      <c r="V551" s="485">
        <f>Fuente!AY555</f>
        <v>1</v>
      </c>
      <c r="W551" s="485">
        <f>Fuente!AZ555</f>
        <v>0</v>
      </c>
      <c r="X551" s="485">
        <f>Fuente!BA555</f>
        <v>0</v>
      </c>
      <c r="Y551" s="485">
        <f>Fuente!BB555</f>
        <v>0</v>
      </c>
      <c r="Z551" s="485">
        <f>Fuente!BC555</f>
        <v>0</v>
      </c>
      <c r="AA551" s="467">
        <f>Fuente!BD555</f>
        <v>0</v>
      </c>
      <c r="AB551" s="477" t="s">
        <v>412</v>
      </c>
      <c r="AC551" s="477" t="s">
        <v>50</v>
      </c>
      <c r="AD551" s="477" t="s">
        <v>50</v>
      </c>
      <c r="AE551" s="477">
        <v>41</v>
      </c>
      <c r="AF551" s="482" t="s">
        <v>1663</v>
      </c>
      <c r="AG551" s="480" t="str">
        <f>Fuente!AB552</f>
        <v>SECRETARÍA DE LA MUJER</v>
      </c>
      <c r="AH551" s="81"/>
      <c r="AI551" s="81"/>
      <c r="AJ551" s="81"/>
    </row>
    <row r="552" spans="1:36" ht="94.5" x14ac:dyDescent="0.2">
      <c r="A552" s="76">
        <v>6</v>
      </c>
      <c r="B552" s="350" t="s">
        <v>1751</v>
      </c>
      <c r="C552" s="351" t="s">
        <v>1696</v>
      </c>
      <c r="D552" s="350" t="s">
        <v>1821</v>
      </c>
      <c r="E552" s="351" t="s">
        <v>1697</v>
      </c>
      <c r="F552" s="350" t="s">
        <v>1897</v>
      </c>
      <c r="G552" s="352"/>
      <c r="H552" s="352" t="s">
        <v>1717</v>
      </c>
      <c r="I552" s="350" t="s">
        <v>1718</v>
      </c>
      <c r="J552" s="76">
        <v>0</v>
      </c>
      <c r="K552" s="76">
        <v>1</v>
      </c>
      <c r="L552" s="353"/>
      <c r="M552" s="350" t="s">
        <v>1719</v>
      </c>
      <c r="N552" s="511" t="s">
        <v>1720</v>
      </c>
      <c r="O552" s="76">
        <v>0</v>
      </c>
      <c r="P552" s="76">
        <v>1</v>
      </c>
      <c r="Q552" s="485">
        <f>Fuente!AT556</f>
        <v>1</v>
      </c>
      <c r="R552" s="485">
        <f>Fuente!AU556</f>
        <v>0</v>
      </c>
      <c r="S552" s="485">
        <f>Fuente!AV556</f>
        <v>0</v>
      </c>
      <c r="T552" s="485">
        <f>Fuente!AW556</f>
        <v>0</v>
      </c>
      <c r="U552" s="467">
        <f>Fuente!AM556</f>
        <v>1</v>
      </c>
      <c r="V552" s="485">
        <f>Fuente!AY556</f>
        <v>1</v>
      </c>
      <c r="W552" s="485">
        <f>Fuente!AZ556</f>
        <v>0</v>
      </c>
      <c r="X552" s="485">
        <f>Fuente!BA556</f>
        <v>0</v>
      </c>
      <c r="Y552" s="485">
        <f>Fuente!BB556</f>
        <v>0</v>
      </c>
      <c r="Z552" s="485">
        <f>Fuente!BC556</f>
        <v>0</v>
      </c>
      <c r="AA552" s="467">
        <f>Fuente!BD556</f>
        <v>0</v>
      </c>
      <c r="AB552" s="477" t="s">
        <v>412</v>
      </c>
      <c r="AC552" s="477" t="s">
        <v>50</v>
      </c>
      <c r="AD552" s="477" t="s">
        <v>50</v>
      </c>
      <c r="AE552" s="477">
        <v>41</v>
      </c>
      <c r="AF552" s="482" t="s">
        <v>1663</v>
      </c>
      <c r="AG552" s="480" t="str">
        <f>Fuente!AB553</f>
        <v>SECRETARÍA DE LA MUJER</v>
      </c>
      <c r="AH552" s="90"/>
      <c r="AI552" s="81"/>
      <c r="AJ552" s="92"/>
    </row>
    <row r="553" spans="1:36" ht="126" x14ac:dyDescent="0.2">
      <c r="A553" s="76">
        <v>6</v>
      </c>
      <c r="B553" s="350" t="s">
        <v>1751</v>
      </c>
      <c r="C553" s="351" t="s">
        <v>1696</v>
      </c>
      <c r="D553" s="350" t="s">
        <v>1821</v>
      </c>
      <c r="E553" s="351" t="s">
        <v>1697</v>
      </c>
      <c r="F553" s="350" t="s">
        <v>1897</v>
      </c>
      <c r="G553" s="352"/>
      <c r="H553" s="352" t="s">
        <v>1721</v>
      </c>
      <c r="I553" s="350" t="s">
        <v>1722</v>
      </c>
      <c r="J553" s="76">
        <v>3400</v>
      </c>
      <c r="K553" s="76">
        <v>6000</v>
      </c>
      <c r="L553" s="353"/>
      <c r="M553" s="350" t="s">
        <v>1723</v>
      </c>
      <c r="N553" s="511" t="s">
        <v>1916</v>
      </c>
      <c r="O553" s="76">
        <v>0</v>
      </c>
      <c r="P553" s="76">
        <v>1</v>
      </c>
      <c r="Q553" s="485">
        <f>Fuente!AT557</f>
        <v>2</v>
      </c>
      <c r="R553" s="485">
        <f>Fuente!AU557</f>
        <v>0</v>
      </c>
      <c r="S553" s="485">
        <f>Fuente!AV557</f>
        <v>0</v>
      </c>
      <c r="T553" s="485">
        <f>Fuente!AW557</f>
        <v>0</v>
      </c>
      <c r="U553" s="467">
        <f>Fuente!AM557</f>
        <v>1</v>
      </c>
      <c r="V553" s="485">
        <f>Fuente!AY557</f>
        <v>1</v>
      </c>
      <c r="W553" s="485">
        <f>Fuente!AZ557</f>
        <v>0</v>
      </c>
      <c r="X553" s="485">
        <f>Fuente!BA557</f>
        <v>0</v>
      </c>
      <c r="Y553" s="485">
        <f>Fuente!BB557</f>
        <v>0</v>
      </c>
      <c r="Z553" s="485">
        <f>Fuente!BC557</f>
        <v>0</v>
      </c>
      <c r="AA553" s="467">
        <f>Fuente!BD557</f>
        <v>0</v>
      </c>
      <c r="AB553" s="477" t="s">
        <v>412</v>
      </c>
      <c r="AC553" s="477" t="s">
        <v>50</v>
      </c>
      <c r="AD553" s="477" t="s">
        <v>50</v>
      </c>
      <c r="AE553" s="477">
        <v>41</v>
      </c>
      <c r="AF553" s="482" t="s">
        <v>1663</v>
      </c>
      <c r="AG553" s="480" t="str">
        <f>Fuente!AB554</f>
        <v>SECRETARÍA DE LA MUJER</v>
      </c>
      <c r="AH553" s="81"/>
      <c r="AI553" s="81"/>
      <c r="AJ553" s="92"/>
    </row>
    <row r="554" spans="1:36" ht="63" x14ac:dyDescent="0.2">
      <c r="A554" s="76">
        <v>6</v>
      </c>
      <c r="B554" s="350" t="s">
        <v>1751</v>
      </c>
      <c r="C554" s="351" t="s">
        <v>1724</v>
      </c>
      <c r="D554" s="350" t="s">
        <v>1822</v>
      </c>
      <c r="E554" s="351" t="s">
        <v>1725</v>
      </c>
      <c r="F554" s="350" t="s">
        <v>1898</v>
      </c>
      <c r="G554" s="351"/>
      <c r="H554" s="351" t="s">
        <v>1726</v>
      </c>
      <c r="I554" s="351" t="s">
        <v>1726</v>
      </c>
      <c r="J554" s="76">
        <v>15</v>
      </c>
      <c r="K554" s="76">
        <v>35</v>
      </c>
      <c r="L554" s="353"/>
      <c r="M554" s="350" t="s">
        <v>1727</v>
      </c>
      <c r="N554" s="350" t="s">
        <v>1211</v>
      </c>
      <c r="O554" s="76">
        <v>50</v>
      </c>
      <c r="P554" s="76">
        <v>100</v>
      </c>
      <c r="Q554" s="485">
        <f>Fuente!AT558</f>
        <v>25</v>
      </c>
      <c r="R554" s="485">
        <f>Fuente!AU558</f>
        <v>0</v>
      </c>
      <c r="S554" s="485">
        <f>Fuente!AV558</f>
        <v>0</v>
      </c>
      <c r="T554" s="485">
        <f>Fuente!AW558</f>
        <v>0</v>
      </c>
      <c r="U554" s="467">
        <f>Fuente!AM558</f>
        <v>0.2</v>
      </c>
      <c r="V554" s="485">
        <f>Fuente!AY558</f>
        <v>15</v>
      </c>
      <c r="W554" s="485">
        <f>Fuente!AZ558</f>
        <v>5</v>
      </c>
      <c r="X554" s="485">
        <f>Fuente!BA558</f>
        <v>0</v>
      </c>
      <c r="Y554" s="485">
        <f>Fuente!BB558</f>
        <v>0</v>
      </c>
      <c r="Z554" s="485">
        <f>Fuente!BC558</f>
        <v>0</v>
      </c>
      <c r="AA554" s="467">
        <f>Fuente!BD558</f>
        <v>0.33333333333333331</v>
      </c>
      <c r="AB554" s="477" t="s">
        <v>412</v>
      </c>
      <c r="AC554" s="477" t="s">
        <v>73</v>
      </c>
      <c r="AD554" s="477"/>
      <c r="AE554" s="477">
        <v>41</v>
      </c>
      <c r="AF554" s="482" t="s">
        <v>1663</v>
      </c>
      <c r="AG554" s="480" t="str">
        <f>Fuente!AB555</f>
        <v>SECRETARÍA DE LA MUJER</v>
      </c>
      <c r="AH554" s="81"/>
      <c r="AI554" s="81"/>
      <c r="AJ554" s="92"/>
    </row>
    <row r="555" spans="1:36" ht="47.25" x14ac:dyDescent="0.2">
      <c r="A555" s="76">
        <v>6</v>
      </c>
      <c r="B555" s="350" t="s">
        <v>1751</v>
      </c>
      <c r="C555" s="351" t="s">
        <v>1724</v>
      </c>
      <c r="D555" s="350" t="s">
        <v>1822</v>
      </c>
      <c r="E555" s="351" t="s">
        <v>1725</v>
      </c>
      <c r="F555" s="350" t="s">
        <v>1898</v>
      </c>
      <c r="G555" s="351"/>
      <c r="H555" s="351" t="s">
        <v>1726</v>
      </c>
      <c r="I555" s="351" t="s">
        <v>1726</v>
      </c>
      <c r="J555" s="76">
        <v>15</v>
      </c>
      <c r="K555" s="76">
        <v>35</v>
      </c>
      <c r="L555" s="353"/>
      <c r="M555" s="350" t="s">
        <v>1728</v>
      </c>
      <c r="N555" s="350" t="s">
        <v>1728</v>
      </c>
      <c r="O555" s="76">
        <v>25</v>
      </c>
      <c r="P555" s="76">
        <v>40</v>
      </c>
      <c r="Q555" s="485">
        <f>Fuente!AT559</f>
        <v>25</v>
      </c>
      <c r="R555" s="485">
        <f>Fuente!AU559</f>
        <v>0</v>
      </c>
      <c r="S555" s="485">
        <f>Fuente!AV559</f>
        <v>0</v>
      </c>
      <c r="T555" s="485">
        <f>Fuente!AW559</f>
        <v>0</v>
      </c>
      <c r="U555" s="467">
        <f>Fuente!AM559</f>
        <v>0.625</v>
      </c>
      <c r="V555" s="485">
        <f>Fuente!AY559</f>
        <v>15</v>
      </c>
      <c r="W555" s="485">
        <f>Fuente!AZ559</f>
        <v>0</v>
      </c>
      <c r="X555" s="485">
        <f>Fuente!BA559</f>
        <v>0</v>
      </c>
      <c r="Y555" s="485">
        <f>Fuente!BB559</f>
        <v>0</v>
      </c>
      <c r="Z555" s="485">
        <f>Fuente!BC559</f>
        <v>0</v>
      </c>
      <c r="AA555" s="467">
        <f>Fuente!BD559</f>
        <v>0</v>
      </c>
      <c r="AB555" s="477" t="s">
        <v>412</v>
      </c>
      <c r="AC555" s="477" t="s">
        <v>73</v>
      </c>
      <c r="AD555" s="480" t="s">
        <v>1704</v>
      </c>
      <c r="AE555" s="477">
        <v>41</v>
      </c>
      <c r="AF555" s="482" t="s">
        <v>1663</v>
      </c>
      <c r="AG555" s="480" t="str">
        <f>Fuente!AB556</f>
        <v>SECRETARÍA DE LA MUJER</v>
      </c>
      <c r="AH555" s="81"/>
      <c r="AI555" s="81"/>
      <c r="AJ555" s="92"/>
    </row>
    <row r="556" spans="1:36" ht="47.25" x14ac:dyDescent="0.2">
      <c r="A556" s="76">
        <v>6</v>
      </c>
      <c r="B556" s="350" t="s">
        <v>1751</v>
      </c>
      <c r="C556" s="351" t="s">
        <v>1724</v>
      </c>
      <c r="D556" s="350" t="s">
        <v>1822</v>
      </c>
      <c r="E556" s="351" t="s">
        <v>1725</v>
      </c>
      <c r="F556" s="350" t="s">
        <v>1898</v>
      </c>
      <c r="G556" s="351"/>
      <c r="H556" s="351" t="s">
        <v>1726</v>
      </c>
      <c r="I556" s="351" t="s">
        <v>1726</v>
      </c>
      <c r="J556" s="76">
        <v>15</v>
      </c>
      <c r="K556" s="76">
        <v>35</v>
      </c>
      <c r="L556" s="353"/>
      <c r="M556" s="350" t="s">
        <v>1729</v>
      </c>
      <c r="N556" s="350" t="s">
        <v>1729</v>
      </c>
      <c r="O556" s="76">
        <v>0</v>
      </c>
      <c r="P556" s="76">
        <v>6</v>
      </c>
      <c r="Q556" s="485">
        <f>Fuente!AT560</f>
        <v>2.5</v>
      </c>
      <c r="R556" s="485">
        <f>Fuente!AU560</f>
        <v>0</v>
      </c>
      <c r="S556" s="485">
        <f>Fuente!AV560</f>
        <v>0</v>
      </c>
      <c r="T556" s="485">
        <f>Fuente!AW560</f>
        <v>0</v>
      </c>
      <c r="U556" s="467">
        <f>Fuente!AM560</f>
        <v>0.33333333333333331</v>
      </c>
      <c r="V556" s="485">
        <f>Fuente!AY560</f>
        <v>2</v>
      </c>
      <c r="W556" s="485">
        <f>Fuente!AZ560</f>
        <v>0.5</v>
      </c>
      <c r="X556" s="485">
        <f>Fuente!BA560</f>
        <v>0</v>
      </c>
      <c r="Y556" s="485">
        <f>Fuente!BB560</f>
        <v>0</v>
      </c>
      <c r="Z556" s="485">
        <f>Fuente!BC560</f>
        <v>0</v>
      </c>
      <c r="AA556" s="467">
        <f>Fuente!BD560</f>
        <v>0.25</v>
      </c>
      <c r="AB556" s="477" t="s">
        <v>412</v>
      </c>
      <c r="AC556" s="477" t="s">
        <v>50</v>
      </c>
      <c r="AD556" s="477" t="s">
        <v>50</v>
      </c>
      <c r="AE556" s="477">
        <v>41</v>
      </c>
      <c r="AF556" s="482" t="s">
        <v>1663</v>
      </c>
      <c r="AG556" s="480" t="str">
        <f>Fuente!AB557</f>
        <v>SECRETARÍA DE LA MUJER</v>
      </c>
      <c r="AH556" s="81"/>
      <c r="AI556" s="81"/>
      <c r="AJ556" s="92"/>
    </row>
    <row r="557" spans="1:36" ht="110.25" x14ac:dyDescent="0.2">
      <c r="A557" s="76">
        <v>6</v>
      </c>
      <c r="B557" s="350" t="s">
        <v>1751</v>
      </c>
      <c r="C557" s="351" t="s">
        <v>1724</v>
      </c>
      <c r="D557" s="350" t="s">
        <v>1822</v>
      </c>
      <c r="E557" s="351" t="s">
        <v>1725</v>
      </c>
      <c r="F557" s="350" t="s">
        <v>1898</v>
      </c>
      <c r="G557" s="351"/>
      <c r="H557" s="351" t="s">
        <v>1726</v>
      </c>
      <c r="I557" s="351" t="s">
        <v>1726</v>
      </c>
      <c r="J557" s="76">
        <v>15</v>
      </c>
      <c r="K557" s="76">
        <v>35</v>
      </c>
      <c r="L557" s="353"/>
      <c r="M557" s="350" t="s">
        <v>1730</v>
      </c>
      <c r="N557" s="350" t="s">
        <v>1730</v>
      </c>
      <c r="O557" s="76">
        <v>0</v>
      </c>
      <c r="P557" s="76">
        <v>50</v>
      </c>
      <c r="Q557" s="485">
        <f>Fuente!AT561</f>
        <v>30</v>
      </c>
      <c r="R557" s="485">
        <f>Fuente!AU561</f>
        <v>0</v>
      </c>
      <c r="S557" s="485">
        <f>Fuente!AV561</f>
        <v>0</v>
      </c>
      <c r="T557" s="485">
        <f>Fuente!AW561</f>
        <v>0</v>
      </c>
      <c r="U557" s="467">
        <f>Fuente!AM561</f>
        <v>0.6</v>
      </c>
      <c r="V557" s="485">
        <f>Fuente!AY561</f>
        <v>25</v>
      </c>
      <c r="W557" s="485">
        <f>Fuente!AZ561</f>
        <v>0</v>
      </c>
      <c r="X557" s="485">
        <f>Fuente!BA561</f>
        <v>0</v>
      </c>
      <c r="Y557" s="485">
        <f>Fuente!BB561</f>
        <v>0</v>
      </c>
      <c r="Z557" s="485">
        <f>Fuente!BC561</f>
        <v>0</v>
      </c>
      <c r="AA557" s="467">
        <f>Fuente!BD561</f>
        <v>0</v>
      </c>
      <c r="AB557" s="477" t="s">
        <v>203</v>
      </c>
      <c r="AC557" s="477"/>
      <c r="AD557" s="480" t="s">
        <v>1212</v>
      </c>
      <c r="AE557" s="477">
        <v>45</v>
      </c>
      <c r="AF557" s="482">
        <v>10</v>
      </c>
      <c r="AG557" s="480" t="str">
        <f>Fuente!AB558</f>
        <v>SECRETARÍA DEL INTERIOR</v>
      </c>
      <c r="AH557" s="81"/>
      <c r="AI557" s="81"/>
      <c r="AJ557" s="81"/>
    </row>
    <row r="558" spans="1:36" ht="63" x14ac:dyDescent="0.2">
      <c r="A558" s="76">
        <v>6</v>
      </c>
      <c r="B558" s="350" t="s">
        <v>1751</v>
      </c>
      <c r="C558" s="351" t="s">
        <v>1731</v>
      </c>
      <c r="D558" s="350" t="s">
        <v>1823</v>
      </c>
      <c r="E558" s="351" t="s">
        <v>1732</v>
      </c>
      <c r="F558" s="350" t="s">
        <v>1899</v>
      </c>
      <c r="G558" s="351"/>
      <c r="H558" s="351" t="s">
        <v>1733</v>
      </c>
      <c r="I558" s="351" t="s">
        <v>1733</v>
      </c>
      <c r="J558" s="76">
        <v>5</v>
      </c>
      <c r="K558" s="76">
        <v>45</v>
      </c>
      <c r="L558" s="353"/>
      <c r="M558" s="350" t="s">
        <v>1734</v>
      </c>
      <c r="N558" s="350" t="s">
        <v>1734</v>
      </c>
      <c r="O558" s="76">
        <v>50</v>
      </c>
      <c r="P558" s="76">
        <v>100</v>
      </c>
      <c r="Q558" s="485">
        <f>Fuente!AT562</f>
        <v>25</v>
      </c>
      <c r="R558" s="485">
        <f>Fuente!AU562</f>
        <v>0</v>
      </c>
      <c r="S558" s="485">
        <f>Fuente!AV562</f>
        <v>0</v>
      </c>
      <c r="T558" s="485">
        <f>Fuente!AW562</f>
        <v>0</v>
      </c>
      <c r="U558" s="467">
        <f>Fuente!AM562</f>
        <v>0.2</v>
      </c>
      <c r="V558" s="485">
        <f>Fuente!AY562</f>
        <v>15</v>
      </c>
      <c r="W558" s="485">
        <f>Fuente!AZ562</f>
        <v>5</v>
      </c>
      <c r="X558" s="485">
        <f>Fuente!BA562</f>
        <v>0</v>
      </c>
      <c r="Y558" s="485">
        <f>Fuente!BB562</f>
        <v>0</v>
      </c>
      <c r="Z558" s="485">
        <f>Fuente!BC562</f>
        <v>0</v>
      </c>
      <c r="AA558" s="467">
        <f>Fuente!BD562</f>
        <v>0.33333333333333331</v>
      </c>
      <c r="AB558" s="477" t="s">
        <v>49</v>
      </c>
      <c r="AC558" s="477"/>
      <c r="AD558" s="480" t="s">
        <v>1212</v>
      </c>
      <c r="AE558" s="477">
        <v>45</v>
      </c>
      <c r="AF558" s="482">
        <v>10</v>
      </c>
      <c r="AG558" s="480" t="str">
        <f>Fuente!AB559</f>
        <v>SECRETARÍA DEL INTERIOR</v>
      </c>
      <c r="AH558" s="81"/>
      <c r="AI558" s="81"/>
      <c r="AJ558" s="81"/>
    </row>
    <row r="559" spans="1:36" ht="78.75" x14ac:dyDescent="0.2">
      <c r="A559" s="76">
        <v>6</v>
      </c>
      <c r="B559" s="350" t="s">
        <v>1751</v>
      </c>
      <c r="C559" s="351" t="s">
        <v>1731</v>
      </c>
      <c r="D559" s="350" t="s">
        <v>1823</v>
      </c>
      <c r="E559" s="351" t="s">
        <v>1732</v>
      </c>
      <c r="F559" s="350" t="s">
        <v>1899</v>
      </c>
      <c r="G559" s="351"/>
      <c r="H559" s="351" t="s">
        <v>1733</v>
      </c>
      <c r="I559" s="351" t="s">
        <v>1733</v>
      </c>
      <c r="J559" s="76">
        <v>5</v>
      </c>
      <c r="K559" s="76">
        <v>45</v>
      </c>
      <c r="L559" s="353"/>
      <c r="M559" s="350" t="s">
        <v>1735</v>
      </c>
      <c r="N559" s="350" t="s">
        <v>1735</v>
      </c>
      <c r="O559" s="76">
        <v>100</v>
      </c>
      <c r="P559" s="76">
        <v>100</v>
      </c>
      <c r="Q559" s="485">
        <f>Fuente!AT563</f>
        <v>15</v>
      </c>
      <c r="R559" s="485">
        <f>Fuente!AU563</f>
        <v>0</v>
      </c>
      <c r="S559" s="485">
        <f>Fuente!AV563</f>
        <v>0</v>
      </c>
      <c r="T559" s="485">
        <f>Fuente!AW563</f>
        <v>0</v>
      </c>
      <c r="U559" s="467">
        <f>Fuente!AM563</f>
        <v>0.3</v>
      </c>
      <c r="V559" s="485">
        <f>Fuente!AY563</f>
        <v>100</v>
      </c>
      <c r="W559" s="485">
        <f>Fuente!AZ563</f>
        <v>30</v>
      </c>
      <c r="X559" s="485">
        <f>Fuente!BA563</f>
        <v>0</v>
      </c>
      <c r="Y559" s="485">
        <f>Fuente!BB563</f>
        <v>0</v>
      </c>
      <c r="Z559" s="485">
        <f>Fuente!BC563</f>
        <v>0</v>
      </c>
      <c r="AA559" s="467">
        <f>Fuente!BD563</f>
        <v>0.3</v>
      </c>
      <c r="AB559" s="477" t="s">
        <v>203</v>
      </c>
      <c r="AC559" s="477"/>
      <c r="AD559" s="480" t="s">
        <v>1212</v>
      </c>
      <c r="AE559" s="477">
        <v>45</v>
      </c>
      <c r="AF559" s="482">
        <v>10</v>
      </c>
      <c r="AG559" s="480" t="str">
        <f>Fuente!AB560</f>
        <v xml:space="preserve">SECRETARÍA DEL INTERIOR </v>
      </c>
      <c r="AH559" s="81"/>
      <c r="AI559" s="81"/>
      <c r="AJ559" s="81"/>
    </row>
    <row r="560" spans="1:36" ht="78.75" x14ac:dyDescent="0.2">
      <c r="A560" s="76">
        <v>6</v>
      </c>
      <c r="B560" s="350" t="s">
        <v>1751</v>
      </c>
      <c r="C560" s="351" t="s">
        <v>1736</v>
      </c>
      <c r="D560" s="350" t="s">
        <v>1824</v>
      </c>
      <c r="E560" s="351" t="s">
        <v>1737</v>
      </c>
      <c r="F560" s="350" t="s">
        <v>1832</v>
      </c>
      <c r="G560" s="351"/>
      <c r="H560" s="351" t="s">
        <v>1738</v>
      </c>
      <c r="I560" s="351" t="s">
        <v>1738</v>
      </c>
      <c r="J560" s="76">
        <v>416</v>
      </c>
      <c r="K560" s="76">
        <v>120</v>
      </c>
      <c r="L560" s="353"/>
      <c r="M560" s="350" t="s">
        <v>1739</v>
      </c>
      <c r="N560" s="350" t="s">
        <v>1739</v>
      </c>
      <c r="O560" s="76">
        <v>0</v>
      </c>
      <c r="P560" s="76">
        <v>50</v>
      </c>
      <c r="Q560" s="485">
        <f>Fuente!AT564</f>
        <v>15</v>
      </c>
      <c r="R560" s="485">
        <f>Fuente!AU564</f>
        <v>0</v>
      </c>
      <c r="S560" s="485">
        <f>Fuente!AV564</f>
        <v>0</v>
      </c>
      <c r="T560" s="485">
        <f>Fuente!AW564</f>
        <v>0</v>
      </c>
      <c r="U560" s="467">
        <f>Fuente!AM564</f>
        <v>0.2</v>
      </c>
      <c r="V560" s="485">
        <f>Fuente!AY564</f>
        <v>15</v>
      </c>
      <c r="W560" s="485">
        <f>Fuente!AZ564</f>
        <v>5</v>
      </c>
      <c r="X560" s="485">
        <f>Fuente!BA564</f>
        <v>0</v>
      </c>
      <c r="Y560" s="485">
        <f>Fuente!BB564</f>
        <v>0</v>
      </c>
      <c r="Z560" s="485">
        <f>Fuente!BC564</f>
        <v>0</v>
      </c>
      <c r="AA560" s="467">
        <f>Fuente!BD564</f>
        <v>0.33333333333333331</v>
      </c>
      <c r="AB560" s="477" t="s">
        <v>203</v>
      </c>
      <c r="AC560" s="477"/>
      <c r="AD560" s="480" t="s">
        <v>1212</v>
      </c>
      <c r="AE560" s="477">
        <v>45</v>
      </c>
      <c r="AF560" s="482">
        <v>10</v>
      </c>
      <c r="AG560" s="480" t="str">
        <f>Fuente!AB561</f>
        <v>SECRETARÍA DEL INTERIOR</v>
      </c>
      <c r="AH560" s="81"/>
      <c r="AI560" s="81"/>
      <c r="AJ560" s="81"/>
    </row>
    <row r="561" spans="1:36" ht="78.75" x14ac:dyDescent="0.2">
      <c r="A561" s="76">
        <v>6</v>
      </c>
      <c r="B561" s="350" t="s">
        <v>1751</v>
      </c>
      <c r="C561" s="351" t="s">
        <v>1736</v>
      </c>
      <c r="D561" s="350" t="s">
        <v>1824</v>
      </c>
      <c r="E561" s="351" t="s">
        <v>1737</v>
      </c>
      <c r="F561" s="350" t="s">
        <v>1832</v>
      </c>
      <c r="G561" s="351"/>
      <c r="H561" s="351" t="s">
        <v>1738</v>
      </c>
      <c r="I561" s="351" t="s">
        <v>1738</v>
      </c>
      <c r="J561" s="76">
        <v>416</v>
      </c>
      <c r="K561" s="76">
        <v>120</v>
      </c>
      <c r="L561" s="353"/>
      <c r="M561" s="350" t="s">
        <v>1740</v>
      </c>
      <c r="N561" s="350" t="s">
        <v>1740</v>
      </c>
      <c r="O561" s="76">
        <v>0</v>
      </c>
      <c r="P561" s="76">
        <v>100</v>
      </c>
      <c r="Q561" s="485">
        <f>Fuente!AT565</f>
        <v>0</v>
      </c>
      <c r="R561" s="485">
        <f>Fuente!AU565</f>
        <v>0</v>
      </c>
      <c r="S561" s="485">
        <f>Fuente!AV565</f>
        <v>0</v>
      </c>
      <c r="T561" s="485">
        <f>Fuente!AW565</f>
        <v>0</v>
      </c>
      <c r="U561" s="467">
        <f>Fuente!AM565</f>
        <v>0</v>
      </c>
      <c r="V561" s="485">
        <f>Fuente!AY565</f>
        <v>45</v>
      </c>
      <c r="W561" s="485">
        <f>Fuente!AZ565</f>
        <v>0</v>
      </c>
      <c r="X561" s="485">
        <f>Fuente!BA565</f>
        <v>0</v>
      </c>
      <c r="Y561" s="485">
        <f>Fuente!BB565</f>
        <v>0</v>
      </c>
      <c r="Z561" s="485">
        <f>Fuente!BC565</f>
        <v>0</v>
      </c>
      <c r="AA561" s="467">
        <f>Fuente!BD565</f>
        <v>0</v>
      </c>
      <c r="AB561" s="477" t="s">
        <v>203</v>
      </c>
      <c r="AC561" s="477"/>
      <c r="AD561" s="480" t="s">
        <v>1212</v>
      </c>
      <c r="AE561" s="477">
        <v>45</v>
      </c>
      <c r="AF561" s="482">
        <v>10</v>
      </c>
      <c r="AG561" s="480" t="str">
        <f>Fuente!AB562</f>
        <v>SECRETARÍA DEL INTERIOR</v>
      </c>
      <c r="AH561" s="81"/>
      <c r="AI561" s="81"/>
      <c r="AJ561" s="81"/>
    </row>
    <row r="562" spans="1:36" ht="78.75" x14ac:dyDescent="0.2">
      <c r="A562" s="76">
        <v>6</v>
      </c>
      <c r="B562" s="350" t="s">
        <v>1751</v>
      </c>
      <c r="C562" s="351" t="s">
        <v>1741</v>
      </c>
      <c r="D562" s="350" t="s">
        <v>1825</v>
      </c>
      <c r="E562" s="351" t="s">
        <v>1742</v>
      </c>
      <c r="F562" s="350" t="s">
        <v>1900</v>
      </c>
      <c r="G562" s="351"/>
      <c r="H562" s="351" t="s">
        <v>1743</v>
      </c>
      <c r="I562" s="351" t="s">
        <v>1743</v>
      </c>
      <c r="J562" s="76">
        <v>0</v>
      </c>
      <c r="K562" s="76">
        <v>30</v>
      </c>
      <c r="L562" s="353"/>
      <c r="M562" s="350" t="s">
        <v>1744</v>
      </c>
      <c r="N562" s="350" t="s">
        <v>1744</v>
      </c>
      <c r="O562" s="76">
        <v>0</v>
      </c>
      <c r="P562" s="76">
        <v>1</v>
      </c>
      <c r="Q562" s="485">
        <f>Fuente!AT566</f>
        <v>0</v>
      </c>
      <c r="R562" s="485">
        <f>Fuente!AU566</f>
        <v>0</v>
      </c>
      <c r="S562" s="485">
        <f>Fuente!AV566</f>
        <v>0</v>
      </c>
      <c r="T562" s="485">
        <f>Fuente!AW566</f>
        <v>0</v>
      </c>
      <c r="U562" s="467">
        <f>Fuente!AM566</f>
        <v>0</v>
      </c>
      <c r="V562" s="485">
        <f>Fuente!AY566</f>
        <v>1</v>
      </c>
      <c r="W562" s="485">
        <f>Fuente!AZ566</f>
        <v>0</v>
      </c>
      <c r="X562" s="485">
        <f>Fuente!BA566</f>
        <v>0</v>
      </c>
      <c r="Y562" s="485">
        <f>Fuente!BB566</f>
        <v>0</v>
      </c>
      <c r="Z562" s="485">
        <f>Fuente!BC566</f>
        <v>0</v>
      </c>
      <c r="AA562" s="467">
        <f>Fuente!BD566</f>
        <v>0</v>
      </c>
      <c r="AB562" s="477" t="s">
        <v>78</v>
      </c>
      <c r="AC562" s="477"/>
      <c r="AD562" s="480" t="s">
        <v>1212</v>
      </c>
      <c r="AE562" s="477">
        <v>45</v>
      </c>
      <c r="AF562" s="482">
        <v>10</v>
      </c>
      <c r="AG562" s="480" t="str">
        <f>Fuente!AB563</f>
        <v>SECRETARÍA DEL INTERIOR</v>
      </c>
      <c r="AH562" s="81"/>
      <c r="AI562" s="81"/>
      <c r="AJ562" s="81"/>
    </row>
    <row r="563" spans="1:36" ht="78.75" x14ac:dyDescent="0.2">
      <c r="A563" s="76">
        <v>6</v>
      </c>
      <c r="B563" s="350" t="s">
        <v>1751</v>
      </c>
      <c r="C563" s="351" t="s">
        <v>1741</v>
      </c>
      <c r="D563" s="350" t="s">
        <v>1825</v>
      </c>
      <c r="E563" s="351" t="s">
        <v>1742</v>
      </c>
      <c r="F563" s="350" t="s">
        <v>1900</v>
      </c>
      <c r="G563" s="351"/>
      <c r="H563" s="351" t="s">
        <v>1743</v>
      </c>
      <c r="I563" s="351" t="s">
        <v>1743</v>
      </c>
      <c r="J563" s="76">
        <v>0</v>
      </c>
      <c r="K563" s="76">
        <v>30</v>
      </c>
      <c r="L563" s="353"/>
      <c r="M563" s="350" t="s">
        <v>1745</v>
      </c>
      <c r="N563" s="350" t="s">
        <v>1745</v>
      </c>
      <c r="O563" s="76">
        <v>0</v>
      </c>
      <c r="P563" s="76">
        <v>400</v>
      </c>
      <c r="Q563" s="485">
        <f>Fuente!AT567</f>
        <v>0</v>
      </c>
      <c r="R563" s="485">
        <f>Fuente!AU567</f>
        <v>0</v>
      </c>
      <c r="S563" s="485">
        <f>Fuente!AV567</f>
        <v>0</v>
      </c>
      <c r="T563" s="485">
        <f>Fuente!AW567</f>
        <v>0</v>
      </c>
      <c r="U563" s="467">
        <f>Fuente!AM567</f>
        <v>0</v>
      </c>
      <c r="V563" s="485">
        <f>Fuente!AY567</f>
        <v>150</v>
      </c>
      <c r="W563" s="485">
        <f>Fuente!AZ567</f>
        <v>0</v>
      </c>
      <c r="X563" s="485">
        <f>Fuente!BA567</f>
        <v>0</v>
      </c>
      <c r="Y563" s="485">
        <f>Fuente!BB567</f>
        <v>0</v>
      </c>
      <c r="Z563" s="485">
        <f>Fuente!BC567</f>
        <v>0</v>
      </c>
      <c r="AA563" s="467">
        <f>Fuente!BD567</f>
        <v>0</v>
      </c>
      <c r="AB563" s="477" t="s">
        <v>203</v>
      </c>
      <c r="AC563" s="477"/>
      <c r="AD563" s="480" t="s">
        <v>1212</v>
      </c>
      <c r="AE563" s="477">
        <v>45</v>
      </c>
      <c r="AF563" s="482">
        <v>10</v>
      </c>
      <c r="AG563" s="480" t="str">
        <f>Fuente!AB564</f>
        <v>SECRETARÍA DEL INTERIOR</v>
      </c>
      <c r="AH563" s="81"/>
      <c r="AI563" s="81"/>
      <c r="AJ563" s="81"/>
    </row>
    <row r="564" spans="1:36" ht="15.75" x14ac:dyDescent="0.25">
      <c r="T564"/>
    </row>
    <row r="565" spans="1:36" ht="15.75" x14ac:dyDescent="0.25">
      <c r="T565"/>
    </row>
  </sheetData>
  <autoFilter ref="A9:AJ563" xr:uid="{64EC6E19-9990-42BD-8AB3-16D0358C4152}"/>
  <mergeCells count="9">
    <mergeCell ref="A5:J6"/>
    <mergeCell ref="A8:AG8"/>
    <mergeCell ref="AH8:AJ8"/>
    <mergeCell ref="U6:V6"/>
    <mergeCell ref="W6:AD6"/>
    <mergeCell ref="K6:Q6"/>
    <mergeCell ref="K5:Q5"/>
    <mergeCell ref="W5:AD5"/>
    <mergeCell ref="U5:V5"/>
  </mergeCells>
  <phoneticPr fontId="23" type="noConversion"/>
  <conditionalFormatting sqref="AG6">
    <cfRule type="iconSet" priority="78">
      <iconSet iconSet="5Arrows">
        <cfvo type="percent" val="0"/>
        <cfvo type="num" val="0.2"/>
        <cfvo type="num" val="0.4"/>
        <cfvo type="num" val="0.6"/>
        <cfvo type="num" val="0.8"/>
      </iconSet>
    </cfRule>
  </conditionalFormatting>
  <conditionalFormatting sqref="AG6">
    <cfRule type="iconSet" priority="77">
      <iconSet iconSet="5Arrows">
        <cfvo type="percent" val="0"/>
        <cfvo type="num" val="0.25" gte="0"/>
        <cfvo type="num" val="0.4"/>
        <cfvo type="num" val="0.75"/>
        <cfvo type="num" val="0.75" gte="0"/>
      </iconSet>
    </cfRule>
  </conditionalFormatting>
  <conditionalFormatting sqref="AG5">
    <cfRule type="iconSet" priority="76">
      <iconSet iconSet="5Arrows">
        <cfvo type="percent" val="0"/>
        <cfvo type="num" val="0.2"/>
        <cfvo type="num" val="0.4"/>
        <cfvo type="num" val="0.6"/>
        <cfvo type="num" val="0.8"/>
      </iconSet>
    </cfRule>
  </conditionalFormatting>
  <conditionalFormatting sqref="AG5">
    <cfRule type="iconSet" priority="75">
      <iconSet iconSet="5Arrows">
        <cfvo type="percent" val="0"/>
        <cfvo type="num" val="0.15" gte="0"/>
        <cfvo type="num" val="0.25"/>
        <cfvo type="num" val="0.35"/>
        <cfvo type="num" val="0.49" gte="0"/>
      </iconSet>
    </cfRule>
  </conditionalFormatting>
  <conditionalFormatting sqref="AA307:AA563 AA10:AA305">
    <cfRule type="iconSet" priority="107">
      <iconSet iconSet="5Arrows">
        <cfvo type="percent" val="0"/>
        <cfvo type="num" val="0.51"/>
        <cfvo type="num" val="0.61"/>
        <cfvo type="num" val="0.66"/>
        <cfvo type="num" val="0.7"/>
      </iconSet>
    </cfRule>
  </conditionalFormatting>
  <conditionalFormatting sqref="AA307:AA563 AA10:AA305">
    <cfRule type="iconSet" priority="109">
      <iconSet iconSet="5Arrows">
        <cfvo type="percent" val="0"/>
        <cfvo type="num" val="0.15" gte="0"/>
        <cfvo type="num" val="0.25"/>
        <cfvo type="num" val="0.35"/>
        <cfvo type="num" val="0.49" gte="0"/>
      </iconSet>
    </cfRule>
  </conditionalFormatting>
  <conditionalFormatting sqref="U307:U563 U10:U305">
    <cfRule type="iconSet" priority="111">
      <iconSet iconSet="5Arrows">
        <cfvo type="percent" val="0"/>
        <cfvo type="num" val="0.51"/>
        <cfvo type="num" val="0.61"/>
        <cfvo type="num" val="0.66"/>
        <cfvo type="num" val="0.7"/>
      </iconSet>
    </cfRule>
  </conditionalFormatting>
  <conditionalFormatting sqref="U307:U563 U10:U305">
    <cfRule type="iconSet" priority="113">
      <iconSet iconSet="5Arrows">
        <cfvo type="percent" val="0"/>
        <cfvo type="num" val="0.15" gte="0"/>
        <cfvo type="num" val="0.25"/>
        <cfvo type="num" val="0.35"/>
        <cfvo type="num" val="0.49" gte="0"/>
      </iconSet>
    </cfRule>
  </conditionalFormatting>
  <conditionalFormatting sqref="AA306">
    <cfRule type="iconSet" priority="3">
      <iconSet iconSet="5Arrows">
        <cfvo type="percent" val="0"/>
        <cfvo type="num" val="0.51"/>
        <cfvo type="num" val="0.61"/>
        <cfvo type="num" val="0.66"/>
        <cfvo type="num" val="0.7"/>
      </iconSet>
    </cfRule>
  </conditionalFormatting>
  <conditionalFormatting sqref="AA306">
    <cfRule type="iconSet" priority="4">
      <iconSet iconSet="5Arrows">
        <cfvo type="percent" val="0"/>
        <cfvo type="num" val="0.15" gte="0"/>
        <cfvo type="num" val="0.25"/>
        <cfvo type="num" val="0.35"/>
        <cfvo type="num" val="0.49" gte="0"/>
      </iconSet>
    </cfRule>
  </conditionalFormatting>
  <conditionalFormatting sqref="U306">
    <cfRule type="iconSet" priority="1">
      <iconSet iconSet="5Arrows">
        <cfvo type="percent" val="0"/>
        <cfvo type="num" val="0.51"/>
        <cfvo type="num" val="0.61"/>
        <cfvo type="num" val="0.66"/>
        <cfvo type="num" val="0.7"/>
      </iconSet>
    </cfRule>
  </conditionalFormatting>
  <conditionalFormatting sqref="U306">
    <cfRule type="iconSet" priority="2">
      <iconSet iconSet="5Arrows">
        <cfvo type="percent" val="0"/>
        <cfvo type="num" val="0.15" gte="0"/>
        <cfvo type="num" val="0.25"/>
        <cfvo type="num" val="0.35"/>
        <cfvo type="num" val="0.49" gte="0"/>
      </iconSet>
    </cfRule>
  </conditionalFormatting>
  <printOptions horizontalCentered="1"/>
  <pageMargins left="0.70866141732283472" right="0.70866141732283472" top="0.35433070866141736" bottom="0.35433070866141736" header="0.31496062992125984" footer="0.31496062992125984"/>
  <pageSetup paperSize="121" scale="28" fitToHeight="0" orientation="landscape" r:id="rId1"/>
  <headerFooter>
    <oddFooter>&amp;L&amp;P&amp;C&amp;D&amp;RElaborado por: Secretaría de Planeación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A3470-D17D-4374-9927-0E3CB2A8A08D}">
  <sheetPr codeName="Hoja3"/>
  <dimension ref="A1:K381"/>
  <sheetViews>
    <sheetView workbookViewId="0"/>
  </sheetViews>
  <sheetFormatPr baseColWidth="10" defaultRowHeight="15" x14ac:dyDescent="0.25"/>
  <cols>
    <col min="1" max="1" width="11.5703125" style="116"/>
    <col min="2" max="2" width="9.28515625" style="110" customWidth="1"/>
    <col min="3" max="3" width="24.7109375" style="79" customWidth="1"/>
    <col min="4" max="4" width="17.5703125" style="110" customWidth="1"/>
    <col min="5" max="5" width="50.7109375" style="110" customWidth="1"/>
    <col min="6" max="6" width="11.7109375" style="110" customWidth="1"/>
    <col min="7" max="7" width="53.5703125" style="110" bestFit="1" customWidth="1"/>
    <col min="8" max="8" width="11.28515625" style="110" bestFit="1" customWidth="1"/>
    <col min="9" max="9" width="7.7109375" style="110" bestFit="1" customWidth="1"/>
    <col min="10" max="10" width="15.28515625" style="110" bestFit="1" customWidth="1"/>
    <col min="11" max="11" width="12.7109375" style="110" bestFit="1" customWidth="1"/>
    <col min="12" max="15" width="5" bestFit="1" customWidth="1"/>
    <col min="16" max="24" width="2" bestFit="1" customWidth="1"/>
    <col min="25" max="61" width="3" bestFit="1" customWidth="1"/>
    <col min="62" max="81" width="4" bestFit="1" customWidth="1"/>
    <col min="82" max="98" width="5" bestFit="1" customWidth="1"/>
    <col min="99" max="106" width="6" bestFit="1" customWidth="1"/>
    <col min="107" max="111" width="7" bestFit="1" customWidth="1"/>
    <col min="112" max="112" width="10" bestFit="1" customWidth="1"/>
    <col min="113" max="113" width="1.7109375" bestFit="1" customWidth="1"/>
    <col min="114" max="114" width="98" bestFit="1" customWidth="1"/>
    <col min="115" max="115" width="7.7109375" bestFit="1" customWidth="1"/>
    <col min="116" max="116" width="32.28515625" bestFit="1" customWidth="1"/>
    <col min="117" max="117" width="23.5703125" bestFit="1" customWidth="1"/>
    <col min="118" max="118" width="60.42578125" bestFit="1" customWidth="1"/>
    <col min="119" max="119" width="5.7109375" bestFit="1" customWidth="1"/>
    <col min="120" max="121" width="6.7109375" bestFit="1" customWidth="1"/>
    <col min="122" max="122" width="62.28515625" bestFit="1" customWidth="1"/>
    <col min="123" max="123" width="9.28515625" bestFit="1" customWidth="1"/>
    <col min="124" max="125" width="6.7109375" bestFit="1" customWidth="1"/>
    <col min="126" max="126" width="47.28515625" bestFit="1" customWidth="1"/>
    <col min="127" max="127" width="62.28515625" bestFit="1" customWidth="1"/>
    <col min="128" max="128" width="33.42578125" bestFit="1" customWidth="1"/>
    <col min="129" max="129" width="32.42578125" bestFit="1" customWidth="1"/>
    <col min="130" max="130" width="91.5703125" bestFit="1" customWidth="1"/>
    <col min="131" max="131" width="80.7109375" bestFit="1" customWidth="1"/>
    <col min="132" max="132" width="88" bestFit="1" customWidth="1"/>
    <col min="133" max="133" width="56.28515625" bestFit="1" customWidth="1"/>
    <col min="134" max="134" width="4.28515625" bestFit="1" customWidth="1"/>
    <col min="135" max="135" width="10.7109375" bestFit="1" customWidth="1"/>
    <col min="136" max="136" width="12.28515625" bestFit="1" customWidth="1"/>
  </cols>
  <sheetData>
    <row r="1" spans="1:11" x14ac:dyDescent="0.25">
      <c r="C1" s="110"/>
    </row>
    <row r="2" spans="1:11" x14ac:dyDescent="0.25">
      <c r="C2" s="110"/>
    </row>
    <row r="3" spans="1:11" ht="40.15" customHeight="1" x14ac:dyDescent="0.25">
      <c r="B3" s="115" t="s">
        <v>1776</v>
      </c>
      <c r="H3" s="114">
        <f>GETPIVOTDATA("Cuenta de Indicador de Producto",$B$4)</f>
        <v>561</v>
      </c>
    </row>
    <row r="4" spans="1:11" ht="75.75" thickBot="1" x14ac:dyDescent="0.3">
      <c r="B4" s="121" t="s">
        <v>3</v>
      </c>
      <c r="C4" s="121" t="s">
        <v>4</v>
      </c>
      <c r="D4" s="121" t="s">
        <v>6</v>
      </c>
      <c r="E4" s="121" t="s">
        <v>7</v>
      </c>
      <c r="F4" s="121" t="s">
        <v>10</v>
      </c>
      <c r="G4" s="121" t="s">
        <v>11</v>
      </c>
      <c r="H4" s="122" t="s">
        <v>1777</v>
      </c>
      <c r="I4" s="122" t="s">
        <v>1775</v>
      </c>
      <c r="J4" s="131" t="s">
        <v>1811</v>
      </c>
      <c r="K4" s="147" t="s">
        <v>1812</v>
      </c>
    </row>
    <row r="5" spans="1:11" ht="45.75" thickTop="1" x14ac:dyDescent="0.25">
      <c r="B5" s="110">
        <v>1</v>
      </c>
      <c r="C5" s="119" t="s">
        <v>1746</v>
      </c>
      <c r="D5" s="148" t="s">
        <v>39</v>
      </c>
      <c r="E5" s="146" t="s">
        <v>40</v>
      </c>
      <c r="F5" t="s">
        <v>41</v>
      </c>
      <c r="G5" s="127" t="s">
        <v>42</v>
      </c>
      <c r="H5" s="118">
        <v>15</v>
      </c>
      <c r="I5" s="118">
        <v>6</v>
      </c>
      <c r="J5" s="128">
        <v>1.8333333333333333E-2</v>
      </c>
      <c r="K5" s="128">
        <v>0.26666666666666666</v>
      </c>
    </row>
    <row r="6" spans="1:11" x14ac:dyDescent="0.25">
      <c r="C6" s="119"/>
      <c r="D6" s="149"/>
      <c r="E6" s="125" t="s">
        <v>1778</v>
      </c>
      <c r="F6" s="125"/>
      <c r="G6" s="125"/>
      <c r="H6" s="126">
        <v>15</v>
      </c>
      <c r="I6" s="126">
        <v>6</v>
      </c>
      <c r="J6" s="129">
        <v>1.8333333333333333E-2</v>
      </c>
      <c r="K6" s="129">
        <v>0.26666666666666666</v>
      </c>
    </row>
    <row r="7" spans="1:11" x14ac:dyDescent="0.25">
      <c r="C7" s="119"/>
      <c r="D7" t="s">
        <v>98</v>
      </c>
      <c r="E7" s="132" t="s">
        <v>99</v>
      </c>
      <c r="F7" t="s">
        <v>100</v>
      </c>
      <c r="G7" s="127" t="s">
        <v>101</v>
      </c>
      <c r="H7" s="118">
        <v>21</v>
      </c>
      <c r="I7" s="118">
        <v>15</v>
      </c>
      <c r="J7" s="128">
        <v>0.31537623697408296</v>
      </c>
      <c r="K7" s="128">
        <v>0.5916005606503153</v>
      </c>
    </row>
    <row r="8" spans="1:11" x14ac:dyDescent="0.25">
      <c r="A8" s="112"/>
      <c r="C8" s="119"/>
      <c r="D8"/>
      <c r="E8" s="132"/>
      <c r="F8" t="s">
        <v>194</v>
      </c>
      <c r="G8" s="127" t="s">
        <v>195</v>
      </c>
      <c r="H8" s="118">
        <v>8</v>
      </c>
      <c r="I8" s="118">
        <v>7</v>
      </c>
      <c r="J8" s="128">
        <v>0.16564022533180717</v>
      </c>
      <c r="K8" s="128">
        <v>0.33688230021878229</v>
      </c>
    </row>
    <row r="9" spans="1:11" ht="30" x14ac:dyDescent="0.25">
      <c r="C9" s="119"/>
      <c r="D9"/>
      <c r="E9" s="132"/>
      <c r="F9" s="110" t="s">
        <v>238</v>
      </c>
      <c r="G9" s="127" t="s">
        <v>239</v>
      </c>
      <c r="H9" s="118">
        <v>14</v>
      </c>
      <c r="I9" s="118">
        <v>12</v>
      </c>
      <c r="J9" s="128">
        <v>0.35536281179138324</v>
      </c>
      <c r="K9" s="128">
        <v>0.77083333333333337</v>
      </c>
    </row>
    <row r="10" spans="1:11" x14ac:dyDescent="0.25">
      <c r="A10" s="112"/>
      <c r="C10" s="119"/>
      <c r="D10" s="117"/>
      <c r="E10" s="125" t="s">
        <v>1779</v>
      </c>
      <c r="F10" s="125"/>
      <c r="G10" s="125"/>
      <c r="H10" s="126">
        <v>43</v>
      </c>
      <c r="I10" s="126">
        <v>34</v>
      </c>
      <c r="J10" s="129">
        <v>1.8563794711512049E-2</v>
      </c>
      <c r="K10" s="129">
        <v>0.15362689654700373</v>
      </c>
    </row>
    <row r="11" spans="1:11" x14ac:dyDescent="0.25">
      <c r="A11" s="112"/>
      <c r="C11" s="119"/>
      <c r="D11" s="120" t="s">
        <v>293</v>
      </c>
      <c r="E11" s="145" t="s">
        <v>294</v>
      </c>
      <c r="F11" t="s">
        <v>295</v>
      </c>
      <c r="G11" s="127" t="s">
        <v>296</v>
      </c>
      <c r="H11" s="118">
        <v>6</v>
      </c>
      <c r="I11" s="118">
        <v>6</v>
      </c>
      <c r="J11" s="128">
        <v>0.18062962962962961</v>
      </c>
      <c r="K11" s="128">
        <v>0.18062962962962961</v>
      </c>
    </row>
    <row r="12" spans="1:11" x14ac:dyDescent="0.25">
      <c r="A12" s="112"/>
      <c r="C12" s="119"/>
      <c r="D12" s="120"/>
      <c r="E12" s="145"/>
      <c r="F12" t="s">
        <v>576</v>
      </c>
      <c r="G12" s="127" t="s">
        <v>577</v>
      </c>
      <c r="H12" s="118">
        <v>31</v>
      </c>
      <c r="I12" s="118">
        <v>29</v>
      </c>
      <c r="J12" s="128">
        <v>0.48231856308344495</v>
      </c>
      <c r="K12" s="128">
        <v>0.64988703242880286</v>
      </c>
    </row>
    <row r="13" spans="1:11" x14ac:dyDescent="0.25">
      <c r="C13" s="119"/>
      <c r="D13" s="120"/>
      <c r="E13" s="145"/>
      <c r="F13" t="s">
        <v>326</v>
      </c>
      <c r="G13" s="127" t="s">
        <v>327</v>
      </c>
      <c r="H13" s="118">
        <v>6</v>
      </c>
      <c r="I13" s="118">
        <v>6</v>
      </c>
      <c r="J13" s="128">
        <v>0.22685185185185186</v>
      </c>
      <c r="K13" s="128">
        <v>0.33333333333333331</v>
      </c>
    </row>
    <row r="14" spans="1:11" x14ac:dyDescent="0.25">
      <c r="C14" s="119"/>
      <c r="D14" s="120"/>
      <c r="E14" s="145"/>
      <c r="F14" t="s">
        <v>359</v>
      </c>
      <c r="G14" s="127" t="s">
        <v>360</v>
      </c>
      <c r="H14" s="118">
        <v>4</v>
      </c>
      <c r="I14" s="118">
        <v>4</v>
      </c>
      <c r="J14" s="128">
        <v>0.38472222222222219</v>
      </c>
      <c r="K14" s="128">
        <v>0.71666666666666667</v>
      </c>
    </row>
    <row r="15" spans="1:11" x14ac:dyDescent="0.25">
      <c r="C15" s="119"/>
      <c r="D15" s="120"/>
      <c r="E15" s="145"/>
      <c r="F15" t="s">
        <v>379</v>
      </c>
      <c r="G15" s="127" t="s">
        <v>380</v>
      </c>
      <c r="H15" s="118">
        <v>9</v>
      </c>
      <c r="I15" s="118">
        <v>8</v>
      </c>
      <c r="J15" s="128">
        <v>0.25555555555555559</v>
      </c>
      <c r="K15" s="128">
        <v>0.33750000000000002</v>
      </c>
    </row>
    <row r="16" spans="1:11" x14ac:dyDescent="0.25">
      <c r="C16" s="119"/>
      <c r="D16" s="120"/>
      <c r="E16" s="145"/>
      <c r="F16" t="s">
        <v>413</v>
      </c>
      <c r="G16" s="127" t="s">
        <v>414</v>
      </c>
      <c r="H16" s="118">
        <v>7</v>
      </c>
      <c r="I16" s="118">
        <v>7</v>
      </c>
      <c r="J16" s="128">
        <v>0.57500000000000007</v>
      </c>
      <c r="K16" s="128">
        <v>0.6</v>
      </c>
    </row>
    <row r="17" spans="3:11" x14ac:dyDescent="0.25">
      <c r="C17" s="119"/>
      <c r="D17" s="120"/>
      <c r="E17" s="145"/>
      <c r="F17" t="s">
        <v>443</v>
      </c>
      <c r="G17" s="127" t="s">
        <v>444</v>
      </c>
      <c r="H17" s="118">
        <v>11</v>
      </c>
      <c r="I17" s="118">
        <v>11</v>
      </c>
      <c r="J17" s="128">
        <v>0.66767676767676754</v>
      </c>
      <c r="K17" s="128">
        <v>0.66767676767676754</v>
      </c>
    </row>
    <row r="18" spans="3:11" x14ac:dyDescent="0.25">
      <c r="C18" s="119"/>
      <c r="D18" s="120"/>
      <c r="E18" s="145"/>
      <c r="F18" t="s">
        <v>483</v>
      </c>
      <c r="G18" s="127" t="s">
        <v>484</v>
      </c>
      <c r="H18" s="118">
        <v>5</v>
      </c>
      <c r="I18" s="118">
        <v>4</v>
      </c>
      <c r="J18" s="128">
        <v>0.31739130434782609</v>
      </c>
      <c r="K18" s="128">
        <v>0.625</v>
      </c>
    </row>
    <row r="19" spans="3:11" x14ac:dyDescent="0.25">
      <c r="C19" s="119"/>
      <c r="D19" s="120"/>
      <c r="E19" s="145"/>
      <c r="F19" t="s">
        <v>497</v>
      </c>
      <c r="G19" s="127" t="s">
        <v>498</v>
      </c>
      <c r="H19" s="118">
        <v>4</v>
      </c>
      <c r="I19" s="118">
        <v>4</v>
      </c>
      <c r="J19" s="128">
        <v>0.16818181818181818</v>
      </c>
      <c r="K19" s="128">
        <v>0.65</v>
      </c>
    </row>
    <row r="20" spans="3:11" x14ac:dyDescent="0.25">
      <c r="C20" s="119"/>
      <c r="D20" s="120"/>
      <c r="E20" s="145"/>
      <c r="F20" t="s">
        <v>510</v>
      </c>
      <c r="G20" s="127" t="s">
        <v>511</v>
      </c>
      <c r="H20" s="118">
        <v>22</v>
      </c>
      <c r="I20" s="118">
        <v>22</v>
      </c>
      <c r="J20" s="128">
        <v>0.14840717969587935</v>
      </c>
      <c r="K20" s="128">
        <v>0.35909090909090907</v>
      </c>
    </row>
    <row r="21" spans="3:11" x14ac:dyDescent="0.25">
      <c r="C21" s="119"/>
      <c r="D21" s="117"/>
      <c r="E21" s="125" t="s">
        <v>1780</v>
      </c>
      <c r="F21" s="125"/>
      <c r="G21" s="125"/>
      <c r="H21" s="126">
        <v>105</v>
      </c>
      <c r="I21" s="126">
        <v>101</v>
      </c>
      <c r="J21" s="129">
        <v>5.9096394526920891E-6</v>
      </c>
      <c r="K21" s="129">
        <v>5.5311048360896732E-4</v>
      </c>
    </row>
    <row r="22" spans="3:11" x14ac:dyDescent="0.25">
      <c r="C22" s="119"/>
      <c r="D22" s="120" t="s">
        <v>626</v>
      </c>
      <c r="E22" s="145" t="s">
        <v>627</v>
      </c>
      <c r="F22" t="s">
        <v>628</v>
      </c>
      <c r="G22" s="127" t="s">
        <v>629</v>
      </c>
      <c r="H22" s="118">
        <v>2</v>
      </c>
      <c r="I22" s="118"/>
      <c r="J22" s="128">
        <v>0</v>
      </c>
      <c r="K22" s="128">
        <v>0</v>
      </c>
    </row>
    <row r="23" spans="3:11" x14ac:dyDescent="0.25">
      <c r="C23" s="119"/>
      <c r="D23" s="120"/>
      <c r="E23" s="145"/>
      <c r="F23" t="s">
        <v>635</v>
      </c>
      <c r="G23" s="127" t="s">
        <v>636</v>
      </c>
      <c r="H23" s="118">
        <v>6</v>
      </c>
      <c r="I23" s="118">
        <v>5</v>
      </c>
      <c r="J23" s="128">
        <v>0.1977777777777778</v>
      </c>
      <c r="K23" s="128">
        <v>0.78666666666666674</v>
      </c>
    </row>
    <row r="24" spans="3:11" x14ac:dyDescent="0.25">
      <c r="C24" s="119"/>
      <c r="D24" s="117"/>
      <c r="E24" s="125" t="s">
        <v>1781</v>
      </c>
      <c r="F24" s="125"/>
      <c r="G24" s="125"/>
      <c r="H24" s="126">
        <v>8</v>
      </c>
      <c r="I24" s="126">
        <v>5</v>
      </c>
      <c r="J24" s="129">
        <v>0</v>
      </c>
      <c r="K24" s="129">
        <v>0.78666666666666674</v>
      </c>
    </row>
    <row r="25" spans="3:11" x14ac:dyDescent="0.25">
      <c r="C25" s="119"/>
      <c r="D25" t="s">
        <v>651</v>
      </c>
      <c r="E25" s="145" t="s">
        <v>652</v>
      </c>
      <c r="F25" t="s">
        <v>653</v>
      </c>
      <c r="G25" s="127" t="s">
        <v>654</v>
      </c>
      <c r="H25" s="118">
        <v>4</v>
      </c>
      <c r="I25" s="118">
        <v>1</v>
      </c>
      <c r="J25" s="128">
        <v>1.2500000000000001E-2</v>
      </c>
      <c r="K25" s="128">
        <v>1</v>
      </c>
    </row>
    <row r="26" spans="3:11" ht="30" x14ac:dyDescent="0.25">
      <c r="C26" s="119"/>
      <c r="D26"/>
      <c r="E26" s="145"/>
      <c r="F26" t="s">
        <v>668</v>
      </c>
      <c r="G26" s="127" t="s">
        <v>669</v>
      </c>
      <c r="H26" s="118">
        <v>13</v>
      </c>
      <c r="I26" s="118">
        <v>12</v>
      </c>
      <c r="J26" s="128">
        <v>0.42980392156862746</v>
      </c>
      <c r="K26" s="128">
        <v>0.90277777777777768</v>
      </c>
    </row>
    <row r="27" spans="3:11" ht="30" x14ac:dyDescent="0.25">
      <c r="C27" s="119"/>
      <c r="D27"/>
      <c r="E27" s="145"/>
      <c r="F27" t="s">
        <v>698</v>
      </c>
      <c r="G27" s="127" t="s">
        <v>699</v>
      </c>
      <c r="H27" s="118">
        <v>4</v>
      </c>
      <c r="I27" s="118">
        <v>4</v>
      </c>
      <c r="J27" s="128">
        <v>0.20572916666666666</v>
      </c>
      <c r="K27" s="128">
        <v>0.27430555555555558</v>
      </c>
    </row>
    <row r="28" spans="3:11" x14ac:dyDescent="0.25">
      <c r="C28" s="119"/>
      <c r="D28"/>
      <c r="E28" s="145"/>
      <c r="F28" t="s">
        <v>714</v>
      </c>
      <c r="G28" s="127" t="s">
        <v>715</v>
      </c>
      <c r="H28" s="118">
        <v>3</v>
      </c>
      <c r="I28" s="118">
        <v>3</v>
      </c>
      <c r="J28" s="128">
        <v>0.29129464285714285</v>
      </c>
      <c r="K28" s="128">
        <v>0.6133333333333334</v>
      </c>
    </row>
    <row r="29" spans="3:11" ht="30" x14ac:dyDescent="0.25">
      <c r="C29" s="119"/>
      <c r="D29"/>
      <c r="E29" s="145"/>
      <c r="F29" t="s">
        <v>725</v>
      </c>
      <c r="G29" s="127" t="s">
        <v>726</v>
      </c>
      <c r="H29" s="118">
        <v>6</v>
      </c>
      <c r="I29" s="118">
        <v>6</v>
      </c>
      <c r="J29" s="128">
        <v>0.17437419871794871</v>
      </c>
      <c r="K29" s="128">
        <v>0.29562179487179485</v>
      </c>
    </row>
    <row r="30" spans="3:11" ht="30" x14ac:dyDescent="0.25">
      <c r="C30" s="119"/>
      <c r="D30"/>
      <c r="E30" s="145"/>
      <c r="F30" t="s">
        <v>742</v>
      </c>
      <c r="G30" s="127" t="s">
        <v>743</v>
      </c>
      <c r="H30" s="118">
        <v>6</v>
      </c>
      <c r="I30" s="118">
        <v>5</v>
      </c>
      <c r="J30" s="128">
        <v>0.126015567988324</v>
      </c>
      <c r="K30" s="128">
        <v>0.37121868158598881</v>
      </c>
    </row>
    <row r="31" spans="3:11" x14ac:dyDescent="0.25">
      <c r="C31" s="119"/>
      <c r="D31"/>
      <c r="E31" s="125" t="s">
        <v>1782</v>
      </c>
      <c r="F31" s="125"/>
      <c r="G31" s="125"/>
      <c r="H31" s="126">
        <v>36</v>
      </c>
      <c r="I31" s="126">
        <v>31</v>
      </c>
      <c r="J31" s="129">
        <v>7.0748164596217833E-6</v>
      </c>
      <c r="K31" s="129">
        <v>1.6667800954121549E-2</v>
      </c>
    </row>
    <row r="32" spans="3:11" x14ac:dyDescent="0.25">
      <c r="C32" s="119"/>
      <c r="D32" t="s">
        <v>759</v>
      </c>
      <c r="E32" s="145" t="s">
        <v>760</v>
      </c>
      <c r="F32" t="s">
        <v>761</v>
      </c>
      <c r="G32" s="127" t="s">
        <v>762</v>
      </c>
      <c r="H32" s="118">
        <v>6</v>
      </c>
      <c r="I32" s="118">
        <v>4</v>
      </c>
      <c r="J32" s="128">
        <v>0.20333333333333334</v>
      </c>
      <c r="K32" s="128">
        <v>0.55833333333333335</v>
      </c>
    </row>
    <row r="33" spans="2:11" x14ac:dyDescent="0.25">
      <c r="C33" s="119"/>
      <c r="D33"/>
      <c r="E33" s="145"/>
      <c r="F33" t="s">
        <v>789</v>
      </c>
      <c r="G33" s="127" t="s">
        <v>790</v>
      </c>
      <c r="H33" s="118">
        <v>11</v>
      </c>
      <c r="I33" s="118">
        <v>8</v>
      </c>
      <c r="J33" s="128">
        <v>0.3774571805006588</v>
      </c>
      <c r="K33" s="128">
        <v>0.8125</v>
      </c>
    </row>
    <row r="34" spans="2:11" x14ac:dyDescent="0.25">
      <c r="C34" s="119"/>
      <c r="D34"/>
      <c r="E34" s="125" t="s">
        <v>1783</v>
      </c>
      <c r="F34" s="125"/>
      <c r="G34" s="125"/>
      <c r="H34" s="126">
        <v>17</v>
      </c>
      <c r="I34" s="126">
        <v>12</v>
      </c>
      <c r="J34" s="129">
        <v>7.6749626701800619E-2</v>
      </c>
      <c r="K34" s="129">
        <v>0.45364583333333336</v>
      </c>
    </row>
    <row r="35" spans="2:11" x14ac:dyDescent="0.25">
      <c r="C35" s="123" t="s">
        <v>1784</v>
      </c>
      <c r="D35" s="123"/>
      <c r="E35" s="123"/>
      <c r="F35" s="123"/>
      <c r="G35" s="123"/>
      <c r="H35" s="124">
        <v>224</v>
      </c>
      <c r="I35" s="124">
        <v>189</v>
      </c>
      <c r="J35" s="130">
        <v>0</v>
      </c>
      <c r="K35" s="130">
        <v>1.3478260931430527E-7</v>
      </c>
    </row>
    <row r="36" spans="2:11" ht="45" x14ac:dyDescent="0.25">
      <c r="B36" s="110">
        <v>2</v>
      </c>
      <c r="C36" s="119" t="s">
        <v>1747</v>
      </c>
      <c r="D36" t="s">
        <v>832</v>
      </c>
      <c r="E36" s="145" t="s">
        <v>833</v>
      </c>
      <c r="F36" t="s">
        <v>834</v>
      </c>
      <c r="G36" s="127" t="s">
        <v>835</v>
      </c>
      <c r="H36" s="118">
        <v>3</v>
      </c>
      <c r="I36" s="118">
        <v>3</v>
      </c>
      <c r="J36" s="128">
        <v>0.25</v>
      </c>
      <c r="K36" s="128">
        <v>0.6333333333333333</v>
      </c>
    </row>
    <row r="37" spans="2:11" x14ac:dyDescent="0.25">
      <c r="C37" s="119"/>
      <c r="D37"/>
      <c r="E37" s="145"/>
      <c r="F37" t="s">
        <v>851</v>
      </c>
      <c r="G37" s="127" t="s">
        <v>852</v>
      </c>
      <c r="H37" s="118">
        <v>1</v>
      </c>
      <c r="I37" s="118">
        <v>1</v>
      </c>
      <c r="J37" s="128">
        <v>0.1</v>
      </c>
      <c r="K37" s="128">
        <v>0.5</v>
      </c>
    </row>
    <row r="38" spans="2:11" x14ac:dyDescent="0.25">
      <c r="C38" s="119"/>
      <c r="D38"/>
      <c r="E38" s="125" t="s">
        <v>1785</v>
      </c>
      <c r="F38" s="125"/>
      <c r="G38" s="125"/>
      <c r="H38" s="126">
        <v>4</v>
      </c>
      <c r="I38" s="126">
        <v>4</v>
      </c>
      <c r="J38" s="129">
        <v>2.5000000000000001E-2</v>
      </c>
      <c r="K38" s="129">
        <v>0.31666666666666665</v>
      </c>
    </row>
    <row r="39" spans="2:11" x14ac:dyDescent="0.25">
      <c r="C39" s="119"/>
      <c r="D39" t="s">
        <v>858</v>
      </c>
      <c r="E39" s="145" t="s">
        <v>859</v>
      </c>
      <c r="F39" t="s">
        <v>860</v>
      </c>
      <c r="G39" s="127" t="s">
        <v>861</v>
      </c>
      <c r="H39" s="118">
        <v>5</v>
      </c>
      <c r="I39" s="118">
        <v>4</v>
      </c>
      <c r="J39" s="128">
        <v>0.32428571428571429</v>
      </c>
      <c r="K39" s="128">
        <v>1</v>
      </c>
    </row>
    <row r="40" spans="2:11" ht="30" x14ac:dyDescent="0.25">
      <c r="C40" s="119"/>
      <c r="D40"/>
      <c r="E40" s="145"/>
      <c r="F40" t="s">
        <v>871</v>
      </c>
      <c r="G40" s="127" t="s">
        <v>872</v>
      </c>
      <c r="H40" s="118">
        <v>2</v>
      </c>
      <c r="I40" s="118">
        <v>1</v>
      </c>
      <c r="J40" s="128">
        <v>0</v>
      </c>
      <c r="K40" s="128">
        <v>0</v>
      </c>
    </row>
    <row r="41" spans="2:11" x14ac:dyDescent="0.25">
      <c r="C41" s="119"/>
      <c r="D41"/>
      <c r="E41" s="125" t="s">
        <v>1787</v>
      </c>
      <c r="F41" s="125"/>
      <c r="G41" s="125"/>
      <c r="H41" s="126">
        <v>7</v>
      </c>
      <c r="I41" s="126">
        <v>5</v>
      </c>
      <c r="J41" s="129">
        <v>0</v>
      </c>
      <c r="K41" s="129">
        <v>0</v>
      </c>
    </row>
    <row r="42" spans="2:11" x14ac:dyDescent="0.25">
      <c r="C42" s="119"/>
      <c r="D42" t="s">
        <v>876</v>
      </c>
      <c r="E42" s="145" t="s">
        <v>877</v>
      </c>
      <c r="F42" t="s">
        <v>878</v>
      </c>
      <c r="G42" s="127" t="s">
        <v>879</v>
      </c>
      <c r="H42" s="118">
        <v>4</v>
      </c>
      <c r="I42" s="118">
        <v>1</v>
      </c>
      <c r="J42" s="128">
        <v>0.06</v>
      </c>
      <c r="K42" s="128">
        <v>1</v>
      </c>
    </row>
    <row r="43" spans="2:11" x14ac:dyDescent="0.25">
      <c r="C43" s="119"/>
      <c r="D43"/>
      <c r="E43" s="125" t="s">
        <v>1788</v>
      </c>
      <c r="F43" s="125"/>
      <c r="G43" s="125"/>
      <c r="H43" s="126">
        <v>4</v>
      </c>
      <c r="I43" s="126">
        <v>1</v>
      </c>
      <c r="J43" s="129">
        <v>0.06</v>
      </c>
      <c r="K43" s="129">
        <v>1</v>
      </c>
    </row>
    <row r="44" spans="2:11" x14ac:dyDescent="0.25">
      <c r="C44" s="119"/>
      <c r="D44" t="s">
        <v>887</v>
      </c>
      <c r="E44" s="145" t="s">
        <v>888</v>
      </c>
      <c r="F44" t="s">
        <v>889</v>
      </c>
      <c r="G44" s="127" t="s">
        <v>896</v>
      </c>
      <c r="H44" s="118">
        <v>4</v>
      </c>
      <c r="I44" s="118">
        <v>2</v>
      </c>
      <c r="J44" s="128">
        <v>9.9999999999999992E-2</v>
      </c>
      <c r="K44" s="128">
        <v>0.7</v>
      </c>
    </row>
    <row r="45" spans="2:11" ht="30" x14ac:dyDescent="0.25">
      <c r="C45" s="119"/>
      <c r="D45"/>
      <c r="E45" s="145"/>
      <c r="F45" t="s">
        <v>902</v>
      </c>
      <c r="G45" s="127" t="s">
        <v>903</v>
      </c>
      <c r="H45" s="118">
        <v>3</v>
      </c>
      <c r="I45" s="118">
        <v>1</v>
      </c>
      <c r="J45" s="128">
        <v>2.2222222222222223E-2</v>
      </c>
      <c r="K45" s="128">
        <v>0.6</v>
      </c>
    </row>
    <row r="46" spans="2:11" x14ac:dyDescent="0.25">
      <c r="C46" s="119"/>
      <c r="D46"/>
      <c r="E46" s="125" t="s">
        <v>1789</v>
      </c>
      <c r="F46" s="125"/>
      <c r="G46" s="125"/>
      <c r="H46" s="126">
        <v>7</v>
      </c>
      <c r="I46" s="126">
        <v>3</v>
      </c>
      <c r="J46" s="129">
        <v>2.2222222222222222E-3</v>
      </c>
      <c r="K46" s="129">
        <v>0.42</v>
      </c>
    </row>
    <row r="47" spans="2:11" x14ac:dyDescent="0.25">
      <c r="C47" s="119"/>
      <c r="D47" t="s">
        <v>909</v>
      </c>
      <c r="E47" s="145" t="s">
        <v>910</v>
      </c>
      <c r="F47" t="s">
        <v>911</v>
      </c>
      <c r="G47" s="127" t="s">
        <v>912</v>
      </c>
      <c r="H47" s="118">
        <v>1</v>
      </c>
      <c r="I47" s="118">
        <v>1</v>
      </c>
      <c r="J47" s="128">
        <v>0</v>
      </c>
      <c r="K47" s="128">
        <v>0</v>
      </c>
    </row>
    <row r="48" spans="2:11" x14ac:dyDescent="0.25">
      <c r="C48" s="119"/>
      <c r="D48"/>
      <c r="E48" s="145"/>
      <c r="F48" t="s">
        <v>920</v>
      </c>
      <c r="G48" s="127" t="s">
        <v>921</v>
      </c>
      <c r="H48" s="118">
        <v>1</v>
      </c>
      <c r="I48" s="118">
        <v>1</v>
      </c>
      <c r="J48" s="128">
        <v>5.5999999999999999E-3</v>
      </c>
      <c r="K48" s="128">
        <v>0.11666666666666667</v>
      </c>
    </row>
    <row r="49" spans="3:11" x14ac:dyDescent="0.25">
      <c r="C49" s="119"/>
      <c r="D49"/>
      <c r="E49" s="145"/>
      <c r="F49" t="s">
        <v>926</v>
      </c>
      <c r="G49" s="127" t="s">
        <v>927</v>
      </c>
      <c r="H49" s="118">
        <v>3</v>
      </c>
      <c r="I49" s="118">
        <v>2</v>
      </c>
      <c r="J49" s="128">
        <v>5.7692307692307696E-2</v>
      </c>
      <c r="K49" s="128">
        <v>0.74380165289256195</v>
      </c>
    </row>
    <row r="50" spans="3:11" ht="30" x14ac:dyDescent="0.25">
      <c r="C50" s="119"/>
      <c r="D50"/>
      <c r="E50" s="145"/>
      <c r="F50" t="s">
        <v>943</v>
      </c>
      <c r="G50" s="127" t="s">
        <v>944</v>
      </c>
      <c r="H50" s="118">
        <v>1</v>
      </c>
      <c r="I50" s="118">
        <v>1</v>
      </c>
      <c r="J50" s="128">
        <v>0</v>
      </c>
      <c r="K50" s="128">
        <v>0</v>
      </c>
    </row>
    <row r="51" spans="3:11" x14ac:dyDescent="0.25">
      <c r="C51" s="119"/>
      <c r="D51"/>
      <c r="E51" s="145"/>
      <c r="F51" t="s">
        <v>949</v>
      </c>
      <c r="G51" s="127" t="s">
        <v>950</v>
      </c>
      <c r="H51" s="118">
        <v>1</v>
      </c>
      <c r="I51" s="118">
        <v>1</v>
      </c>
      <c r="J51" s="128">
        <v>0</v>
      </c>
      <c r="K51" s="128">
        <v>0</v>
      </c>
    </row>
    <row r="52" spans="3:11" x14ac:dyDescent="0.25">
      <c r="C52" s="119"/>
      <c r="D52"/>
      <c r="E52" s="145"/>
      <c r="F52" t="s">
        <v>956</v>
      </c>
      <c r="G52" s="127" t="s">
        <v>957</v>
      </c>
      <c r="H52" s="118">
        <v>1</v>
      </c>
      <c r="I52" s="118"/>
      <c r="J52" s="128">
        <v>0</v>
      </c>
      <c r="K52" s="128">
        <v>0</v>
      </c>
    </row>
    <row r="53" spans="3:11" x14ac:dyDescent="0.25">
      <c r="C53" s="119"/>
      <c r="D53"/>
      <c r="E53" s="125" t="s">
        <v>1790</v>
      </c>
      <c r="F53" s="125"/>
      <c r="G53" s="125"/>
      <c r="H53" s="126">
        <v>8</v>
      </c>
      <c r="I53" s="126">
        <v>6</v>
      </c>
      <c r="J53" s="129">
        <v>0</v>
      </c>
      <c r="K53" s="129">
        <v>0</v>
      </c>
    </row>
    <row r="54" spans="3:11" x14ac:dyDescent="0.25">
      <c r="C54" s="119"/>
      <c r="D54" t="s">
        <v>964</v>
      </c>
      <c r="E54" s="145" t="s">
        <v>965</v>
      </c>
      <c r="F54" t="s">
        <v>966</v>
      </c>
      <c r="G54" s="127" t="s">
        <v>967</v>
      </c>
      <c r="H54" s="118">
        <v>3</v>
      </c>
      <c r="I54" s="118"/>
      <c r="J54" s="128">
        <v>0</v>
      </c>
      <c r="K54" s="128">
        <v>0</v>
      </c>
    </row>
    <row r="55" spans="3:11" x14ac:dyDescent="0.25">
      <c r="C55" s="119"/>
      <c r="D55"/>
      <c r="E55" s="145"/>
      <c r="F55" t="s">
        <v>976</v>
      </c>
      <c r="G55" s="127" t="s">
        <v>977</v>
      </c>
      <c r="H55" s="118">
        <v>4</v>
      </c>
      <c r="I55" s="118">
        <v>3</v>
      </c>
      <c r="J55" s="128">
        <v>0.10535714285714286</v>
      </c>
      <c r="K55" s="128">
        <v>0.21666666666666667</v>
      </c>
    </row>
    <row r="56" spans="3:11" ht="30" x14ac:dyDescent="0.25">
      <c r="C56" s="119"/>
      <c r="D56"/>
      <c r="E56" s="145"/>
      <c r="F56" t="s">
        <v>986</v>
      </c>
      <c r="G56" s="127" t="s">
        <v>987</v>
      </c>
      <c r="H56" s="118">
        <v>5</v>
      </c>
      <c r="I56" s="118">
        <v>1</v>
      </c>
      <c r="J56" s="128">
        <v>0.1</v>
      </c>
      <c r="K56" s="128">
        <v>0.5</v>
      </c>
    </row>
    <row r="57" spans="3:11" x14ac:dyDescent="0.25">
      <c r="C57" s="119"/>
      <c r="D57"/>
      <c r="E57" s="145"/>
      <c r="F57" t="s">
        <v>999</v>
      </c>
      <c r="G57" s="127" t="s">
        <v>1000</v>
      </c>
      <c r="H57" s="118">
        <v>3</v>
      </c>
      <c r="I57" s="118">
        <v>1</v>
      </c>
      <c r="J57" s="128">
        <v>5.5555555555555552E-2</v>
      </c>
      <c r="K57" s="128">
        <v>0.5</v>
      </c>
    </row>
    <row r="58" spans="3:11" x14ac:dyDescent="0.25">
      <c r="C58" s="119"/>
      <c r="D58"/>
      <c r="E58" s="145"/>
      <c r="F58" t="s">
        <v>1007</v>
      </c>
      <c r="G58" s="127" t="s">
        <v>1008</v>
      </c>
      <c r="H58" s="118">
        <v>3</v>
      </c>
      <c r="I58" s="118">
        <v>1</v>
      </c>
      <c r="J58" s="128">
        <v>4.9999999999999996E-2</v>
      </c>
      <c r="K58" s="128">
        <v>0.6</v>
      </c>
    </row>
    <row r="59" spans="3:11" x14ac:dyDescent="0.25">
      <c r="C59" s="119"/>
      <c r="D59"/>
      <c r="E59" s="125" t="s">
        <v>1791</v>
      </c>
      <c r="F59" s="125"/>
      <c r="G59" s="125"/>
      <c r="H59" s="126">
        <v>18</v>
      </c>
      <c r="I59" s="126">
        <v>6</v>
      </c>
      <c r="J59" s="129">
        <v>0</v>
      </c>
      <c r="K59" s="129">
        <v>3.2500000000000001E-2</v>
      </c>
    </row>
    <row r="60" spans="3:11" x14ac:dyDescent="0.25">
      <c r="C60" s="119"/>
      <c r="D60" t="s">
        <v>863</v>
      </c>
      <c r="E60" s="145" t="s">
        <v>1019</v>
      </c>
      <c r="F60" t="s">
        <v>1020</v>
      </c>
      <c r="G60" s="127" t="s">
        <v>1021</v>
      </c>
      <c r="H60" s="118">
        <v>15</v>
      </c>
      <c r="I60" s="118">
        <v>11</v>
      </c>
      <c r="J60" s="128">
        <v>0.24495726495726494</v>
      </c>
      <c r="K60" s="128">
        <v>0.4</v>
      </c>
    </row>
    <row r="61" spans="3:11" x14ac:dyDescent="0.25">
      <c r="C61" s="119"/>
      <c r="D61"/>
      <c r="E61" s="125" t="s">
        <v>1792</v>
      </c>
      <c r="F61" s="125"/>
      <c r="G61" s="125"/>
      <c r="H61" s="126">
        <v>15</v>
      </c>
      <c r="I61" s="126">
        <v>11</v>
      </c>
      <c r="J61" s="129">
        <v>0.24495726495726494</v>
      </c>
      <c r="K61" s="129">
        <v>0.4</v>
      </c>
    </row>
    <row r="62" spans="3:11" x14ac:dyDescent="0.25">
      <c r="C62" s="119"/>
      <c r="D62" t="s">
        <v>342</v>
      </c>
      <c r="E62" s="145" t="s">
        <v>1069</v>
      </c>
      <c r="F62" t="s">
        <v>1070</v>
      </c>
      <c r="G62" s="127" t="s">
        <v>1071</v>
      </c>
      <c r="H62" s="118">
        <v>4</v>
      </c>
      <c r="I62" s="118"/>
      <c r="J62" s="128">
        <v>0</v>
      </c>
      <c r="K62" s="128">
        <v>0</v>
      </c>
    </row>
    <row r="63" spans="3:11" x14ac:dyDescent="0.25">
      <c r="C63" s="119"/>
      <c r="D63"/>
      <c r="E63" s="145"/>
      <c r="F63" t="s">
        <v>1076</v>
      </c>
      <c r="G63" s="127" t="s">
        <v>1077</v>
      </c>
      <c r="H63" s="118">
        <v>1</v>
      </c>
      <c r="I63" s="118"/>
      <c r="J63" s="128">
        <v>0</v>
      </c>
      <c r="K63" s="128">
        <v>0</v>
      </c>
    </row>
    <row r="64" spans="3:11" x14ac:dyDescent="0.25">
      <c r="C64" s="119"/>
      <c r="D64"/>
      <c r="E64" s="125" t="s">
        <v>1793</v>
      </c>
      <c r="F64" s="125"/>
      <c r="G64" s="125"/>
      <c r="H64" s="126">
        <v>5</v>
      </c>
      <c r="I64" s="126"/>
      <c r="J64" s="129">
        <v>0</v>
      </c>
      <c r="K64" s="129">
        <v>0</v>
      </c>
    </row>
    <row r="65" spans="2:11" x14ac:dyDescent="0.25">
      <c r="C65" s="119"/>
      <c r="D65" t="s">
        <v>347</v>
      </c>
      <c r="E65" s="145" t="s">
        <v>1080</v>
      </c>
      <c r="F65" t="s">
        <v>1081</v>
      </c>
      <c r="G65" s="127" t="s">
        <v>1082</v>
      </c>
      <c r="H65" s="118">
        <v>2</v>
      </c>
      <c r="I65" s="118">
        <v>2</v>
      </c>
      <c r="J65" s="128">
        <v>0.33333333333333337</v>
      </c>
      <c r="K65" s="128">
        <v>0.75</v>
      </c>
    </row>
    <row r="66" spans="2:11" ht="30" x14ac:dyDescent="0.25">
      <c r="C66" s="119"/>
      <c r="D66"/>
      <c r="E66" s="145"/>
      <c r="F66" t="s">
        <v>1087</v>
      </c>
      <c r="G66" s="127" t="s">
        <v>1088</v>
      </c>
      <c r="H66" s="118">
        <v>6</v>
      </c>
      <c r="I66" s="118">
        <v>6</v>
      </c>
      <c r="J66" s="128">
        <v>4.3888888888888894E-2</v>
      </c>
      <c r="K66" s="128">
        <v>0.69999999999999984</v>
      </c>
    </row>
    <row r="67" spans="2:11" x14ac:dyDescent="0.25">
      <c r="C67" s="119"/>
      <c r="D67"/>
      <c r="E67" s="145"/>
      <c r="F67" t="s">
        <v>1099</v>
      </c>
      <c r="G67" s="127" t="s">
        <v>1100</v>
      </c>
      <c r="H67" s="118">
        <v>2</v>
      </c>
      <c r="I67" s="118">
        <v>2</v>
      </c>
      <c r="J67" s="128">
        <v>7.857142857142857E-2</v>
      </c>
      <c r="K67" s="128">
        <v>1</v>
      </c>
    </row>
    <row r="68" spans="2:11" x14ac:dyDescent="0.25">
      <c r="C68" s="119"/>
      <c r="D68"/>
      <c r="E68" s="145"/>
      <c r="F68" t="s">
        <v>1105</v>
      </c>
      <c r="G68" s="127" t="s">
        <v>1106</v>
      </c>
      <c r="H68" s="118">
        <v>1</v>
      </c>
      <c r="I68" s="118">
        <v>1</v>
      </c>
      <c r="J68" s="128">
        <v>0</v>
      </c>
      <c r="K68" s="128">
        <v>0</v>
      </c>
    </row>
    <row r="69" spans="2:11" x14ac:dyDescent="0.25">
      <c r="C69" s="119"/>
      <c r="D69"/>
      <c r="E69" s="125" t="s">
        <v>1794</v>
      </c>
      <c r="F69" s="125"/>
      <c r="G69" s="125"/>
      <c r="H69" s="126">
        <v>11</v>
      </c>
      <c r="I69" s="126">
        <v>11</v>
      </c>
      <c r="J69" s="129">
        <v>0</v>
      </c>
      <c r="K69" s="129">
        <v>0</v>
      </c>
    </row>
    <row r="70" spans="2:11" ht="30" x14ac:dyDescent="0.25">
      <c r="C70" s="119"/>
      <c r="D70" t="s">
        <v>1110</v>
      </c>
      <c r="E70" s="145" t="s">
        <v>1111</v>
      </c>
      <c r="F70" t="s">
        <v>1112</v>
      </c>
      <c r="G70" s="127" t="s">
        <v>1113</v>
      </c>
      <c r="H70" s="118">
        <v>4</v>
      </c>
      <c r="I70" s="118"/>
      <c r="J70" s="128">
        <v>0</v>
      </c>
      <c r="K70" s="128">
        <v>0</v>
      </c>
    </row>
    <row r="71" spans="2:11" x14ac:dyDescent="0.25">
      <c r="C71" s="119"/>
      <c r="D71"/>
      <c r="E71" s="125" t="s">
        <v>1786</v>
      </c>
      <c r="F71" s="125"/>
      <c r="G71" s="125"/>
      <c r="H71" s="126">
        <v>4</v>
      </c>
      <c r="I71" s="126"/>
      <c r="J71" s="129">
        <v>0</v>
      </c>
      <c r="K71" s="129">
        <v>0</v>
      </c>
    </row>
    <row r="72" spans="2:11" x14ac:dyDescent="0.25">
      <c r="C72" s="123" t="s">
        <v>1795</v>
      </c>
      <c r="D72" s="123"/>
      <c r="E72" s="123"/>
      <c r="F72" s="123"/>
      <c r="G72" s="123"/>
      <c r="H72" s="124">
        <v>83</v>
      </c>
      <c r="I72" s="124">
        <v>47</v>
      </c>
      <c r="J72" s="130">
        <v>0</v>
      </c>
      <c r="K72" s="130">
        <v>0</v>
      </c>
    </row>
    <row r="73" spans="2:11" ht="60" x14ac:dyDescent="0.25">
      <c r="B73" s="110">
        <v>3</v>
      </c>
      <c r="C73" s="119" t="s">
        <v>1748</v>
      </c>
      <c r="D73" t="s">
        <v>1120</v>
      </c>
      <c r="E73" s="145" t="s">
        <v>1121</v>
      </c>
      <c r="F73" t="s">
        <v>1122</v>
      </c>
      <c r="G73" s="127" t="s">
        <v>1123</v>
      </c>
      <c r="H73" s="118">
        <v>5</v>
      </c>
      <c r="I73" s="118">
        <v>1</v>
      </c>
      <c r="J73" s="128">
        <v>3.3333333333333333E-2</v>
      </c>
      <c r="K73" s="128">
        <v>1</v>
      </c>
    </row>
    <row r="74" spans="2:11" x14ac:dyDescent="0.25">
      <c r="C74" s="119"/>
      <c r="D74"/>
      <c r="E74" s="125" t="s">
        <v>1796</v>
      </c>
      <c r="F74" s="125"/>
      <c r="G74" s="125"/>
      <c r="H74" s="126">
        <v>5</v>
      </c>
      <c r="I74" s="126">
        <v>1</v>
      </c>
      <c r="J74" s="129">
        <v>3.3333333333333333E-2</v>
      </c>
      <c r="K74" s="129">
        <v>1</v>
      </c>
    </row>
    <row r="75" spans="2:11" x14ac:dyDescent="0.25">
      <c r="C75" s="119"/>
      <c r="D75" t="s">
        <v>1144</v>
      </c>
      <c r="E75" s="145" t="s">
        <v>1145</v>
      </c>
      <c r="F75" t="s">
        <v>1146</v>
      </c>
      <c r="G75" s="127" t="s">
        <v>1147</v>
      </c>
      <c r="H75" s="118">
        <v>5</v>
      </c>
      <c r="I75" s="118">
        <v>3</v>
      </c>
      <c r="J75" s="128">
        <v>0.23333333333333334</v>
      </c>
      <c r="K75" s="128">
        <v>0.66666666666666663</v>
      </c>
    </row>
    <row r="76" spans="2:11" x14ac:dyDescent="0.25">
      <c r="C76" s="119"/>
      <c r="D76"/>
      <c r="E76" s="125" t="s">
        <v>1797</v>
      </c>
      <c r="F76" s="125"/>
      <c r="G76" s="125"/>
      <c r="H76" s="126">
        <v>5</v>
      </c>
      <c r="I76" s="126">
        <v>3</v>
      </c>
      <c r="J76" s="129">
        <v>0.23333333333333334</v>
      </c>
      <c r="K76" s="129">
        <v>0.66666666666666663</v>
      </c>
    </row>
    <row r="77" spans="2:11" x14ac:dyDescent="0.25">
      <c r="C77" s="119"/>
      <c r="D77" t="s">
        <v>1167</v>
      </c>
      <c r="E77" s="145" t="s">
        <v>1168</v>
      </c>
      <c r="F77" t="s">
        <v>1169</v>
      </c>
      <c r="G77" s="127" t="s">
        <v>1170</v>
      </c>
      <c r="H77" s="118">
        <v>2</v>
      </c>
      <c r="I77" s="118"/>
      <c r="J77" s="128">
        <v>0</v>
      </c>
      <c r="K77" s="128">
        <v>0</v>
      </c>
    </row>
    <row r="78" spans="2:11" x14ac:dyDescent="0.25">
      <c r="C78" s="119"/>
      <c r="D78"/>
      <c r="E78" s="125" t="s">
        <v>1798</v>
      </c>
      <c r="F78" s="125"/>
      <c r="G78" s="125"/>
      <c r="H78" s="126">
        <v>2</v>
      </c>
      <c r="I78" s="126"/>
      <c r="J78" s="129">
        <v>0</v>
      </c>
      <c r="K78" s="129">
        <v>0</v>
      </c>
    </row>
    <row r="79" spans="2:11" x14ac:dyDescent="0.25">
      <c r="C79" s="119"/>
      <c r="D79" t="s">
        <v>1178</v>
      </c>
      <c r="E79" s="145" t="s">
        <v>1179</v>
      </c>
      <c r="F79" t="s">
        <v>1180</v>
      </c>
      <c r="G79" s="127" t="s">
        <v>1181</v>
      </c>
      <c r="H79" s="118">
        <v>3</v>
      </c>
      <c r="I79" s="118"/>
      <c r="J79" s="128">
        <v>0</v>
      </c>
      <c r="K79" s="128">
        <v>0</v>
      </c>
    </row>
    <row r="80" spans="2:11" x14ac:dyDescent="0.25">
      <c r="C80" s="119"/>
      <c r="D80"/>
      <c r="E80" s="145"/>
      <c r="F80" t="s">
        <v>1187</v>
      </c>
      <c r="G80" s="127" t="s">
        <v>1188</v>
      </c>
      <c r="H80" s="118">
        <v>3</v>
      </c>
      <c r="I80" s="118"/>
      <c r="J80" s="128">
        <v>0</v>
      </c>
      <c r="K80" s="128">
        <v>0</v>
      </c>
    </row>
    <row r="81" spans="2:11" x14ac:dyDescent="0.25">
      <c r="C81" s="119"/>
      <c r="D81"/>
      <c r="E81" s="145"/>
      <c r="F81" t="s">
        <v>1196</v>
      </c>
      <c r="G81" s="127" t="s">
        <v>1197</v>
      </c>
      <c r="H81" s="118">
        <v>5</v>
      </c>
      <c r="I81" s="118"/>
      <c r="J81" s="128">
        <v>0</v>
      </c>
      <c r="K81" s="128">
        <v>0</v>
      </c>
    </row>
    <row r="82" spans="2:11" x14ac:dyDescent="0.25">
      <c r="C82" s="119"/>
      <c r="D82"/>
      <c r="E82" s="125" t="s">
        <v>1799</v>
      </c>
      <c r="F82" s="125"/>
      <c r="G82" s="125"/>
      <c r="H82" s="126">
        <v>11</v>
      </c>
      <c r="I82" s="126"/>
      <c r="J82" s="129">
        <v>0</v>
      </c>
      <c r="K82" s="129">
        <v>0</v>
      </c>
    </row>
    <row r="83" spans="2:11" x14ac:dyDescent="0.25">
      <c r="C83" s="123" t="s">
        <v>1800</v>
      </c>
      <c r="D83" s="123"/>
      <c r="E83" s="123"/>
      <c r="F83" s="123"/>
      <c r="G83" s="123"/>
      <c r="H83" s="124">
        <v>23</v>
      </c>
      <c r="I83" s="124">
        <v>4</v>
      </c>
      <c r="J83" s="130">
        <v>0</v>
      </c>
      <c r="K83" s="130">
        <v>0.66666666666666663</v>
      </c>
    </row>
    <row r="84" spans="2:11" ht="75" x14ac:dyDescent="0.25">
      <c r="B84" s="110">
        <v>4</v>
      </c>
      <c r="C84" s="119" t="s">
        <v>1749</v>
      </c>
      <c r="D84" t="s">
        <v>1206</v>
      </c>
      <c r="E84" s="145" t="s">
        <v>1207</v>
      </c>
      <c r="F84" t="s">
        <v>1208</v>
      </c>
      <c r="G84" s="173" t="s">
        <v>1862</v>
      </c>
      <c r="H84" s="118">
        <v>4</v>
      </c>
      <c r="I84" s="118">
        <v>2</v>
      </c>
      <c r="J84" s="128">
        <v>9.5833333333333326E-2</v>
      </c>
      <c r="K84" s="128">
        <v>1</v>
      </c>
    </row>
    <row r="85" spans="2:11" x14ac:dyDescent="0.25">
      <c r="C85" s="119"/>
      <c r="D85"/>
      <c r="E85" s="125" t="s">
        <v>1801</v>
      </c>
      <c r="F85" s="125"/>
      <c r="G85" s="125"/>
      <c r="H85" s="126">
        <v>4</v>
      </c>
      <c r="I85" s="126">
        <v>2</v>
      </c>
      <c r="J85" s="129">
        <v>9.5833333333333326E-2</v>
      </c>
      <c r="K85" s="129">
        <v>1</v>
      </c>
    </row>
    <row r="86" spans="2:11" x14ac:dyDescent="0.25">
      <c r="C86" s="119"/>
      <c r="D86" t="s">
        <v>1216</v>
      </c>
      <c r="E86" s="145" t="s">
        <v>1815</v>
      </c>
      <c r="F86" t="s">
        <v>1217</v>
      </c>
      <c r="G86" s="173" t="s">
        <v>1863</v>
      </c>
      <c r="H86" s="118">
        <v>7</v>
      </c>
      <c r="I86" s="118">
        <v>7</v>
      </c>
      <c r="J86" s="128">
        <v>0.15464285714285714</v>
      </c>
      <c r="K86" s="128">
        <v>0.84285714285714286</v>
      </c>
    </row>
    <row r="87" spans="2:11" x14ac:dyDescent="0.25">
      <c r="C87" s="119"/>
      <c r="D87"/>
      <c r="E87" s="299" t="s">
        <v>1902</v>
      </c>
      <c r="F87" s="299"/>
      <c r="G87" s="299"/>
      <c r="H87" s="126">
        <v>7</v>
      </c>
      <c r="I87" s="126">
        <v>7</v>
      </c>
      <c r="J87" s="129">
        <v>0.15464285714285714</v>
      </c>
      <c r="K87" s="129">
        <v>0.84285714285714286</v>
      </c>
    </row>
    <row r="88" spans="2:11" x14ac:dyDescent="0.25">
      <c r="C88" s="119"/>
      <c r="D88" t="s">
        <v>1227</v>
      </c>
      <c r="E88" s="145" t="s">
        <v>1816</v>
      </c>
      <c r="F88" t="s">
        <v>1228</v>
      </c>
      <c r="G88" s="173" t="s">
        <v>1864</v>
      </c>
      <c r="H88" s="118">
        <v>8</v>
      </c>
      <c r="I88" s="118">
        <v>8</v>
      </c>
      <c r="J88" s="128">
        <v>0.26557539682539683</v>
      </c>
      <c r="K88" s="128">
        <v>0.74814814814814812</v>
      </c>
    </row>
    <row r="89" spans="2:11" x14ac:dyDescent="0.25">
      <c r="C89" s="119"/>
      <c r="D89"/>
      <c r="E89" s="145"/>
      <c r="F89" t="s">
        <v>1241</v>
      </c>
      <c r="G89" s="173" t="s">
        <v>1865</v>
      </c>
      <c r="H89" s="118">
        <v>4</v>
      </c>
      <c r="I89" s="118">
        <v>3</v>
      </c>
      <c r="J89" s="128">
        <v>0.20833333333333331</v>
      </c>
      <c r="K89" s="128">
        <v>0.68888888888888877</v>
      </c>
    </row>
    <row r="90" spans="2:11" x14ac:dyDescent="0.25">
      <c r="C90" s="119"/>
      <c r="D90"/>
      <c r="E90" s="299" t="s">
        <v>1903</v>
      </c>
      <c r="F90" s="299"/>
      <c r="G90" s="299"/>
      <c r="H90" s="126">
        <v>12</v>
      </c>
      <c r="I90" s="126">
        <v>11</v>
      </c>
      <c r="J90" s="129">
        <v>5.5328207671957667E-2</v>
      </c>
      <c r="K90" s="129">
        <v>0.51539094650205752</v>
      </c>
    </row>
    <row r="91" spans="2:11" ht="30" x14ac:dyDescent="0.25">
      <c r="C91" s="119"/>
      <c r="D91" t="s">
        <v>1247</v>
      </c>
      <c r="E91" s="145" t="s">
        <v>1329</v>
      </c>
      <c r="F91" t="s">
        <v>1248</v>
      </c>
      <c r="G91" s="173" t="s">
        <v>1866</v>
      </c>
      <c r="H91" s="118">
        <v>5</v>
      </c>
      <c r="I91" s="118">
        <v>2</v>
      </c>
      <c r="J91" s="128">
        <v>0</v>
      </c>
      <c r="K91" s="128">
        <v>0</v>
      </c>
    </row>
    <row r="92" spans="2:11" x14ac:dyDescent="0.25">
      <c r="C92" s="119"/>
      <c r="D92"/>
      <c r="E92" s="145"/>
      <c r="F92" t="s">
        <v>1260</v>
      </c>
      <c r="G92" s="173" t="s">
        <v>1867</v>
      </c>
      <c r="H92" s="118">
        <v>4</v>
      </c>
      <c r="I92" s="118">
        <v>2</v>
      </c>
      <c r="J92" s="128">
        <v>3.2499999999999999E-4</v>
      </c>
      <c r="K92" s="128">
        <v>0.5</v>
      </c>
    </row>
    <row r="93" spans="2:11" x14ac:dyDescent="0.25">
      <c r="C93" s="119"/>
      <c r="D93"/>
      <c r="E93" s="145"/>
      <c r="F93" t="s">
        <v>1266</v>
      </c>
      <c r="G93" s="173" t="s">
        <v>1868</v>
      </c>
      <c r="H93" s="118">
        <v>8</v>
      </c>
      <c r="I93" s="118">
        <v>8</v>
      </c>
      <c r="J93" s="128">
        <v>0.37301201754385971</v>
      </c>
      <c r="K93" s="128">
        <v>0.61091666666666666</v>
      </c>
    </row>
    <row r="94" spans="2:11" x14ac:dyDescent="0.25">
      <c r="C94" s="119"/>
      <c r="D94"/>
      <c r="E94" s="145"/>
      <c r="F94" t="s">
        <v>1295</v>
      </c>
      <c r="G94" s="173" t="s">
        <v>1869</v>
      </c>
      <c r="H94" s="118">
        <v>3</v>
      </c>
      <c r="I94" s="118">
        <v>3</v>
      </c>
      <c r="J94" s="128">
        <v>0</v>
      </c>
      <c r="K94" s="128">
        <v>0</v>
      </c>
    </row>
    <row r="95" spans="2:11" x14ac:dyDescent="0.25">
      <c r="C95" s="119"/>
      <c r="D95"/>
      <c r="E95" s="145"/>
      <c r="F95" t="s">
        <v>1300</v>
      </c>
      <c r="G95" s="173" t="s">
        <v>1870</v>
      </c>
      <c r="H95" s="118">
        <v>1</v>
      </c>
      <c r="I95" s="118">
        <v>1</v>
      </c>
      <c r="J95" s="128">
        <v>0</v>
      </c>
      <c r="K95" s="128">
        <v>0</v>
      </c>
    </row>
    <row r="96" spans="2:11" x14ac:dyDescent="0.25">
      <c r="C96" s="119"/>
      <c r="D96"/>
      <c r="E96" s="145"/>
      <c r="F96" t="s">
        <v>1303</v>
      </c>
      <c r="G96" s="173" t="s">
        <v>1871</v>
      </c>
      <c r="H96" s="118">
        <v>1</v>
      </c>
      <c r="I96" s="118">
        <v>1</v>
      </c>
      <c r="J96" s="128">
        <v>0.08</v>
      </c>
      <c r="K96" s="128">
        <v>1</v>
      </c>
    </row>
    <row r="97" spans="2:11" x14ac:dyDescent="0.25">
      <c r="C97" s="119"/>
      <c r="D97"/>
      <c r="E97" s="145"/>
      <c r="F97" t="s">
        <v>1306</v>
      </c>
      <c r="G97" s="173" t="s">
        <v>1872</v>
      </c>
      <c r="H97" s="118">
        <v>1</v>
      </c>
      <c r="I97" s="118">
        <v>1</v>
      </c>
      <c r="J97" s="128">
        <v>0</v>
      </c>
      <c r="K97" s="128">
        <v>0</v>
      </c>
    </row>
    <row r="98" spans="2:11" x14ac:dyDescent="0.25">
      <c r="C98" s="119"/>
      <c r="D98"/>
      <c r="E98" s="145"/>
      <c r="F98" t="s">
        <v>1309</v>
      </c>
      <c r="G98" s="173" t="s">
        <v>1873</v>
      </c>
      <c r="H98" s="118">
        <v>3</v>
      </c>
      <c r="I98" s="118">
        <v>3</v>
      </c>
      <c r="J98" s="128">
        <v>0</v>
      </c>
      <c r="K98" s="128">
        <v>0</v>
      </c>
    </row>
    <row r="99" spans="2:11" x14ac:dyDescent="0.25">
      <c r="C99" s="119"/>
      <c r="D99"/>
      <c r="E99" s="299" t="s">
        <v>1803</v>
      </c>
      <c r="F99" s="299"/>
      <c r="G99" s="299"/>
      <c r="H99" s="126">
        <v>26</v>
      </c>
      <c r="I99" s="126">
        <v>21</v>
      </c>
      <c r="J99" s="129">
        <v>0</v>
      </c>
      <c r="K99" s="129">
        <v>0</v>
      </c>
    </row>
    <row r="100" spans="2:11" ht="30" x14ac:dyDescent="0.25">
      <c r="C100" s="119"/>
      <c r="D100" t="s">
        <v>1315</v>
      </c>
      <c r="E100" s="145" t="s">
        <v>1817</v>
      </c>
      <c r="F100" t="s">
        <v>1316</v>
      </c>
      <c r="G100" s="173" t="s">
        <v>1874</v>
      </c>
      <c r="H100" s="118">
        <v>7</v>
      </c>
      <c r="I100" s="118">
        <v>2</v>
      </c>
      <c r="J100" s="128">
        <v>3.5714285714285712E-2</v>
      </c>
      <c r="K100" s="128">
        <v>0.5</v>
      </c>
    </row>
    <row r="101" spans="2:11" x14ac:dyDescent="0.25">
      <c r="C101" s="119"/>
      <c r="D101"/>
      <c r="E101" s="299" t="s">
        <v>1904</v>
      </c>
      <c r="F101" s="299"/>
      <c r="G101" s="299"/>
      <c r="H101" s="126">
        <v>7</v>
      </c>
      <c r="I101" s="126">
        <v>2</v>
      </c>
      <c r="J101" s="129">
        <v>3.5714285714285712E-2</v>
      </c>
      <c r="K101" s="129">
        <v>0.5</v>
      </c>
    </row>
    <row r="102" spans="2:11" x14ac:dyDescent="0.25">
      <c r="C102" s="119"/>
      <c r="D102" t="s">
        <v>1328</v>
      </c>
      <c r="E102" s="145" t="s">
        <v>1339</v>
      </c>
      <c r="F102" t="s">
        <v>1340</v>
      </c>
      <c r="G102" s="173" t="s">
        <v>1876</v>
      </c>
      <c r="H102" s="118">
        <v>3</v>
      </c>
      <c r="I102" s="118">
        <v>2</v>
      </c>
      <c r="J102" s="128">
        <v>7.4999999999999997E-2</v>
      </c>
      <c r="K102" s="128">
        <v>1</v>
      </c>
    </row>
    <row r="103" spans="2:11" x14ac:dyDescent="0.25">
      <c r="C103" s="119"/>
      <c r="D103"/>
      <c r="E103" s="145"/>
      <c r="F103" t="s">
        <v>1345</v>
      </c>
      <c r="G103" s="173" t="s">
        <v>1877</v>
      </c>
      <c r="H103" s="118">
        <v>1</v>
      </c>
      <c r="I103" s="118">
        <v>1</v>
      </c>
      <c r="J103" s="128">
        <v>0.5</v>
      </c>
      <c r="K103" s="128">
        <v>1</v>
      </c>
    </row>
    <row r="104" spans="2:11" x14ac:dyDescent="0.25">
      <c r="C104" s="119"/>
      <c r="D104"/>
      <c r="E104" s="145"/>
      <c r="F104" t="s">
        <v>1349</v>
      </c>
      <c r="G104" s="173" t="s">
        <v>1878</v>
      </c>
      <c r="H104" s="118">
        <v>3</v>
      </c>
      <c r="I104" s="118"/>
      <c r="J104" s="128">
        <v>0</v>
      </c>
      <c r="K104" s="128">
        <v>0</v>
      </c>
    </row>
    <row r="105" spans="2:11" x14ac:dyDescent="0.25">
      <c r="C105" s="119"/>
      <c r="D105"/>
      <c r="E105" s="125" t="s">
        <v>1802</v>
      </c>
      <c r="F105" s="125"/>
      <c r="G105" s="125"/>
      <c r="H105" s="126">
        <v>7</v>
      </c>
      <c r="I105" s="126">
        <v>3</v>
      </c>
      <c r="J105" s="129">
        <v>0</v>
      </c>
      <c r="K105" s="129">
        <v>1</v>
      </c>
    </row>
    <row r="106" spans="2:11" x14ac:dyDescent="0.25">
      <c r="C106" s="119"/>
      <c r="D106"/>
      <c r="E106" s="145" t="s">
        <v>1329</v>
      </c>
      <c r="F106" t="s">
        <v>1330</v>
      </c>
      <c r="G106" s="173" t="s">
        <v>1875</v>
      </c>
      <c r="H106" s="118">
        <v>4</v>
      </c>
      <c r="I106" s="118">
        <v>2</v>
      </c>
      <c r="J106" s="128">
        <v>0</v>
      </c>
      <c r="K106" s="128">
        <v>0.5</v>
      </c>
    </row>
    <row r="107" spans="2:11" x14ac:dyDescent="0.25">
      <c r="C107" s="119"/>
      <c r="D107"/>
      <c r="E107" s="125" t="s">
        <v>1803</v>
      </c>
      <c r="F107" s="125"/>
      <c r="G107" s="125"/>
      <c r="H107" s="126">
        <v>4</v>
      </c>
      <c r="I107" s="126">
        <v>2</v>
      </c>
      <c r="J107" s="129">
        <v>0</v>
      </c>
      <c r="K107" s="129">
        <v>0.5</v>
      </c>
    </row>
    <row r="108" spans="2:11" x14ac:dyDescent="0.25">
      <c r="C108" s="123" t="s">
        <v>1804</v>
      </c>
      <c r="D108" s="123"/>
      <c r="E108" s="123"/>
      <c r="F108" s="123"/>
      <c r="G108" s="123"/>
      <c r="H108" s="124">
        <v>67</v>
      </c>
      <c r="I108" s="124">
        <v>48</v>
      </c>
      <c r="J108" s="130">
        <v>0</v>
      </c>
      <c r="K108" s="130">
        <v>0</v>
      </c>
    </row>
    <row r="109" spans="2:11" ht="30" x14ac:dyDescent="0.25">
      <c r="B109" s="110">
        <v>5</v>
      </c>
      <c r="C109" s="119" t="s">
        <v>1750</v>
      </c>
      <c r="D109" t="s">
        <v>1354</v>
      </c>
      <c r="E109" s="145" t="s">
        <v>1355</v>
      </c>
      <c r="F109" t="s">
        <v>1356</v>
      </c>
      <c r="G109" s="127" t="s">
        <v>1357</v>
      </c>
      <c r="H109" s="118">
        <v>9</v>
      </c>
      <c r="I109" s="118"/>
      <c r="J109" s="128">
        <v>0</v>
      </c>
      <c r="K109" s="128">
        <v>0</v>
      </c>
    </row>
    <row r="110" spans="2:11" x14ac:dyDescent="0.25">
      <c r="C110" s="119"/>
      <c r="D110"/>
      <c r="E110" s="145"/>
      <c r="F110" t="s">
        <v>1369</v>
      </c>
      <c r="G110" s="127" t="s">
        <v>1370</v>
      </c>
      <c r="H110" s="118">
        <v>4</v>
      </c>
      <c r="I110" s="118"/>
      <c r="J110" s="128">
        <v>0</v>
      </c>
      <c r="K110" s="128">
        <v>0</v>
      </c>
    </row>
    <row r="111" spans="2:11" x14ac:dyDescent="0.25">
      <c r="C111" s="119"/>
      <c r="D111"/>
      <c r="E111" s="145"/>
      <c r="F111" t="s">
        <v>1377</v>
      </c>
      <c r="G111" s="127" t="s">
        <v>1378</v>
      </c>
      <c r="H111" s="118">
        <v>3</v>
      </c>
      <c r="I111" s="118">
        <v>1</v>
      </c>
      <c r="J111" s="128">
        <v>5.3333333333333337E-2</v>
      </c>
      <c r="K111" s="128">
        <v>1</v>
      </c>
    </row>
    <row r="112" spans="2:11" x14ac:dyDescent="0.25">
      <c r="C112" s="119"/>
      <c r="D112"/>
      <c r="E112" s="145"/>
      <c r="F112" t="s">
        <v>1388</v>
      </c>
      <c r="G112" s="127" t="s">
        <v>1389</v>
      </c>
      <c r="H112" s="118">
        <v>10</v>
      </c>
      <c r="I112" s="118">
        <v>4</v>
      </c>
      <c r="J112" s="128">
        <v>0.15526666666666666</v>
      </c>
      <c r="K112" s="128">
        <v>0.80266666666666664</v>
      </c>
    </row>
    <row r="113" spans="2:11" x14ac:dyDescent="0.25">
      <c r="C113" s="119"/>
      <c r="D113"/>
      <c r="E113" s="145"/>
      <c r="F113" t="s">
        <v>1431</v>
      </c>
      <c r="G113" s="127" t="s">
        <v>1432</v>
      </c>
      <c r="H113" s="118">
        <v>2</v>
      </c>
      <c r="I113" s="118">
        <v>2</v>
      </c>
      <c r="J113" s="128">
        <v>0.18529411764705883</v>
      </c>
      <c r="K113" s="128">
        <v>0.5</v>
      </c>
    </row>
    <row r="114" spans="2:11" x14ac:dyDescent="0.25">
      <c r="C114" s="119"/>
      <c r="D114"/>
      <c r="E114" s="145"/>
      <c r="F114" t="s">
        <v>1444</v>
      </c>
      <c r="G114" s="127" t="s">
        <v>1445</v>
      </c>
      <c r="H114" s="118">
        <v>7</v>
      </c>
      <c r="I114" s="118">
        <v>1</v>
      </c>
      <c r="J114" s="128">
        <v>1.4285714285714287E-2</v>
      </c>
      <c r="K114" s="128">
        <v>1</v>
      </c>
    </row>
    <row r="115" spans="2:11" x14ac:dyDescent="0.25">
      <c r="C115" s="119"/>
      <c r="D115"/>
      <c r="E115" s="125" t="s">
        <v>1805</v>
      </c>
      <c r="F115" s="125"/>
      <c r="G115" s="125"/>
      <c r="H115" s="126">
        <v>35</v>
      </c>
      <c r="I115" s="126">
        <v>8</v>
      </c>
      <c r="J115" s="129">
        <v>0</v>
      </c>
      <c r="K115" s="129">
        <v>0.40133333333333332</v>
      </c>
    </row>
    <row r="116" spans="2:11" x14ac:dyDescent="0.25">
      <c r="C116" s="123" t="s">
        <v>1806</v>
      </c>
      <c r="D116" s="123"/>
      <c r="E116" s="123"/>
      <c r="F116" s="123"/>
      <c r="G116" s="123"/>
      <c r="H116" s="124">
        <v>35</v>
      </c>
      <c r="I116" s="124">
        <v>8</v>
      </c>
      <c r="J116" s="130">
        <v>0</v>
      </c>
      <c r="K116" s="130">
        <v>0.40133333333333332</v>
      </c>
    </row>
    <row r="117" spans="2:11" ht="30" x14ac:dyDescent="0.25">
      <c r="B117" s="110">
        <v>6</v>
      </c>
      <c r="C117" s="119" t="s">
        <v>1751</v>
      </c>
      <c r="D117" t="s">
        <v>1454</v>
      </c>
      <c r="E117" s="145" t="s">
        <v>1455</v>
      </c>
      <c r="F117" t="s">
        <v>1456</v>
      </c>
      <c r="G117" s="173" t="s">
        <v>1879</v>
      </c>
      <c r="H117" s="118">
        <v>16</v>
      </c>
      <c r="I117" s="118">
        <v>9</v>
      </c>
      <c r="J117" s="128">
        <v>0</v>
      </c>
      <c r="K117" s="128">
        <v>0</v>
      </c>
    </row>
    <row r="118" spans="2:11" x14ac:dyDescent="0.25">
      <c r="C118" s="119"/>
      <c r="D118"/>
      <c r="E118" s="145"/>
      <c r="F118" t="s">
        <v>1483</v>
      </c>
      <c r="G118" s="173" t="s">
        <v>1880</v>
      </c>
      <c r="H118" s="118">
        <v>5</v>
      </c>
      <c r="I118" s="118">
        <v>5</v>
      </c>
      <c r="J118" s="128">
        <v>0</v>
      </c>
      <c r="K118" s="128">
        <v>0</v>
      </c>
    </row>
    <row r="119" spans="2:11" x14ac:dyDescent="0.25">
      <c r="C119" s="119"/>
      <c r="D119"/>
      <c r="E119" s="145"/>
      <c r="F119" t="s">
        <v>1493</v>
      </c>
      <c r="G119" s="173" t="s">
        <v>1881</v>
      </c>
      <c r="H119" s="118">
        <v>3</v>
      </c>
      <c r="I119" s="118">
        <v>3</v>
      </c>
      <c r="J119" s="128">
        <v>0</v>
      </c>
      <c r="K119" s="128">
        <v>0</v>
      </c>
    </row>
    <row r="120" spans="2:11" x14ac:dyDescent="0.25">
      <c r="C120" s="119"/>
      <c r="D120"/>
      <c r="E120" s="145"/>
      <c r="F120" t="s">
        <v>1508</v>
      </c>
      <c r="G120" s="173" t="s">
        <v>1882</v>
      </c>
      <c r="H120" s="118">
        <v>5</v>
      </c>
      <c r="I120" s="118">
        <v>4</v>
      </c>
      <c r="J120" s="128">
        <v>0</v>
      </c>
      <c r="K120" s="128">
        <v>0</v>
      </c>
    </row>
    <row r="121" spans="2:11" ht="30" x14ac:dyDescent="0.25">
      <c r="C121" s="119"/>
      <c r="D121"/>
      <c r="E121" s="145"/>
      <c r="F121" t="s">
        <v>1517</v>
      </c>
      <c r="G121" s="173" t="s">
        <v>1883</v>
      </c>
      <c r="H121" s="118">
        <v>11</v>
      </c>
      <c r="I121" s="118">
        <v>10</v>
      </c>
      <c r="J121" s="128">
        <v>0</v>
      </c>
      <c r="K121" s="128">
        <v>0</v>
      </c>
    </row>
    <row r="122" spans="2:11" x14ac:dyDescent="0.25">
      <c r="C122" s="119"/>
      <c r="D122"/>
      <c r="E122" s="145"/>
      <c r="F122" t="s">
        <v>1542</v>
      </c>
      <c r="G122" s="173" t="s">
        <v>1884</v>
      </c>
      <c r="H122" s="118">
        <v>4</v>
      </c>
      <c r="I122" s="118">
        <v>4</v>
      </c>
      <c r="J122" s="128">
        <v>0</v>
      </c>
      <c r="K122" s="128">
        <v>0</v>
      </c>
    </row>
    <row r="123" spans="2:11" ht="30" x14ac:dyDescent="0.25">
      <c r="C123" s="119"/>
      <c r="D123"/>
      <c r="E123" s="145"/>
      <c r="F123" t="s">
        <v>1550</v>
      </c>
      <c r="G123" s="173" t="s">
        <v>1885</v>
      </c>
      <c r="H123" s="118">
        <v>8</v>
      </c>
      <c r="I123" s="118">
        <v>3</v>
      </c>
      <c r="J123" s="128">
        <v>0</v>
      </c>
      <c r="K123" s="128">
        <v>0</v>
      </c>
    </row>
    <row r="124" spans="2:11" x14ac:dyDescent="0.25">
      <c r="C124" s="119"/>
      <c r="D124"/>
      <c r="E124" s="125" t="s">
        <v>1807</v>
      </c>
      <c r="F124" s="125"/>
      <c r="G124" s="125"/>
      <c r="H124" s="126">
        <v>52</v>
      </c>
      <c r="I124" s="126">
        <v>38</v>
      </c>
      <c r="J124" s="129">
        <v>0</v>
      </c>
      <c r="K124" s="129">
        <v>0</v>
      </c>
    </row>
    <row r="125" spans="2:11" x14ac:dyDescent="0.25">
      <c r="C125" s="119"/>
      <c r="D125" t="s">
        <v>1741</v>
      </c>
      <c r="E125" s="145" t="s">
        <v>1825</v>
      </c>
      <c r="F125" t="s">
        <v>1742</v>
      </c>
      <c r="G125" s="173" t="s">
        <v>1900</v>
      </c>
      <c r="H125" s="118">
        <v>2</v>
      </c>
      <c r="I125" s="118">
        <v>2</v>
      </c>
      <c r="J125" s="128">
        <v>0.25</v>
      </c>
      <c r="K125" s="128">
        <v>1</v>
      </c>
    </row>
    <row r="126" spans="2:11" x14ac:dyDescent="0.25">
      <c r="C126" s="119"/>
      <c r="D126"/>
      <c r="E126" s="299" t="s">
        <v>1905</v>
      </c>
      <c r="F126" s="299"/>
      <c r="G126" s="299"/>
      <c r="H126" s="126">
        <v>2</v>
      </c>
      <c r="I126" s="126">
        <v>2</v>
      </c>
      <c r="J126" s="129">
        <v>0.25</v>
      </c>
      <c r="K126" s="129">
        <v>1</v>
      </c>
    </row>
    <row r="127" spans="2:11" ht="30" x14ac:dyDescent="0.25">
      <c r="C127" s="119"/>
      <c r="D127" t="s">
        <v>1569</v>
      </c>
      <c r="E127" s="145" t="s">
        <v>1818</v>
      </c>
      <c r="F127" t="s">
        <v>1570</v>
      </c>
      <c r="G127" s="173" t="s">
        <v>1886</v>
      </c>
      <c r="H127" s="118">
        <v>4</v>
      </c>
      <c r="I127" s="118">
        <v>4</v>
      </c>
      <c r="J127" s="128">
        <v>0.4375</v>
      </c>
      <c r="K127" s="128">
        <v>1</v>
      </c>
    </row>
    <row r="128" spans="2:11" x14ac:dyDescent="0.25">
      <c r="C128" s="119"/>
      <c r="D128"/>
      <c r="E128" s="145"/>
      <c r="F128" t="s">
        <v>1596</v>
      </c>
      <c r="G128" s="173" t="s">
        <v>1889</v>
      </c>
      <c r="H128" s="118">
        <v>1</v>
      </c>
      <c r="I128" s="118"/>
      <c r="J128" s="128">
        <v>0</v>
      </c>
      <c r="K128" s="128">
        <v>0</v>
      </c>
    </row>
    <row r="129" spans="3:11" x14ac:dyDescent="0.25">
      <c r="C129" s="119"/>
      <c r="D129"/>
      <c r="E129" s="145"/>
      <c r="F129" t="s">
        <v>1601</v>
      </c>
      <c r="G129" s="173" t="s">
        <v>1890</v>
      </c>
      <c r="H129" s="118">
        <v>7</v>
      </c>
      <c r="I129" s="118">
        <v>1</v>
      </c>
      <c r="J129" s="128">
        <v>3.5714285714285712E-2</v>
      </c>
      <c r="K129" s="128">
        <v>1</v>
      </c>
    </row>
    <row r="130" spans="3:11" ht="30" x14ac:dyDescent="0.25">
      <c r="C130" s="119"/>
      <c r="D130"/>
      <c r="E130" s="145"/>
      <c r="F130" t="s">
        <v>1576</v>
      </c>
      <c r="G130" s="173" t="s">
        <v>1887</v>
      </c>
      <c r="H130" s="118">
        <v>4</v>
      </c>
      <c r="I130" s="118">
        <v>2</v>
      </c>
      <c r="J130" s="128">
        <v>3.125E-2</v>
      </c>
      <c r="K130" s="128">
        <v>0.5</v>
      </c>
    </row>
    <row r="131" spans="3:11" x14ac:dyDescent="0.25">
      <c r="C131" s="119"/>
      <c r="D131"/>
      <c r="E131" s="145"/>
      <c r="F131" t="s">
        <v>1586</v>
      </c>
      <c r="G131" s="173" t="s">
        <v>1888</v>
      </c>
      <c r="H131" s="118">
        <v>7</v>
      </c>
      <c r="I131" s="118"/>
      <c r="J131" s="128">
        <v>0</v>
      </c>
      <c r="K131" s="128">
        <v>0</v>
      </c>
    </row>
    <row r="132" spans="3:11" x14ac:dyDescent="0.25">
      <c r="C132" s="119"/>
      <c r="D132"/>
      <c r="E132" s="145"/>
      <c r="F132" t="s">
        <v>1613</v>
      </c>
      <c r="G132" s="173" t="s">
        <v>1891</v>
      </c>
      <c r="H132" s="118">
        <v>6</v>
      </c>
      <c r="I132" s="118"/>
      <c r="J132" s="128">
        <v>0</v>
      </c>
      <c r="K132" s="128">
        <v>0</v>
      </c>
    </row>
    <row r="133" spans="3:11" x14ac:dyDescent="0.25">
      <c r="C133" s="119"/>
      <c r="D133"/>
      <c r="E133" s="145"/>
      <c r="F133" t="s">
        <v>1622</v>
      </c>
      <c r="G133" s="173" t="s">
        <v>1892</v>
      </c>
      <c r="H133" s="118">
        <v>3</v>
      </c>
      <c r="I133" s="118">
        <v>1</v>
      </c>
      <c r="J133" s="128">
        <v>0.16666666666666666</v>
      </c>
      <c r="K133" s="128">
        <v>1</v>
      </c>
    </row>
    <row r="134" spans="3:11" x14ac:dyDescent="0.25">
      <c r="C134" s="119"/>
      <c r="D134"/>
      <c r="E134" s="145"/>
      <c r="F134" t="s">
        <v>1628</v>
      </c>
      <c r="G134" s="173" t="s">
        <v>1893</v>
      </c>
      <c r="H134" s="118">
        <v>5</v>
      </c>
      <c r="I134" s="118">
        <v>2</v>
      </c>
      <c r="J134" s="128">
        <v>0.125</v>
      </c>
      <c r="K134" s="128">
        <v>1</v>
      </c>
    </row>
    <row r="135" spans="3:11" x14ac:dyDescent="0.25">
      <c r="C135" s="119"/>
      <c r="D135"/>
      <c r="E135" s="299" t="s">
        <v>1906</v>
      </c>
      <c r="F135" s="299"/>
      <c r="G135" s="299"/>
      <c r="H135" s="126">
        <v>37</v>
      </c>
      <c r="I135" s="126">
        <v>10</v>
      </c>
      <c r="J135" s="129">
        <v>0</v>
      </c>
      <c r="K135" s="129">
        <v>0.5</v>
      </c>
    </row>
    <row r="136" spans="3:11" ht="30" x14ac:dyDescent="0.25">
      <c r="C136" s="119"/>
      <c r="D136" t="s">
        <v>1635</v>
      </c>
      <c r="E136" s="145" t="s">
        <v>1819</v>
      </c>
      <c r="F136" t="s">
        <v>1636</v>
      </c>
      <c r="G136" s="173" t="s">
        <v>1894</v>
      </c>
      <c r="H136" s="118">
        <v>9</v>
      </c>
      <c r="I136" s="118">
        <v>7</v>
      </c>
      <c r="J136" s="128">
        <v>0.36296296296296293</v>
      </c>
      <c r="K136" s="128">
        <v>0.65714285714285714</v>
      </c>
    </row>
    <row r="137" spans="3:11" x14ac:dyDescent="0.25">
      <c r="C137" s="119"/>
      <c r="D137"/>
      <c r="E137" s="299" t="s">
        <v>1907</v>
      </c>
      <c r="F137" s="299"/>
      <c r="G137" s="299"/>
      <c r="H137" s="126">
        <v>9</v>
      </c>
      <c r="I137" s="126">
        <v>7</v>
      </c>
      <c r="J137" s="129">
        <v>0.36296296296296293</v>
      </c>
      <c r="K137" s="129">
        <v>0.65714285714285714</v>
      </c>
    </row>
    <row r="138" spans="3:11" x14ac:dyDescent="0.25">
      <c r="C138" s="119"/>
      <c r="D138" t="s">
        <v>1666</v>
      </c>
      <c r="E138" s="145" t="s">
        <v>1820</v>
      </c>
      <c r="F138" t="s">
        <v>1667</v>
      </c>
      <c r="G138" s="173" t="s">
        <v>1895</v>
      </c>
      <c r="H138" s="118">
        <v>4</v>
      </c>
      <c r="I138" s="118">
        <v>4</v>
      </c>
      <c r="J138" s="128">
        <v>0.52594819611470855</v>
      </c>
      <c r="K138" s="128">
        <v>0.8563829787234043</v>
      </c>
    </row>
    <row r="139" spans="3:11" x14ac:dyDescent="0.25">
      <c r="C139" s="119"/>
      <c r="D139"/>
      <c r="E139" s="299" t="s">
        <v>1908</v>
      </c>
      <c r="F139" s="299"/>
      <c r="G139" s="299"/>
      <c r="H139" s="126">
        <v>4</v>
      </c>
      <c r="I139" s="126">
        <v>4</v>
      </c>
      <c r="J139" s="129">
        <v>0.52594819611470855</v>
      </c>
      <c r="K139" s="129">
        <v>0.8563829787234043</v>
      </c>
    </row>
    <row r="140" spans="3:11" ht="30" x14ac:dyDescent="0.25">
      <c r="C140" s="119"/>
      <c r="D140" t="s">
        <v>1674</v>
      </c>
      <c r="E140" s="145" t="s">
        <v>1675</v>
      </c>
      <c r="F140" t="s">
        <v>1676</v>
      </c>
      <c r="G140" s="173" t="s">
        <v>1896</v>
      </c>
      <c r="H140" s="118">
        <v>7</v>
      </c>
      <c r="I140" s="118">
        <v>6</v>
      </c>
      <c r="J140" s="128">
        <v>0.61904761904761896</v>
      </c>
      <c r="K140" s="128">
        <v>0.66666666666666663</v>
      </c>
    </row>
    <row r="141" spans="3:11" x14ac:dyDescent="0.25">
      <c r="C141" s="119"/>
      <c r="D141"/>
      <c r="E141" s="125" t="s">
        <v>1808</v>
      </c>
      <c r="F141" s="125"/>
      <c r="G141" s="125"/>
      <c r="H141" s="126">
        <v>7</v>
      </c>
      <c r="I141" s="126">
        <v>6</v>
      </c>
      <c r="J141" s="129">
        <v>0.61904761904761896</v>
      </c>
      <c r="K141" s="129">
        <v>0.66666666666666663</v>
      </c>
    </row>
    <row r="142" spans="3:11" x14ac:dyDescent="0.25">
      <c r="C142" s="119"/>
      <c r="D142" t="s">
        <v>1696</v>
      </c>
      <c r="E142" s="145" t="s">
        <v>1821</v>
      </c>
      <c r="F142" t="s">
        <v>1697</v>
      </c>
      <c r="G142" s="173" t="s">
        <v>1897</v>
      </c>
      <c r="H142" s="118">
        <v>9</v>
      </c>
      <c r="I142" s="118">
        <v>8</v>
      </c>
      <c r="J142" s="128">
        <v>0.25462962962962959</v>
      </c>
      <c r="K142" s="128">
        <v>0.5</v>
      </c>
    </row>
    <row r="143" spans="3:11" x14ac:dyDescent="0.25">
      <c r="C143" s="119"/>
      <c r="D143"/>
      <c r="E143" s="299" t="s">
        <v>1909</v>
      </c>
      <c r="F143" s="299"/>
      <c r="G143" s="299"/>
      <c r="H143" s="126">
        <v>9</v>
      </c>
      <c r="I143" s="126">
        <v>8</v>
      </c>
      <c r="J143" s="129">
        <v>0.25462962962962959</v>
      </c>
      <c r="K143" s="129">
        <v>0.5</v>
      </c>
    </row>
    <row r="144" spans="3:11" x14ac:dyDescent="0.25">
      <c r="C144" s="119"/>
      <c r="D144" t="s">
        <v>1724</v>
      </c>
      <c r="E144" s="145" t="s">
        <v>1822</v>
      </c>
      <c r="F144" t="s">
        <v>1725</v>
      </c>
      <c r="G144" s="173" t="s">
        <v>1898</v>
      </c>
      <c r="H144" s="118">
        <v>5</v>
      </c>
      <c r="I144" s="118">
        <v>4</v>
      </c>
      <c r="J144" s="128">
        <v>9.8333333333333342E-2</v>
      </c>
      <c r="K144" s="128">
        <v>1</v>
      </c>
    </row>
    <row r="145" spans="2:11" x14ac:dyDescent="0.25">
      <c r="C145" s="119"/>
      <c r="D145"/>
      <c r="E145" s="299" t="s">
        <v>1910</v>
      </c>
      <c r="F145" s="299"/>
      <c r="G145" s="299"/>
      <c r="H145" s="126">
        <v>5</v>
      </c>
      <c r="I145" s="126">
        <v>4</v>
      </c>
      <c r="J145" s="129">
        <v>9.8333333333333342E-2</v>
      </c>
      <c r="K145" s="129">
        <v>1</v>
      </c>
    </row>
    <row r="146" spans="2:11" x14ac:dyDescent="0.25">
      <c r="C146" s="119"/>
      <c r="D146" t="s">
        <v>1731</v>
      </c>
      <c r="E146" s="145" t="s">
        <v>1823</v>
      </c>
      <c r="F146" t="s">
        <v>1732</v>
      </c>
      <c r="G146" s="173" t="s">
        <v>1899</v>
      </c>
      <c r="H146" s="118">
        <v>2</v>
      </c>
      <c r="I146" s="118">
        <v>2</v>
      </c>
      <c r="J146" s="128">
        <v>0.17499999999999999</v>
      </c>
      <c r="K146" s="128">
        <v>1</v>
      </c>
    </row>
    <row r="147" spans="2:11" x14ac:dyDescent="0.25">
      <c r="C147" s="119"/>
      <c r="D147"/>
      <c r="E147" s="299" t="s">
        <v>1911</v>
      </c>
      <c r="F147" s="299"/>
      <c r="G147" s="299"/>
      <c r="H147" s="126">
        <v>2</v>
      </c>
      <c r="I147" s="126">
        <v>2</v>
      </c>
      <c r="J147" s="129">
        <v>0.17499999999999999</v>
      </c>
      <c r="K147" s="129">
        <v>1</v>
      </c>
    </row>
    <row r="148" spans="2:11" x14ac:dyDescent="0.25">
      <c r="C148" s="119"/>
      <c r="D148" t="s">
        <v>1736</v>
      </c>
      <c r="E148" s="145" t="s">
        <v>1824</v>
      </c>
      <c r="F148" t="s">
        <v>1737</v>
      </c>
      <c r="G148" s="173" t="s">
        <v>1832</v>
      </c>
      <c r="H148" s="118">
        <v>2</v>
      </c>
      <c r="I148" s="118">
        <v>2</v>
      </c>
      <c r="J148" s="128">
        <v>6.5000000000000002E-2</v>
      </c>
      <c r="K148" s="128">
        <v>1</v>
      </c>
    </row>
    <row r="149" spans="2:11" x14ac:dyDescent="0.25">
      <c r="C149" s="119"/>
      <c r="D149"/>
      <c r="E149" s="299" t="s">
        <v>1912</v>
      </c>
      <c r="F149" s="299"/>
      <c r="G149" s="299"/>
      <c r="H149" s="126">
        <v>2</v>
      </c>
      <c r="I149" s="126">
        <v>2</v>
      </c>
      <c r="J149" s="129">
        <v>6.5000000000000002E-2</v>
      </c>
      <c r="K149" s="129">
        <v>1</v>
      </c>
    </row>
    <row r="150" spans="2:11" x14ac:dyDescent="0.25">
      <c r="C150" s="123" t="s">
        <v>1809</v>
      </c>
      <c r="D150" s="123"/>
      <c r="E150" s="123"/>
      <c r="F150" s="123"/>
      <c r="G150" s="123"/>
      <c r="H150" s="124">
        <v>129</v>
      </c>
      <c r="I150" s="124">
        <v>83</v>
      </c>
      <c r="J150" s="130">
        <v>0</v>
      </c>
      <c r="K150" s="130">
        <v>0</v>
      </c>
    </row>
    <row r="151" spans="2:11" x14ac:dyDescent="0.25">
      <c r="B151" s="110" t="s">
        <v>1752</v>
      </c>
      <c r="C151" s="110"/>
      <c r="H151" s="118">
        <v>561</v>
      </c>
      <c r="I151" s="118">
        <v>379</v>
      </c>
      <c r="J151" s="128">
        <v>0</v>
      </c>
      <c r="K151" s="128">
        <v>0</v>
      </c>
    </row>
    <row r="152" spans="2:11" x14ac:dyDescent="0.25">
      <c r="B152"/>
      <c r="C152"/>
      <c r="D152"/>
      <c r="E152"/>
      <c r="F152"/>
      <c r="G152"/>
      <c r="H152"/>
      <c r="I152"/>
      <c r="J152"/>
      <c r="K152"/>
    </row>
    <row r="153" spans="2:11" x14ac:dyDescent="0.25">
      <c r="B153"/>
      <c r="C153"/>
      <c r="D153"/>
      <c r="E153"/>
      <c r="F153"/>
      <c r="G153"/>
      <c r="H153"/>
      <c r="I153"/>
      <c r="J153"/>
      <c r="K153"/>
    </row>
    <row r="154" spans="2:11" x14ac:dyDescent="0.25">
      <c r="B154"/>
      <c r="C154"/>
      <c r="D154"/>
      <c r="E154"/>
      <c r="F154"/>
      <c r="G154"/>
      <c r="H154"/>
      <c r="I154"/>
      <c r="J154"/>
      <c r="K154"/>
    </row>
    <row r="155" spans="2:11" x14ac:dyDescent="0.25">
      <c r="B155"/>
      <c r="C155"/>
      <c r="D155"/>
      <c r="E155"/>
      <c r="F155"/>
      <c r="G155"/>
      <c r="H155"/>
      <c r="I155"/>
      <c r="J155"/>
      <c r="K155"/>
    </row>
    <row r="156" spans="2:11" x14ac:dyDescent="0.25">
      <c r="B156"/>
      <c r="C156"/>
      <c r="D156"/>
      <c r="E156"/>
      <c r="F156"/>
      <c r="G156"/>
      <c r="H156"/>
      <c r="I156"/>
      <c r="J156"/>
      <c r="K156"/>
    </row>
    <row r="157" spans="2:11" x14ac:dyDescent="0.25">
      <c r="B157"/>
      <c r="C157"/>
      <c r="D157"/>
      <c r="E157"/>
      <c r="F157"/>
      <c r="G157"/>
      <c r="H157"/>
      <c r="I157"/>
      <c r="J157"/>
      <c r="K157"/>
    </row>
    <row r="158" spans="2:11" x14ac:dyDescent="0.25">
      <c r="B158"/>
      <c r="C158"/>
      <c r="D158"/>
      <c r="E158"/>
      <c r="F158"/>
      <c r="G158"/>
      <c r="H158"/>
      <c r="I158"/>
      <c r="J158"/>
      <c r="K158"/>
    </row>
    <row r="159" spans="2:11" x14ac:dyDescent="0.25">
      <c r="B159"/>
      <c r="C159"/>
      <c r="D159"/>
      <c r="E159"/>
      <c r="F159"/>
      <c r="G159"/>
      <c r="H159"/>
      <c r="I159"/>
      <c r="J159"/>
      <c r="K159"/>
    </row>
    <row r="160" spans="2:11" x14ac:dyDescent="0.25">
      <c r="B160"/>
      <c r="C160"/>
      <c r="D160"/>
      <c r="E160"/>
      <c r="F160"/>
      <c r="G160"/>
      <c r="H160"/>
      <c r="I160"/>
      <c r="J160"/>
      <c r="K160"/>
    </row>
    <row r="161" spans="2:11" x14ac:dyDescent="0.25">
      <c r="B161"/>
      <c r="C161"/>
      <c r="D161"/>
      <c r="E161"/>
      <c r="F161"/>
      <c r="G161"/>
      <c r="H161"/>
      <c r="I161"/>
      <c r="J161"/>
      <c r="K161"/>
    </row>
    <row r="162" spans="2:11" x14ac:dyDescent="0.25">
      <c r="B162"/>
      <c r="C162"/>
      <c r="D162"/>
      <c r="E162"/>
      <c r="F162"/>
      <c r="G162"/>
      <c r="H162"/>
      <c r="I162"/>
      <c r="J162"/>
      <c r="K162"/>
    </row>
    <row r="163" spans="2:11" x14ac:dyDescent="0.25">
      <c r="B163"/>
      <c r="C163"/>
      <c r="D163"/>
      <c r="E163"/>
      <c r="F163"/>
      <c r="G163"/>
      <c r="H163"/>
      <c r="I163"/>
      <c r="J163"/>
      <c r="K163"/>
    </row>
    <row r="164" spans="2:11" x14ac:dyDescent="0.25">
      <c r="C164" s="110"/>
    </row>
    <row r="165" spans="2:11" x14ac:dyDescent="0.25">
      <c r="C165" s="110"/>
    </row>
    <row r="166" spans="2:11" x14ac:dyDescent="0.25">
      <c r="C166" s="110"/>
    </row>
    <row r="167" spans="2:11" x14ac:dyDescent="0.25">
      <c r="C167" s="110"/>
    </row>
    <row r="168" spans="2:11" x14ac:dyDescent="0.25">
      <c r="C168" s="110"/>
    </row>
    <row r="169" spans="2:11" x14ac:dyDescent="0.25">
      <c r="C169" s="110"/>
    </row>
    <row r="170" spans="2:11" x14ac:dyDescent="0.25">
      <c r="C170" s="110"/>
    </row>
    <row r="171" spans="2:11" x14ac:dyDescent="0.25">
      <c r="C171" s="110"/>
    </row>
    <row r="172" spans="2:11" x14ac:dyDescent="0.25">
      <c r="C172" s="110"/>
    </row>
    <row r="173" spans="2:11" x14ac:dyDescent="0.25">
      <c r="C173" s="110"/>
    </row>
    <row r="174" spans="2:11" x14ac:dyDescent="0.25">
      <c r="C174" s="110"/>
    </row>
    <row r="175" spans="2:11" x14ac:dyDescent="0.25">
      <c r="C175" s="110"/>
    </row>
    <row r="176" spans="2:11" x14ac:dyDescent="0.25">
      <c r="C176" s="110"/>
    </row>
    <row r="177" spans="3:3" x14ac:dyDescent="0.25">
      <c r="C177" s="110"/>
    </row>
    <row r="178" spans="3:3" x14ac:dyDescent="0.25">
      <c r="C178" s="110"/>
    </row>
    <row r="179" spans="3:3" x14ac:dyDescent="0.25">
      <c r="C179" s="110"/>
    </row>
    <row r="180" spans="3:3" x14ac:dyDescent="0.25">
      <c r="C180" s="110"/>
    </row>
    <row r="181" spans="3:3" x14ac:dyDescent="0.25">
      <c r="C181" s="110"/>
    </row>
    <row r="182" spans="3:3" x14ac:dyDescent="0.25">
      <c r="C182" s="110"/>
    </row>
    <row r="183" spans="3:3" x14ac:dyDescent="0.25">
      <c r="C183" s="110"/>
    </row>
    <row r="184" spans="3:3" x14ac:dyDescent="0.25">
      <c r="C184" s="110"/>
    </row>
    <row r="185" spans="3:3" x14ac:dyDescent="0.25">
      <c r="C185" s="110"/>
    </row>
    <row r="186" spans="3:3" x14ac:dyDescent="0.25">
      <c r="C186" s="110"/>
    </row>
    <row r="187" spans="3:3" x14ac:dyDescent="0.25">
      <c r="C187" s="110"/>
    </row>
    <row r="188" spans="3:3" x14ac:dyDescent="0.25">
      <c r="C188" s="110"/>
    </row>
    <row r="189" spans="3:3" x14ac:dyDescent="0.25">
      <c r="C189" s="110"/>
    </row>
    <row r="190" spans="3:3" x14ac:dyDescent="0.25">
      <c r="C190" s="110"/>
    </row>
    <row r="191" spans="3:3" x14ac:dyDescent="0.25">
      <c r="C191" s="110"/>
    </row>
    <row r="192" spans="3:3" x14ac:dyDescent="0.25">
      <c r="C192" s="110"/>
    </row>
    <row r="193" spans="3:3" x14ac:dyDescent="0.25">
      <c r="C193" s="110"/>
    </row>
    <row r="194" spans="3:3" x14ac:dyDescent="0.25">
      <c r="C194" s="110"/>
    </row>
    <row r="195" spans="3:3" x14ac:dyDescent="0.25">
      <c r="C195" s="110"/>
    </row>
    <row r="196" spans="3:3" x14ac:dyDescent="0.25">
      <c r="C196" s="110"/>
    </row>
    <row r="197" spans="3:3" x14ac:dyDescent="0.25">
      <c r="C197" s="110"/>
    </row>
    <row r="198" spans="3:3" x14ac:dyDescent="0.25">
      <c r="C198" s="110"/>
    </row>
    <row r="199" spans="3:3" x14ac:dyDescent="0.25">
      <c r="C199" s="110"/>
    </row>
    <row r="200" spans="3:3" x14ac:dyDescent="0.25">
      <c r="C200" s="110"/>
    </row>
    <row r="201" spans="3:3" x14ac:dyDescent="0.25">
      <c r="C201" s="110"/>
    </row>
    <row r="202" spans="3:3" x14ac:dyDescent="0.25">
      <c r="C202" s="110"/>
    </row>
    <row r="203" spans="3:3" x14ac:dyDescent="0.25">
      <c r="C203" s="110"/>
    </row>
    <row r="204" spans="3:3" x14ac:dyDescent="0.25">
      <c r="C204" s="110"/>
    </row>
    <row r="205" spans="3:3" x14ac:dyDescent="0.25">
      <c r="C205" s="110"/>
    </row>
    <row r="206" spans="3:3" x14ac:dyDescent="0.25">
      <c r="C206" s="110"/>
    </row>
    <row r="207" spans="3:3" x14ac:dyDescent="0.25">
      <c r="C207" s="110"/>
    </row>
    <row r="208" spans="3:3" x14ac:dyDescent="0.25">
      <c r="C208" s="110"/>
    </row>
    <row r="209" spans="3:3" x14ac:dyDescent="0.25">
      <c r="C209" s="110"/>
    </row>
    <row r="210" spans="3:3" x14ac:dyDescent="0.25">
      <c r="C210" s="110"/>
    </row>
    <row r="211" spans="3:3" x14ac:dyDescent="0.25">
      <c r="C211" s="110"/>
    </row>
    <row r="212" spans="3:3" x14ac:dyDescent="0.25">
      <c r="C212" s="110"/>
    </row>
    <row r="213" spans="3:3" x14ac:dyDescent="0.25">
      <c r="C213" s="110"/>
    </row>
    <row r="214" spans="3:3" x14ac:dyDescent="0.25">
      <c r="C214" s="110"/>
    </row>
    <row r="215" spans="3:3" x14ac:dyDescent="0.25">
      <c r="C215" s="110"/>
    </row>
    <row r="216" spans="3:3" x14ac:dyDescent="0.25">
      <c r="C216" s="110"/>
    </row>
    <row r="217" spans="3:3" x14ac:dyDescent="0.25">
      <c r="C217" s="110"/>
    </row>
    <row r="218" spans="3:3" x14ac:dyDescent="0.25">
      <c r="C218" s="110"/>
    </row>
    <row r="219" spans="3:3" x14ac:dyDescent="0.25">
      <c r="C219" s="110"/>
    </row>
    <row r="220" spans="3:3" x14ac:dyDescent="0.25">
      <c r="C220" s="110"/>
    </row>
    <row r="221" spans="3:3" x14ac:dyDescent="0.25">
      <c r="C221" s="110"/>
    </row>
    <row r="222" spans="3:3" x14ac:dyDescent="0.25">
      <c r="C222" s="110"/>
    </row>
    <row r="223" spans="3:3" x14ac:dyDescent="0.25">
      <c r="C223" s="110"/>
    </row>
    <row r="224" spans="3:3" x14ac:dyDescent="0.25">
      <c r="C224" s="110"/>
    </row>
    <row r="225" spans="3:3" x14ac:dyDescent="0.25">
      <c r="C225" s="110"/>
    </row>
    <row r="226" spans="3:3" x14ac:dyDescent="0.25">
      <c r="C226" s="110"/>
    </row>
    <row r="227" spans="3:3" x14ac:dyDescent="0.25">
      <c r="C227" s="110"/>
    </row>
    <row r="228" spans="3:3" x14ac:dyDescent="0.25">
      <c r="C228" s="110"/>
    </row>
    <row r="229" spans="3:3" x14ac:dyDescent="0.25">
      <c r="C229" s="110"/>
    </row>
    <row r="230" spans="3:3" x14ac:dyDescent="0.25">
      <c r="C230" s="110"/>
    </row>
    <row r="231" spans="3:3" x14ac:dyDescent="0.25">
      <c r="C231" s="110"/>
    </row>
    <row r="232" spans="3:3" x14ac:dyDescent="0.25">
      <c r="C232" s="110"/>
    </row>
    <row r="233" spans="3:3" x14ac:dyDescent="0.25">
      <c r="C233" s="110"/>
    </row>
    <row r="234" spans="3:3" x14ac:dyDescent="0.25">
      <c r="C234" s="110"/>
    </row>
    <row r="235" spans="3:3" x14ac:dyDescent="0.25">
      <c r="C235" s="110"/>
    </row>
    <row r="236" spans="3:3" x14ac:dyDescent="0.25">
      <c r="C236" s="110"/>
    </row>
    <row r="237" spans="3:3" x14ac:dyDescent="0.25">
      <c r="C237" s="110"/>
    </row>
    <row r="238" spans="3:3" x14ac:dyDescent="0.25">
      <c r="C238" s="110"/>
    </row>
    <row r="239" spans="3:3" x14ac:dyDescent="0.25">
      <c r="C239" s="110"/>
    </row>
    <row r="240" spans="3:3" x14ac:dyDescent="0.25">
      <c r="C240" s="110"/>
    </row>
    <row r="241" spans="3:3" x14ac:dyDescent="0.25">
      <c r="C241" s="110"/>
    </row>
    <row r="242" spans="3:3" x14ac:dyDescent="0.25">
      <c r="C242" s="110"/>
    </row>
    <row r="243" spans="3:3" x14ac:dyDescent="0.25">
      <c r="C243" s="110"/>
    </row>
    <row r="244" spans="3:3" x14ac:dyDescent="0.25">
      <c r="C244" s="110"/>
    </row>
    <row r="245" spans="3:3" x14ac:dyDescent="0.25">
      <c r="C245" s="110"/>
    </row>
    <row r="246" spans="3:3" x14ac:dyDescent="0.25">
      <c r="C246" s="110"/>
    </row>
    <row r="247" spans="3:3" x14ac:dyDescent="0.25">
      <c r="C247" s="110"/>
    </row>
    <row r="248" spans="3:3" x14ac:dyDescent="0.25">
      <c r="C248" s="110"/>
    </row>
    <row r="249" spans="3:3" x14ac:dyDescent="0.25">
      <c r="C249" s="110"/>
    </row>
    <row r="250" spans="3:3" x14ac:dyDescent="0.25">
      <c r="C250" s="110"/>
    </row>
    <row r="251" spans="3:3" x14ac:dyDescent="0.25">
      <c r="C251" s="110"/>
    </row>
    <row r="252" spans="3:3" x14ac:dyDescent="0.25">
      <c r="C252" s="110"/>
    </row>
    <row r="253" spans="3:3" x14ac:dyDescent="0.25">
      <c r="C253" s="110"/>
    </row>
    <row r="254" spans="3:3" x14ac:dyDescent="0.25">
      <c r="C254" s="110"/>
    </row>
    <row r="255" spans="3:3" x14ac:dyDescent="0.25">
      <c r="C255" s="110"/>
    </row>
    <row r="256" spans="3:3" x14ac:dyDescent="0.25">
      <c r="C256" s="110"/>
    </row>
    <row r="257" spans="3:3" x14ac:dyDescent="0.25">
      <c r="C257" s="110"/>
    </row>
    <row r="258" spans="3:3" x14ac:dyDescent="0.25">
      <c r="C258" s="110"/>
    </row>
    <row r="259" spans="3:3" x14ac:dyDescent="0.25">
      <c r="C259" s="110"/>
    </row>
    <row r="260" spans="3:3" x14ac:dyDescent="0.25">
      <c r="C260" s="110"/>
    </row>
    <row r="261" spans="3:3" x14ac:dyDescent="0.25">
      <c r="C261" s="110"/>
    </row>
    <row r="262" spans="3:3" x14ac:dyDescent="0.25">
      <c r="C262" s="110"/>
    </row>
    <row r="263" spans="3:3" x14ac:dyDescent="0.25">
      <c r="C263" s="110"/>
    </row>
    <row r="264" spans="3:3" x14ac:dyDescent="0.25">
      <c r="C264" s="110"/>
    </row>
    <row r="265" spans="3:3" x14ac:dyDescent="0.25">
      <c r="C265" s="110"/>
    </row>
    <row r="266" spans="3:3" x14ac:dyDescent="0.25">
      <c r="C266" s="110"/>
    </row>
    <row r="267" spans="3:3" x14ac:dyDescent="0.25">
      <c r="C267" s="110"/>
    </row>
    <row r="268" spans="3:3" x14ac:dyDescent="0.25">
      <c r="C268" s="110"/>
    </row>
    <row r="269" spans="3:3" x14ac:dyDescent="0.25">
      <c r="C269" s="110"/>
    </row>
    <row r="270" spans="3:3" x14ac:dyDescent="0.25">
      <c r="C270" s="110"/>
    </row>
    <row r="271" spans="3:3" x14ac:dyDescent="0.25">
      <c r="C271" s="110"/>
    </row>
    <row r="272" spans="3:3" x14ac:dyDescent="0.25">
      <c r="C272" s="110"/>
    </row>
    <row r="273" spans="3:3" x14ac:dyDescent="0.25">
      <c r="C273" s="110"/>
    </row>
    <row r="274" spans="3:3" x14ac:dyDescent="0.25">
      <c r="C274" s="110"/>
    </row>
    <row r="275" spans="3:3" x14ac:dyDescent="0.25">
      <c r="C275" s="110"/>
    </row>
    <row r="276" spans="3:3" x14ac:dyDescent="0.25">
      <c r="C276" s="110"/>
    </row>
    <row r="277" spans="3:3" x14ac:dyDescent="0.25">
      <c r="C277" s="110"/>
    </row>
    <row r="278" spans="3:3" x14ac:dyDescent="0.25">
      <c r="C278" s="110"/>
    </row>
    <row r="279" spans="3:3" x14ac:dyDescent="0.25">
      <c r="C279" s="110"/>
    </row>
    <row r="280" spans="3:3" x14ac:dyDescent="0.25">
      <c r="C280" s="110"/>
    </row>
    <row r="281" spans="3:3" x14ac:dyDescent="0.25">
      <c r="C281" s="110"/>
    </row>
    <row r="282" spans="3:3" x14ac:dyDescent="0.25">
      <c r="C282" s="110"/>
    </row>
    <row r="283" spans="3:3" x14ac:dyDescent="0.25">
      <c r="C283" s="110"/>
    </row>
    <row r="284" spans="3:3" x14ac:dyDescent="0.25">
      <c r="C284" s="110"/>
    </row>
    <row r="285" spans="3:3" x14ac:dyDescent="0.25">
      <c r="C285" s="110"/>
    </row>
    <row r="286" spans="3:3" x14ac:dyDescent="0.25">
      <c r="C286" s="110"/>
    </row>
    <row r="287" spans="3:3" x14ac:dyDescent="0.25">
      <c r="C287" s="110"/>
    </row>
    <row r="288" spans="3:3" x14ac:dyDescent="0.25">
      <c r="C288" s="110"/>
    </row>
    <row r="289" spans="3:3" x14ac:dyDescent="0.25">
      <c r="C289" s="110"/>
    </row>
    <row r="290" spans="3:3" x14ac:dyDescent="0.25">
      <c r="C290" s="110"/>
    </row>
    <row r="291" spans="3:3" x14ac:dyDescent="0.25">
      <c r="C291" s="110"/>
    </row>
    <row r="292" spans="3:3" x14ac:dyDescent="0.25">
      <c r="C292" s="110"/>
    </row>
    <row r="293" spans="3:3" x14ac:dyDescent="0.25">
      <c r="C293" s="110"/>
    </row>
    <row r="294" spans="3:3" x14ac:dyDescent="0.25">
      <c r="C294" s="110"/>
    </row>
    <row r="295" spans="3:3" x14ac:dyDescent="0.25">
      <c r="C295" s="110"/>
    </row>
    <row r="296" spans="3:3" x14ac:dyDescent="0.25">
      <c r="C296" s="110"/>
    </row>
    <row r="297" spans="3:3" x14ac:dyDescent="0.25">
      <c r="C297" s="110"/>
    </row>
    <row r="298" spans="3:3" x14ac:dyDescent="0.25">
      <c r="C298" s="110"/>
    </row>
    <row r="299" spans="3:3" x14ac:dyDescent="0.25">
      <c r="C299" s="110"/>
    </row>
    <row r="300" spans="3:3" x14ac:dyDescent="0.25">
      <c r="C300" s="110"/>
    </row>
    <row r="301" spans="3:3" x14ac:dyDescent="0.25">
      <c r="C301" s="110"/>
    </row>
    <row r="302" spans="3:3" x14ac:dyDescent="0.25">
      <c r="C302" s="110"/>
    </row>
    <row r="303" spans="3:3" x14ac:dyDescent="0.25">
      <c r="C303" s="110"/>
    </row>
    <row r="304" spans="3:3" x14ac:dyDescent="0.25">
      <c r="C304" s="110"/>
    </row>
    <row r="305" spans="3:3" x14ac:dyDescent="0.25">
      <c r="C305" s="110"/>
    </row>
    <row r="306" spans="3:3" x14ac:dyDescent="0.25">
      <c r="C306" s="110"/>
    </row>
    <row r="307" spans="3:3" x14ac:dyDescent="0.25">
      <c r="C307" s="110"/>
    </row>
    <row r="308" spans="3:3" x14ac:dyDescent="0.25">
      <c r="C308" s="110"/>
    </row>
    <row r="309" spans="3:3" x14ac:dyDescent="0.25">
      <c r="C309" s="110"/>
    </row>
    <row r="310" spans="3:3" x14ac:dyDescent="0.25">
      <c r="C310" s="110"/>
    </row>
    <row r="311" spans="3:3" x14ac:dyDescent="0.25">
      <c r="C311" s="110"/>
    </row>
    <row r="312" spans="3:3" x14ac:dyDescent="0.25">
      <c r="C312" s="110"/>
    </row>
    <row r="313" spans="3:3" x14ac:dyDescent="0.25">
      <c r="C313" s="110"/>
    </row>
    <row r="314" spans="3:3" x14ac:dyDescent="0.25">
      <c r="C314" s="110"/>
    </row>
    <row r="315" spans="3:3" x14ac:dyDescent="0.25">
      <c r="C315" s="110"/>
    </row>
    <row r="316" spans="3:3" x14ac:dyDescent="0.25">
      <c r="C316" s="110"/>
    </row>
    <row r="317" spans="3:3" x14ac:dyDescent="0.25">
      <c r="C317" s="110"/>
    </row>
    <row r="318" spans="3:3" x14ac:dyDescent="0.25">
      <c r="C318" s="110"/>
    </row>
    <row r="319" spans="3:3" x14ac:dyDescent="0.25">
      <c r="C319" s="110"/>
    </row>
    <row r="320" spans="3:3" x14ac:dyDescent="0.25">
      <c r="C320" s="110"/>
    </row>
    <row r="321" spans="3:3" x14ac:dyDescent="0.25">
      <c r="C321" s="110"/>
    </row>
    <row r="322" spans="3:3" x14ac:dyDescent="0.25">
      <c r="C322" s="110"/>
    </row>
    <row r="323" spans="3:3" x14ac:dyDescent="0.25">
      <c r="C323" s="110"/>
    </row>
    <row r="324" spans="3:3" x14ac:dyDescent="0.25">
      <c r="C324" s="110"/>
    </row>
    <row r="325" spans="3:3" x14ac:dyDescent="0.25">
      <c r="C325" s="110"/>
    </row>
    <row r="326" spans="3:3" x14ac:dyDescent="0.25">
      <c r="C326" s="110"/>
    </row>
    <row r="327" spans="3:3" x14ac:dyDescent="0.25">
      <c r="C327" s="110"/>
    </row>
    <row r="328" spans="3:3" x14ac:dyDescent="0.25">
      <c r="C328" s="110"/>
    </row>
    <row r="329" spans="3:3" x14ac:dyDescent="0.25">
      <c r="C329" s="110"/>
    </row>
    <row r="330" spans="3:3" x14ac:dyDescent="0.25">
      <c r="C330" s="110"/>
    </row>
    <row r="331" spans="3:3" x14ac:dyDescent="0.25">
      <c r="C331" s="110"/>
    </row>
    <row r="332" spans="3:3" x14ac:dyDescent="0.25">
      <c r="C332" s="110"/>
    </row>
    <row r="333" spans="3:3" x14ac:dyDescent="0.25">
      <c r="C333" s="110"/>
    </row>
    <row r="334" spans="3:3" x14ac:dyDescent="0.25">
      <c r="C334" s="110"/>
    </row>
    <row r="335" spans="3:3" x14ac:dyDescent="0.25">
      <c r="C335" s="110"/>
    </row>
    <row r="336" spans="3:3" x14ac:dyDescent="0.25">
      <c r="C336" s="110"/>
    </row>
    <row r="337" spans="3:3" x14ac:dyDescent="0.25">
      <c r="C337" s="110"/>
    </row>
    <row r="338" spans="3:3" x14ac:dyDescent="0.25">
      <c r="C338" s="110"/>
    </row>
    <row r="339" spans="3:3" x14ac:dyDescent="0.25">
      <c r="C339" s="110"/>
    </row>
    <row r="340" spans="3:3" x14ac:dyDescent="0.25">
      <c r="C340" s="110"/>
    </row>
    <row r="341" spans="3:3" x14ac:dyDescent="0.25">
      <c r="C341" s="110"/>
    </row>
    <row r="342" spans="3:3" x14ac:dyDescent="0.25">
      <c r="C342" s="110"/>
    </row>
    <row r="343" spans="3:3" x14ac:dyDescent="0.25">
      <c r="C343" s="110"/>
    </row>
    <row r="344" spans="3:3" x14ac:dyDescent="0.25">
      <c r="C344" s="110"/>
    </row>
    <row r="345" spans="3:3" x14ac:dyDescent="0.25">
      <c r="C345" s="110"/>
    </row>
    <row r="346" spans="3:3" x14ac:dyDescent="0.25">
      <c r="C346" s="110"/>
    </row>
    <row r="347" spans="3:3" x14ac:dyDescent="0.25">
      <c r="C347" s="110"/>
    </row>
    <row r="348" spans="3:3" x14ac:dyDescent="0.25">
      <c r="C348" s="110"/>
    </row>
    <row r="349" spans="3:3" x14ac:dyDescent="0.25">
      <c r="C349" s="110"/>
    </row>
    <row r="350" spans="3:3" x14ac:dyDescent="0.25">
      <c r="C350" s="110"/>
    </row>
    <row r="351" spans="3:3" x14ac:dyDescent="0.25">
      <c r="C351" s="110"/>
    </row>
    <row r="352" spans="3:3" x14ac:dyDescent="0.25">
      <c r="C352" s="110"/>
    </row>
    <row r="353" spans="3:3" x14ac:dyDescent="0.25">
      <c r="C353" s="110"/>
    </row>
    <row r="354" spans="3:3" x14ac:dyDescent="0.25">
      <c r="C354" s="110"/>
    </row>
    <row r="355" spans="3:3" x14ac:dyDescent="0.25">
      <c r="C355" s="110"/>
    </row>
    <row r="356" spans="3:3" x14ac:dyDescent="0.25">
      <c r="C356" s="110"/>
    </row>
    <row r="357" spans="3:3" x14ac:dyDescent="0.25">
      <c r="C357" s="110"/>
    </row>
    <row r="358" spans="3:3" x14ac:dyDescent="0.25">
      <c r="C358" s="110"/>
    </row>
    <row r="359" spans="3:3" x14ac:dyDescent="0.25">
      <c r="C359" s="110"/>
    </row>
    <row r="360" spans="3:3" x14ac:dyDescent="0.25">
      <c r="C360" s="110"/>
    </row>
    <row r="361" spans="3:3" x14ac:dyDescent="0.25">
      <c r="C361" s="110"/>
    </row>
    <row r="362" spans="3:3" x14ac:dyDescent="0.25">
      <c r="C362" s="110"/>
    </row>
    <row r="363" spans="3:3" x14ac:dyDescent="0.25">
      <c r="C363" s="110"/>
    </row>
    <row r="364" spans="3:3" x14ac:dyDescent="0.25">
      <c r="C364" s="110"/>
    </row>
    <row r="365" spans="3:3" x14ac:dyDescent="0.25">
      <c r="C365" s="110"/>
    </row>
    <row r="366" spans="3:3" x14ac:dyDescent="0.25">
      <c r="C366" s="110"/>
    </row>
    <row r="367" spans="3:3" x14ac:dyDescent="0.25">
      <c r="C367" s="110"/>
    </row>
    <row r="368" spans="3:3" x14ac:dyDescent="0.25">
      <c r="C368" s="110"/>
    </row>
    <row r="369" spans="3:3" x14ac:dyDescent="0.25">
      <c r="C369" s="110"/>
    </row>
    <row r="370" spans="3:3" x14ac:dyDescent="0.25">
      <c r="C370" s="110"/>
    </row>
    <row r="371" spans="3:3" x14ac:dyDescent="0.25">
      <c r="C371" s="110"/>
    </row>
    <row r="372" spans="3:3" x14ac:dyDescent="0.25">
      <c r="C372" s="110"/>
    </row>
    <row r="373" spans="3:3" x14ac:dyDescent="0.25">
      <c r="C373" s="110"/>
    </row>
    <row r="374" spans="3:3" x14ac:dyDescent="0.25">
      <c r="C374" s="110"/>
    </row>
    <row r="375" spans="3:3" x14ac:dyDescent="0.25">
      <c r="C375" s="110"/>
    </row>
    <row r="376" spans="3:3" x14ac:dyDescent="0.25">
      <c r="C376" s="110"/>
    </row>
    <row r="377" spans="3:3" x14ac:dyDescent="0.25">
      <c r="C377" s="110"/>
    </row>
    <row r="378" spans="3:3" x14ac:dyDescent="0.25">
      <c r="C378" s="110"/>
    </row>
    <row r="379" spans="3:3" x14ac:dyDescent="0.25">
      <c r="C379" s="110"/>
    </row>
    <row r="380" spans="3:3" x14ac:dyDescent="0.25">
      <c r="C380" s="110"/>
    </row>
    <row r="381" spans="3:3" x14ac:dyDescent="0.25">
      <c r="C381" s="110"/>
    </row>
  </sheetData>
  <phoneticPr fontId="2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594A5-98DA-40F3-98CE-8F529FBFD094}">
  <sheetPr codeName="Hoja4"/>
  <dimension ref="A3:P155"/>
  <sheetViews>
    <sheetView showGridLines="0" tabSelected="1" topLeftCell="A8" zoomScale="130" zoomScaleNormal="130" workbookViewId="0">
      <pane xSplit="3" ySplit="4" topLeftCell="D12" activePane="bottomRight" state="frozen"/>
      <selection activeCell="A8" sqref="A8"/>
      <selection pane="topRight" activeCell="D8" sqref="D8"/>
      <selection pane="bottomLeft" activeCell="A12" sqref="A12"/>
      <selection pane="bottomRight" activeCell="J36" sqref="J36"/>
    </sheetView>
  </sheetViews>
  <sheetFormatPr baseColWidth="10" defaultRowHeight="15" x14ac:dyDescent="0.25"/>
  <cols>
    <col min="1" max="1" width="24.42578125" customWidth="1"/>
    <col min="2" max="2" width="8.28515625" style="214" customWidth="1"/>
    <col min="3" max="3" width="75.28515625" style="109" customWidth="1"/>
    <col min="4" max="4" width="14.42578125" customWidth="1"/>
    <col min="5" max="5" width="14.28515625" hidden="1" customWidth="1"/>
    <col min="6" max="6" width="14.28515625" customWidth="1"/>
    <col min="7" max="7" width="13.7109375" customWidth="1"/>
    <col min="8" max="8" width="16" customWidth="1"/>
    <col min="9" max="9" width="4.42578125" customWidth="1"/>
    <col min="10" max="10" width="4.28515625" customWidth="1"/>
    <col min="12" max="12" width="12.28515625" customWidth="1"/>
  </cols>
  <sheetData>
    <row r="3" spans="1:16" x14ac:dyDescent="0.25">
      <c r="A3" s="623" t="s">
        <v>2020</v>
      </c>
      <c r="B3" s="623"/>
      <c r="C3" s="623"/>
      <c r="D3" s="623"/>
    </row>
    <row r="4" spans="1:16" x14ac:dyDescent="0.25">
      <c r="A4" s="623"/>
      <c r="B4" s="623"/>
      <c r="C4" s="623"/>
      <c r="D4" s="623"/>
      <c r="M4" s="77"/>
    </row>
    <row r="5" spans="1:16" x14ac:dyDescent="0.25">
      <c r="A5" s="623"/>
      <c r="B5" s="623"/>
      <c r="C5" s="623"/>
      <c r="D5" s="623"/>
    </row>
    <row r="6" spans="1:16" x14ac:dyDescent="0.25">
      <c r="A6" s="623"/>
      <c r="B6" s="623"/>
      <c r="C6" s="623"/>
      <c r="D6" s="623"/>
    </row>
    <row r="7" spans="1:16" x14ac:dyDescent="0.25">
      <c r="A7" t="s">
        <v>1836</v>
      </c>
      <c r="B7" s="462" t="s">
        <v>2032</v>
      </c>
    </row>
    <row r="8" spans="1:16" x14ac:dyDescent="0.25">
      <c r="A8" t="s">
        <v>1837</v>
      </c>
      <c r="B8" s="214" t="s">
        <v>1918</v>
      </c>
    </row>
    <row r="9" spans="1:16" ht="63" x14ac:dyDescent="0.25">
      <c r="A9" s="201" t="s">
        <v>1834</v>
      </c>
      <c r="B9" s="201" t="s">
        <v>1833</v>
      </c>
      <c r="C9" s="201" t="s">
        <v>1835</v>
      </c>
      <c r="D9" s="411" t="s">
        <v>1813</v>
      </c>
      <c r="E9" s="201" t="s">
        <v>1814</v>
      </c>
      <c r="F9" s="201" t="s">
        <v>1974</v>
      </c>
      <c r="G9" s="387" t="s">
        <v>1811</v>
      </c>
      <c r="H9" s="201" t="s">
        <v>2030</v>
      </c>
    </row>
    <row r="10" spans="1:16" ht="21" x14ac:dyDescent="0.35">
      <c r="A10" s="192" t="s">
        <v>1827</v>
      </c>
      <c r="B10" s="215"/>
      <c r="C10" s="193" t="s">
        <v>1828</v>
      </c>
      <c r="D10" s="219">
        <f>SUM(D11+D42+D79+D90+D114+D122)</f>
        <v>554</v>
      </c>
      <c r="E10" s="219">
        <f>SUM(E11+E42+E79+E90+E114+E122)</f>
        <v>388</v>
      </c>
      <c r="F10" s="219">
        <f>SUM(F11+F42+F79+F90+F114+F122)</f>
        <v>475</v>
      </c>
      <c r="G10" s="220">
        <f>AVERAGE(G11,G42,G79,G90,G114,G122)</f>
        <v>0.26338387305792299</v>
      </c>
      <c r="H10" s="220">
        <f>AVERAGE(H11,H42,H79,H90,H114,H122)</f>
        <v>0.28726565544596755</v>
      </c>
    </row>
    <row r="11" spans="1:16" ht="18.75" x14ac:dyDescent="0.25">
      <c r="A11" s="204" t="s">
        <v>1829</v>
      </c>
      <c r="B11" s="205">
        <v>1</v>
      </c>
      <c r="C11" s="204" t="s">
        <v>1746</v>
      </c>
      <c r="D11" s="206">
        <f>SUM(D39+D32+D29+D18+D14+D12)</f>
        <v>219</v>
      </c>
      <c r="E11" s="206">
        <f>SUM(E39+E32+E29+E18+E14+E12)</f>
        <v>188</v>
      </c>
      <c r="F11" s="206">
        <f>SUM(F39+F32+F29+F18+F14+F12)</f>
        <v>196</v>
      </c>
      <c r="G11" s="207">
        <f>AVERAGE(G12,G14,G18,G29,G32,G39)</f>
        <v>0.28346507642507995</v>
      </c>
      <c r="H11" s="207">
        <f>AVERAGE(H12,H14,H18,H29,H32,H39)</f>
        <v>0.33973499765782816</v>
      </c>
    </row>
    <row r="12" spans="1:16" s="110" customFormat="1" ht="37.5" x14ac:dyDescent="0.25">
      <c r="A12" s="202" t="s">
        <v>1830</v>
      </c>
      <c r="B12" s="236" t="s">
        <v>39</v>
      </c>
      <c r="C12" s="250" t="s">
        <v>1861</v>
      </c>
      <c r="D12" s="238">
        <f>SUM(D13)</f>
        <v>14</v>
      </c>
      <c r="E12" s="238">
        <f>E13</f>
        <v>6</v>
      </c>
      <c r="F12" s="238">
        <f>F13</f>
        <v>6</v>
      </c>
      <c r="G12" s="239">
        <f>AVERAGE(G13)</f>
        <v>0.10410714285714286</v>
      </c>
      <c r="H12" s="240">
        <f>AVERAGE(H13)</f>
        <v>0.33333333333333331</v>
      </c>
      <c r="I12"/>
      <c r="J12"/>
      <c r="K12" s="77"/>
      <c r="L12"/>
      <c r="M12"/>
      <c r="N12"/>
      <c r="O12"/>
      <c r="P12"/>
    </row>
    <row r="13" spans="1:16" s="110" customFormat="1" ht="37.5" x14ac:dyDescent="0.25">
      <c r="A13" s="208" t="s">
        <v>1831</v>
      </c>
      <c r="B13" s="241" t="s">
        <v>41</v>
      </c>
      <c r="C13" s="242" t="s">
        <v>1901</v>
      </c>
      <c r="D13" s="243">
        <f>COUNTIF(Fuente!$J$14:$T$27,C13)</f>
        <v>14</v>
      </c>
      <c r="E13" s="243">
        <v>6</v>
      </c>
      <c r="F13" s="243">
        <f>GETPIVOTDATA("Cuenta de Valor esperado 2021",'METAS POR AÑO'!$A$3,"Cod Linea","1.1 ","Cod- Prog","1.1.1")</f>
        <v>6</v>
      </c>
      <c r="G13" s="529">
        <f>Fuente!K14</f>
        <v>0.10410714285714286</v>
      </c>
      <c r="H13" s="244">
        <f>Fuente!L14</f>
        <v>0.33333333333333331</v>
      </c>
      <c r="I13" s="62"/>
      <c r="J13" s="530" t="s">
        <v>2044</v>
      </c>
    </row>
    <row r="14" spans="1:16" ht="18.75" x14ac:dyDescent="0.25">
      <c r="A14" s="202" t="s">
        <v>1830</v>
      </c>
      <c r="B14" s="236" t="s">
        <v>98</v>
      </c>
      <c r="C14" s="237" t="s">
        <v>1860</v>
      </c>
      <c r="D14" s="238">
        <f>SUM(D15:D17)</f>
        <v>43</v>
      </c>
      <c r="E14" s="238">
        <f>SUM(E15:E17)</f>
        <v>34</v>
      </c>
      <c r="F14" s="238">
        <f>SUM(F15:F17)</f>
        <v>41</v>
      </c>
      <c r="G14" s="239">
        <f>AVERAGE(G15:G17)</f>
        <v>0.380217289810165</v>
      </c>
      <c r="H14" s="240">
        <f>AVERAGE(H15:H17)</f>
        <v>0.35092007988259732</v>
      </c>
      <c r="I14" s="62"/>
      <c r="J14" s="62"/>
    </row>
    <row r="15" spans="1:16" ht="18.75" x14ac:dyDescent="0.25">
      <c r="A15" s="198" t="s">
        <v>1831</v>
      </c>
      <c r="B15" s="245" t="s">
        <v>100</v>
      </c>
      <c r="C15" s="246" t="s">
        <v>101</v>
      </c>
      <c r="D15" s="247">
        <f>COUNTIF(Fuente!J13:$J$567,'CUMPLIMIENTO '!C15)</f>
        <v>21</v>
      </c>
      <c r="E15" s="247">
        <v>15</v>
      </c>
      <c r="F15" s="247">
        <f>GETPIVOTDATA("Cuenta de Valor esperado 2021",'METAS POR AÑO'!$A$3,"Cod Linea","1.2 ","Cod- Prog","1.2.1")</f>
        <v>19</v>
      </c>
      <c r="G15" s="248">
        <f>Fuente!K28</f>
        <v>0.34098599173680866</v>
      </c>
      <c r="H15" s="248">
        <f>Fuente!L28</f>
        <v>0.12839000155255395</v>
      </c>
      <c r="I15" s="62"/>
      <c r="J15" s="62"/>
    </row>
    <row r="16" spans="1:16" ht="18.75" x14ac:dyDescent="0.25">
      <c r="A16" s="198" t="s">
        <v>1831</v>
      </c>
      <c r="B16" s="245" t="s">
        <v>194</v>
      </c>
      <c r="C16" s="246" t="s">
        <v>195</v>
      </c>
      <c r="D16" s="247">
        <f>COUNTIF(Fuente!J14:$J$567,'CUMPLIMIENTO '!C16)</f>
        <v>8</v>
      </c>
      <c r="E16" s="247">
        <v>7</v>
      </c>
      <c r="F16" s="247">
        <f>GETPIVOTDATA("Cuenta de Valor esperado 2021",'METAS POR AÑO'!$A$3,"Cod Linea","1.2 ","Cod- Prog","1.2.2")</f>
        <v>8</v>
      </c>
      <c r="G16" s="248">
        <f>Fuente!K49</f>
        <v>0.38777812259164557</v>
      </c>
      <c r="H16" s="327">
        <f>Fuente!L49</f>
        <v>0.40960833333333335</v>
      </c>
      <c r="I16" s="62"/>
      <c r="J16" s="62"/>
    </row>
    <row r="17" spans="1:10" ht="37.5" x14ac:dyDescent="0.25">
      <c r="A17" s="198" t="s">
        <v>1831</v>
      </c>
      <c r="B17" s="245" t="s">
        <v>238</v>
      </c>
      <c r="C17" s="246" t="s">
        <v>239</v>
      </c>
      <c r="D17" s="247">
        <f>COUNTIF(Fuente!J15:$J$567,'CUMPLIMIENTO '!C17)</f>
        <v>14</v>
      </c>
      <c r="E17" s="247">
        <v>12</v>
      </c>
      <c r="F17" s="247">
        <f>GETPIVOTDATA("Cuenta de Valor esperado 2021",'METAS POR AÑO'!$A$3,"Cod Linea","1.2 ","Cod- Prog","1.2.3")</f>
        <v>14</v>
      </c>
      <c r="G17" s="248">
        <f>Fuente!K57</f>
        <v>0.41188775510204084</v>
      </c>
      <c r="H17" s="248">
        <f>Fuente!L57</f>
        <v>0.51476190476190475</v>
      </c>
      <c r="I17" s="62"/>
      <c r="J17" s="62"/>
    </row>
    <row r="18" spans="1:10" ht="18.75" x14ac:dyDescent="0.25">
      <c r="A18" s="202" t="s">
        <v>1830</v>
      </c>
      <c r="B18" s="236" t="s">
        <v>293</v>
      </c>
      <c r="C18" s="237" t="s">
        <v>1859</v>
      </c>
      <c r="D18" s="238">
        <f>SUM(D19:D28)</f>
        <v>100</v>
      </c>
      <c r="E18" s="238">
        <f>SUM(E19:E28)</f>
        <v>100</v>
      </c>
      <c r="F18" s="238">
        <f>SUM(F19:F28)</f>
        <v>97</v>
      </c>
      <c r="G18" s="239">
        <f>AVERAGE(G19:G27)</f>
        <v>0.28725768020702352</v>
      </c>
      <c r="H18" s="240">
        <f>AVERAGE(H19:H27)</f>
        <v>0.12644126449682005</v>
      </c>
      <c r="I18" s="62"/>
      <c r="J18" s="62"/>
    </row>
    <row r="19" spans="1:10" ht="18.75" x14ac:dyDescent="0.25">
      <c r="A19" s="198" t="s">
        <v>1831</v>
      </c>
      <c r="B19" s="245" t="s">
        <v>295</v>
      </c>
      <c r="C19" s="246" t="s">
        <v>296</v>
      </c>
      <c r="D19" s="247">
        <f>COUNTIF(Fuente!J17:$J$567,'CUMPLIMIENTO '!C19)</f>
        <v>6</v>
      </c>
      <c r="E19" s="247">
        <v>6</v>
      </c>
      <c r="F19" s="247">
        <f>GETPIVOTDATA("Cuenta de Valor esperado 2021",'METAS POR AÑO'!$A$3,"Cod Linea","1.3","Cod- Prog","1.3.1 ")</f>
        <v>5</v>
      </c>
      <c r="G19" s="248">
        <f>Fuente!K71</f>
        <v>0.30396365309408785</v>
      </c>
      <c r="H19" s="327">
        <f>Fuente!L71</f>
        <v>8.8888888888888889E-3</v>
      </c>
      <c r="I19" s="62"/>
      <c r="J19" s="62" t="s">
        <v>2044</v>
      </c>
    </row>
    <row r="20" spans="1:10" ht="18.75" x14ac:dyDescent="0.25">
      <c r="A20" s="198" t="s">
        <v>1831</v>
      </c>
      <c r="B20" s="245" t="s">
        <v>326</v>
      </c>
      <c r="C20" s="246" t="s">
        <v>327</v>
      </c>
      <c r="D20" s="247">
        <f>COUNTIF(Fuente!J18:$J$567,'CUMPLIMIENTO '!C20)</f>
        <v>6</v>
      </c>
      <c r="E20" s="247">
        <v>6</v>
      </c>
      <c r="F20" s="247">
        <f>GETPIVOTDATA("Cuenta de Valor esperado 2021",'METAS POR AÑO'!$A$3,"Cod Linea","1.3","Cod- Prog","1.3.2")</f>
        <v>6</v>
      </c>
      <c r="G20" s="248">
        <f>Fuente!K77</f>
        <v>0.17453703703703705</v>
      </c>
      <c r="H20" s="327">
        <f>Fuente!L77</f>
        <v>0</v>
      </c>
      <c r="I20" s="62"/>
      <c r="J20" s="62"/>
    </row>
    <row r="21" spans="1:10" ht="18.75" x14ac:dyDescent="0.25">
      <c r="A21" s="198" t="s">
        <v>1831</v>
      </c>
      <c r="B21" s="245" t="s">
        <v>359</v>
      </c>
      <c r="C21" s="246" t="s">
        <v>360</v>
      </c>
      <c r="D21" s="247">
        <f>COUNTIF(Fuente!J19:$J$567,'CUMPLIMIENTO '!C21)</f>
        <v>4</v>
      </c>
      <c r="E21" s="247">
        <v>4</v>
      </c>
      <c r="F21" s="247">
        <f>GETPIVOTDATA("Cuenta de Valor esperado 2021",'METAS POR AÑO'!$A$3,"Cod Linea","1.3","Cod- Prog","1.3.3")</f>
        <v>4</v>
      </c>
      <c r="G21" s="248">
        <f>Fuente!K83</f>
        <v>0.22361111111111109</v>
      </c>
      <c r="H21" s="327">
        <f>Fuente!L83</f>
        <v>6.1111111111111109E-2</v>
      </c>
      <c r="I21" s="62"/>
      <c r="J21" s="62"/>
    </row>
    <row r="22" spans="1:10" ht="18.75" x14ac:dyDescent="0.25">
      <c r="A22" s="198" t="s">
        <v>1831</v>
      </c>
      <c r="B22" s="245" t="s">
        <v>379</v>
      </c>
      <c r="C22" s="246" t="s">
        <v>380</v>
      </c>
      <c r="D22" s="247">
        <f>COUNTIF(Fuente!J20:$J$567,'CUMPLIMIENTO '!C22)</f>
        <v>9</v>
      </c>
      <c r="E22" s="247">
        <v>8</v>
      </c>
      <c r="F22" s="247">
        <f>GETPIVOTDATA("Cuenta de Valor esperado 2021",'METAS POR AÑO'!$A$3,"Cod Linea","1.3","Cod- Prog","1.3.4")</f>
        <v>9</v>
      </c>
      <c r="G22" s="248">
        <f>Fuente!K87</f>
        <v>0.16396604938271606</v>
      </c>
      <c r="H22" s="327">
        <f>Fuente!L87</f>
        <v>7.407407407407407E-2</v>
      </c>
      <c r="I22" s="62"/>
      <c r="J22" s="62"/>
    </row>
    <row r="23" spans="1:10" ht="18.75" x14ac:dyDescent="0.25">
      <c r="A23" s="198" t="s">
        <v>1831</v>
      </c>
      <c r="B23" s="245" t="s">
        <v>413</v>
      </c>
      <c r="C23" s="246" t="s">
        <v>414</v>
      </c>
      <c r="D23" s="247">
        <f>COUNTIF(Fuente!J21:$J$567,'CUMPLIMIENTO '!C23)</f>
        <v>6</v>
      </c>
      <c r="E23" s="247">
        <v>6</v>
      </c>
      <c r="F23" s="247">
        <f>GETPIVOTDATA("Cuenta de Valor esperado 2021",'METAS POR AÑO'!$A$3,"Cod Linea","1.3","Cod- Prog","1.3.5")</f>
        <v>6</v>
      </c>
      <c r="G23" s="248">
        <f>Fuente!K96</f>
        <v>0.61435185185185182</v>
      </c>
      <c r="H23" s="327">
        <f>Fuente!L96</f>
        <v>0.11851851851851848</v>
      </c>
      <c r="I23" s="62"/>
      <c r="J23" s="62"/>
    </row>
    <row r="24" spans="1:10" ht="18.75" x14ac:dyDescent="0.25">
      <c r="A24" s="198" t="s">
        <v>1831</v>
      </c>
      <c r="B24" s="245" t="s">
        <v>443</v>
      </c>
      <c r="C24" s="246" t="s">
        <v>1996</v>
      </c>
      <c r="D24" s="247">
        <f>COUNTIF(Fuente!J22:$J$567,'CUMPLIMIENTO '!C24)</f>
        <v>10</v>
      </c>
      <c r="E24" s="247">
        <v>11</v>
      </c>
      <c r="F24" s="247">
        <f>GETPIVOTDATA("Cuenta de Valor esperado 2021",'METAS POR AÑO'!$A$3,"Cod Linea","1.3","Cod- Prog","1.3.6")</f>
        <v>10</v>
      </c>
      <c r="G24" s="248">
        <f>Fuente!K102</f>
        <v>0.38444444444444448</v>
      </c>
      <c r="H24" s="327">
        <f>Fuente!L102</f>
        <v>0.35833333333333334</v>
      </c>
      <c r="I24" s="62"/>
      <c r="J24" s="62"/>
    </row>
    <row r="25" spans="1:10" ht="18.75" x14ac:dyDescent="0.25">
      <c r="A25" s="198" t="s">
        <v>1831</v>
      </c>
      <c r="B25" s="245" t="s">
        <v>483</v>
      </c>
      <c r="C25" s="246" t="s">
        <v>484</v>
      </c>
      <c r="D25" s="247">
        <f>COUNTIF(Fuente!J23:$J$567,'CUMPLIMIENTO '!C25)</f>
        <v>5</v>
      </c>
      <c r="E25" s="247">
        <v>4</v>
      </c>
      <c r="F25" s="247">
        <f>GETPIVOTDATA("Cuenta de Valor esperado 2021",'METAS POR AÑO'!$A$3,"Cod Linea","1.3","Cod- Prog","1.3.7")</f>
        <v>4</v>
      </c>
      <c r="G25" s="248">
        <f>Fuente!K112</f>
        <v>0.27913043478260868</v>
      </c>
      <c r="H25" s="327">
        <f>Fuente!L112</f>
        <v>0.25</v>
      </c>
      <c r="I25" s="62"/>
      <c r="J25" s="62"/>
    </row>
    <row r="26" spans="1:10" ht="18.75" x14ac:dyDescent="0.25">
      <c r="A26" s="198" t="s">
        <v>1831</v>
      </c>
      <c r="B26" s="245" t="s">
        <v>497</v>
      </c>
      <c r="C26" s="246" t="s">
        <v>498</v>
      </c>
      <c r="D26" s="247">
        <f>COUNTIF(Fuente!J24:$J$567,'CUMPLIMIENTO '!C26)</f>
        <v>4</v>
      </c>
      <c r="E26" s="247">
        <v>4</v>
      </c>
      <c r="F26" s="247">
        <f>GETPIVOTDATA("Cuenta de Valor esperado 2021",'METAS POR AÑO'!$A$3,"Cod Linea","1.3","Cod- Prog","1.3.8")</f>
        <v>4</v>
      </c>
      <c r="G26" s="248">
        <f>Fuente!K117</f>
        <v>0.21906565656565657</v>
      </c>
      <c r="H26" s="327">
        <f>Fuente!L117</f>
        <v>0.25</v>
      </c>
      <c r="I26" s="62"/>
      <c r="J26" s="62"/>
    </row>
    <row r="27" spans="1:10" ht="18.75" x14ac:dyDescent="0.25">
      <c r="A27" s="198" t="s">
        <v>1831</v>
      </c>
      <c r="B27" s="245" t="s">
        <v>510</v>
      </c>
      <c r="C27" s="246" t="s">
        <v>511</v>
      </c>
      <c r="D27" s="247">
        <f>COUNTIF(Fuente!J25:$J$567,'CUMPLIMIENTO '!C27)</f>
        <v>22</v>
      </c>
      <c r="E27" s="247">
        <v>22</v>
      </c>
      <c r="F27" s="247">
        <f>GETPIVOTDATA("Cuenta de Valor esperado 2021",'METAS POR AÑO'!$A$3,"Cod Linea","1.3","Cod- Prog","1.3.9")</f>
        <v>22</v>
      </c>
      <c r="G27" s="248">
        <f>Fuente!K121</f>
        <v>0.22224888359369785</v>
      </c>
      <c r="H27" s="327">
        <f>Fuente!L121</f>
        <v>1.7045454545454544E-2</v>
      </c>
      <c r="I27" s="62"/>
      <c r="J27" s="62"/>
    </row>
    <row r="28" spans="1:10" ht="18.75" x14ac:dyDescent="0.25">
      <c r="A28" s="198" t="s">
        <v>1831</v>
      </c>
      <c r="B28" s="245" t="s">
        <v>576</v>
      </c>
      <c r="C28" s="246" t="s">
        <v>577</v>
      </c>
      <c r="D28" s="247">
        <f>COUNTIF(Fuente!J26:$J$567,'CUMPLIMIENTO '!C28)</f>
        <v>28</v>
      </c>
      <c r="E28" s="249">
        <v>29</v>
      </c>
      <c r="F28" s="249">
        <f>GETPIVOTDATA("Cuenta de Valor esperado 2021",'METAS POR AÑO'!$A$3,"Cod Linea","1.3","Cod- Prog","1.3.10")</f>
        <v>27</v>
      </c>
      <c r="G28" s="248">
        <f>Fuente!K143</f>
        <v>0.29796334722086598</v>
      </c>
      <c r="H28" s="248">
        <f>Fuente!L143</f>
        <v>0.29579782790309106</v>
      </c>
      <c r="I28" s="62"/>
      <c r="J28" s="62"/>
    </row>
    <row r="29" spans="1:10" ht="18.75" x14ac:dyDescent="0.25">
      <c r="A29" s="202" t="s">
        <v>1830</v>
      </c>
      <c r="B29" s="236" t="s">
        <v>626</v>
      </c>
      <c r="C29" s="237" t="s">
        <v>1858</v>
      </c>
      <c r="D29" s="238">
        <f>SUM(D30:D31)</f>
        <v>8</v>
      </c>
      <c r="E29" s="238">
        <f>SUM(E30:E31)</f>
        <v>5</v>
      </c>
      <c r="F29" s="238">
        <f>SUM(F30:F31)</f>
        <v>6</v>
      </c>
      <c r="G29" s="239">
        <f>AVERAGE(G30:G31)</f>
        <v>0.19584814814814816</v>
      </c>
      <c r="H29" s="240">
        <f>AVERAGE(H30:H31)</f>
        <v>0.63424242424242427</v>
      </c>
      <c r="I29" s="62"/>
      <c r="J29" s="62"/>
    </row>
    <row r="30" spans="1:10" ht="18.75" x14ac:dyDescent="0.25">
      <c r="A30" s="198" t="s">
        <v>1831</v>
      </c>
      <c r="B30" s="245" t="s">
        <v>628</v>
      </c>
      <c r="C30" s="246" t="s">
        <v>629</v>
      </c>
      <c r="D30" s="247">
        <f>COUNTIF(Fuente!J27:$J$567,'CUMPLIMIENTO '!C30)</f>
        <v>2</v>
      </c>
      <c r="E30" s="247" t="s">
        <v>310</v>
      </c>
      <c r="F30" s="247">
        <f>GETPIVOTDATA("Cuenta de Valor esperado 2021",'METAS POR AÑO'!$A$3,"Cod Linea","1.4","Cod- Prog","1.4.1")</f>
        <v>1</v>
      </c>
      <c r="G30" s="327">
        <f>Fuente!K171</f>
        <v>0.15540000000000001</v>
      </c>
      <c r="H30" s="327">
        <f>Fuente!L171</f>
        <v>0.94181818181818178</v>
      </c>
      <c r="I30" s="62"/>
      <c r="J30" s="62" t="s">
        <v>2044</v>
      </c>
    </row>
    <row r="31" spans="1:10" ht="18.75" x14ac:dyDescent="0.25">
      <c r="A31" s="198" t="s">
        <v>1831</v>
      </c>
      <c r="B31" s="245" t="s">
        <v>635</v>
      </c>
      <c r="C31" s="246" t="s">
        <v>636</v>
      </c>
      <c r="D31" s="247">
        <f>COUNTIF(Fuente!J28:$J$567,'CUMPLIMIENTO '!C31)</f>
        <v>6</v>
      </c>
      <c r="E31" s="247">
        <v>5</v>
      </c>
      <c r="F31" s="247">
        <f>GETPIVOTDATA("Cuenta de Valor esperado 2021",'METAS POR AÑO'!$A$3,"Cod Linea","1.4","Cod- Prog","1.4.2")</f>
        <v>5</v>
      </c>
      <c r="G31" s="248">
        <f>Fuente!K173</f>
        <v>0.23629629629629631</v>
      </c>
      <c r="H31" s="248">
        <f>Fuente!L173</f>
        <v>0.32666666666666666</v>
      </c>
      <c r="I31" s="62"/>
      <c r="J31" s="62"/>
    </row>
    <row r="32" spans="1:10" ht="18.75" x14ac:dyDescent="0.25">
      <c r="A32" s="202" t="s">
        <v>1830</v>
      </c>
      <c r="B32" s="236" t="s">
        <v>651</v>
      </c>
      <c r="C32" s="237" t="s">
        <v>1857</v>
      </c>
      <c r="D32" s="238">
        <f>SUM(D33:D38)</f>
        <v>36</v>
      </c>
      <c r="E32" s="238">
        <f>SUM(E33:E38)</f>
        <v>31</v>
      </c>
      <c r="F32" s="238">
        <f>SUM(F33:F38)</f>
        <v>32</v>
      </c>
      <c r="G32" s="239">
        <f>AVERAGE(G33:G38)</f>
        <v>0.36201956749579395</v>
      </c>
      <c r="H32" s="240">
        <f>AVERAGE(H33:H38)</f>
        <v>9.3472883991794042E-2</v>
      </c>
      <c r="I32" s="62"/>
      <c r="J32" s="62"/>
    </row>
    <row r="33" spans="1:10" ht="18.75" x14ac:dyDescent="0.25">
      <c r="A33" s="198" t="s">
        <v>1831</v>
      </c>
      <c r="B33" s="245" t="s">
        <v>653</v>
      </c>
      <c r="C33" s="246" t="s">
        <v>654</v>
      </c>
      <c r="D33" s="247">
        <f>COUNTIF(Fuente!J30:$J$567,'CUMPLIMIENTO '!C33)</f>
        <v>4</v>
      </c>
      <c r="E33" s="247">
        <v>1</v>
      </c>
      <c r="F33" s="247">
        <f>GETPIVOTDATA("Cuenta de Valor esperado 2021",'METAS POR AÑO'!$A$3,"Cod Linea","1.5","Cod- Prog","1.5.1")</f>
        <v>1</v>
      </c>
      <c r="G33" s="327">
        <f>Fuente!K179</f>
        <v>1.2500000000000001E-2</v>
      </c>
      <c r="H33" s="327">
        <f>Fuente!L179</f>
        <v>0</v>
      </c>
      <c r="I33" s="62"/>
      <c r="J33" s="62"/>
    </row>
    <row r="34" spans="1:10" ht="37.5" x14ac:dyDescent="0.25">
      <c r="A34" s="198" t="s">
        <v>1831</v>
      </c>
      <c r="B34" s="245" t="s">
        <v>668</v>
      </c>
      <c r="C34" s="246" t="s">
        <v>669</v>
      </c>
      <c r="D34" s="247">
        <f>COUNTIF(Fuente!J31:$J$567,'CUMPLIMIENTO '!C34)</f>
        <v>13</v>
      </c>
      <c r="E34" s="247">
        <v>12</v>
      </c>
      <c r="F34" s="247">
        <f>GETPIVOTDATA("Cuenta de Valor esperado 2021",'METAS POR AÑO'!$A$3,"Cod Linea","1.5","Cod- Prog","1.5.2")</f>
        <v>12</v>
      </c>
      <c r="G34" s="327">
        <f>Fuente!K183</f>
        <v>0.57189542483660138</v>
      </c>
      <c r="H34" s="327">
        <f>Fuente!L183</f>
        <v>0.39417063728409762</v>
      </c>
    </row>
    <row r="35" spans="1:10" ht="37.5" x14ac:dyDescent="0.25">
      <c r="A35" s="198" t="s">
        <v>1831</v>
      </c>
      <c r="B35" s="245" t="s">
        <v>698</v>
      </c>
      <c r="C35" s="246" t="s">
        <v>699</v>
      </c>
      <c r="D35" s="247">
        <f>COUNTIF(Fuente!J32:$J$567,'CUMPLIMIENTO '!C35)</f>
        <v>4</v>
      </c>
      <c r="E35" s="247">
        <v>4</v>
      </c>
      <c r="F35" s="247">
        <f>GETPIVOTDATA("Cuenta de Valor esperado 2021",'METAS POR AÑO'!$A$3,"Cod Linea","1.5","Cod- Prog","1.5.3")</f>
        <v>4</v>
      </c>
      <c r="G35" s="327">
        <f>Fuente!K196</f>
        <v>0.4841583333333333</v>
      </c>
      <c r="H35" s="327">
        <f>Fuente!L196</f>
        <v>0</v>
      </c>
      <c r="J35" t="s">
        <v>2046</v>
      </c>
    </row>
    <row r="36" spans="1:10" ht="18.75" x14ac:dyDescent="0.25">
      <c r="A36" s="198" t="s">
        <v>1831</v>
      </c>
      <c r="B36" s="245" t="s">
        <v>714</v>
      </c>
      <c r="C36" s="246" t="s">
        <v>715</v>
      </c>
      <c r="D36" s="247">
        <f>COUNTIF(Fuente!J33:$J$567,'CUMPLIMIENTO '!C36)</f>
        <v>3</v>
      </c>
      <c r="E36" s="247">
        <v>3</v>
      </c>
      <c r="F36" s="247">
        <f>GETPIVOTDATA("Cuenta de Valor esperado 2021",'METAS POR AÑO'!$A$3,"Cod Linea","1.5","Cod- Prog","1.5.4")</f>
        <v>3</v>
      </c>
      <c r="G36" s="327">
        <f>Fuente!K200</f>
        <v>0.46812996031746029</v>
      </c>
      <c r="H36" s="327">
        <f>Fuente!L200</f>
        <v>0</v>
      </c>
    </row>
    <row r="37" spans="1:10" ht="18.75" x14ac:dyDescent="0.25">
      <c r="A37" s="198" t="s">
        <v>1831</v>
      </c>
      <c r="B37" s="245" t="s">
        <v>725</v>
      </c>
      <c r="C37" s="246" t="s">
        <v>726</v>
      </c>
      <c r="D37" s="247">
        <f>COUNTIF(Fuente!J34:$J$567,'CUMPLIMIENTO '!C37)</f>
        <v>6</v>
      </c>
      <c r="E37" s="247">
        <v>6</v>
      </c>
      <c r="F37" s="247">
        <f>GETPIVOTDATA("Cuenta de Valor esperado 2021",'METAS POR AÑO'!$A$3,"Cod Linea","1.5","Cod- Prog","1.5.5")</f>
        <v>6</v>
      </c>
      <c r="G37" s="248">
        <f>Fuente!K203</f>
        <v>0.3675913461538462</v>
      </c>
      <c r="H37" s="327">
        <f>Fuente!L203</f>
        <v>0</v>
      </c>
    </row>
    <row r="38" spans="1:10" ht="37.5" x14ac:dyDescent="0.25">
      <c r="A38" s="198" t="s">
        <v>1831</v>
      </c>
      <c r="B38" s="245" t="s">
        <v>742</v>
      </c>
      <c r="C38" s="246" t="s">
        <v>743</v>
      </c>
      <c r="D38" s="247">
        <f>COUNTIF(Fuente!J35:$J$567,'CUMPLIMIENTO '!C38)</f>
        <v>6</v>
      </c>
      <c r="E38" s="247">
        <v>5</v>
      </c>
      <c r="F38" s="247">
        <f>GETPIVOTDATA("Cuenta de Valor esperado 2021",'METAS POR AÑO'!$A$3,"Cod Linea","1.5","Cod- Prog","1.5.6")</f>
        <v>6</v>
      </c>
      <c r="G38" s="248">
        <f>Fuente!K209</f>
        <v>0.26784234033352255</v>
      </c>
      <c r="H38" s="248">
        <f>Fuente!L209</f>
        <v>0.16666666666666666</v>
      </c>
    </row>
    <row r="39" spans="1:10" ht="37.5" x14ac:dyDescent="0.25">
      <c r="A39" s="202" t="s">
        <v>1830</v>
      </c>
      <c r="B39" s="236" t="s">
        <v>759</v>
      </c>
      <c r="C39" s="250" t="s">
        <v>1983</v>
      </c>
      <c r="D39" s="238">
        <f>SUM(D40:D41)</f>
        <v>18</v>
      </c>
      <c r="E39" s="238">
        <f>SUM(E40:E41)</f>
        <v>12</v>
      </c>
      <c r="F39" s="238">
        <f>SUM(F40:F41)</f>
        <v>14</v>
      </c>
      <c r="G39" s="239">
        <f>AVERAGE(G40:G41)</f>
        <v>0.37134063003220613</v>
      </c>
      <c r="H39" s="240">
        <f>AVERAGE(H40:H41)</f>
        <v>0.5</v>
      </c>
    </row>
    <row r="40" spans="1:10" ht="18.75" x14ac:dyDescent="0.25">
      <c r="A40" s="198" t="s">
        <v>1831</v>
      </c>
      <c r="B40" s="245" t="s">
        <v>761</v>
      </c>
      <c r="C40" s="246" t="s">
        <v>762</v>
      </c>
      <c r="D40" s="247">
        <f>COUNTIF(Fuente!J37:$J$567,'CUMPLIMIENTO '!C40)</f>
        <v>6</v>
      </c>
      <c r="E40" s="247">
        <v>4</v>
      </c>
      <c r="F40" s="247">
        <f>GETPIVOTDATA("Cuenta de Valor esperado 2021",'METAS POR AÑO'!$A$3,"Cod Linea","1.6","Cod- Prog","1.6.1")</f>
        <v>5</v>
      </c>
      <c r="G40" s="248">
        <f>Fuente!K215</f>
        <v>0.24822916666666664</v>
      </c>
      <c r="H40" s="248">
        <f>Fuente!L215</f>
        <v>0.41</v>
      </c>
    </row>
    <row r="41" spans="1:10" ht="18.75" x14ac:dyDescent="0.25">
      <c r="A41" s="198" t="s">
        <v>1831</v>
      </c>
      <c r="B41" s="245" t="s">
        <v>789</v>
      </c>
      <c r="C41" s="246" t="s">
        <v>790</v>
      </c>
      <c r="D41" s="247">
        <f>COUNTIF(Fuente!J38:$J$567,'CUMPLIMIENTO '!C41)</f>
        <v>12</v>
      </c>
      <c r="E41" s="247">
        <v>8</v>
      </c>
      <c r="F41" s="247">
        <f>GETPIVOTDATA("Cuenta de Valor esperado 2021",'METAS POR AÑO'!$A$3,"Cod Linea","1.6","Cod- Prog","1.6.2")</f>
        <v>9</v>
      </c>
      <c r="G41" s="248">
        <f>Fuente!K221</f>
        <v>0.4944520933977456</v>
      </c>
      <c r="H41" s="248">
        <f>Fuente!L221</f>
        <v>0.59000000000000008</v>
      </c>
    </row>
    <row r="42" spans="1:10" ht="18.75" x14ac:dyDescent="0.25">
      <c r="A42" s="204" t="s">
        <v>1829</v>
      </c>
      <c r="B42" s="195">
        <v>2</v>
      </c>
      <c r="C42" s="194" t="s">
        <v>1747</v>
      </c>
      <c r="D42" s="196">
        <f>SUM(D77+D72+D69+D67+D61+D54+D51+D49+D46+D43)</f>
        <v>82</v>
      </c>
      <c r="E42" s="196">
        <f>SUM(+E72+E67+E61+E54+E51+E49+E46+E43)</f>
        <v>45</v>
      </c>
      <c r="F42" s="196">
        <f>SUM(+F72+F67+F61+F54+F51+F49+F46+F43)</f>
        <v>65</v>
      </c>
      <c r="G42" s="197">
        <f>AVERAGE(G43,G46,G49,G51,G54,G61,G67:G67,G69,G72,G77)</f>
        <v>0.24329478481946754</v>
      </c>
      <c r="H42" s="197">
        <f>AVERAGE(H43,H46,H49,H51,H54,H61,H67:H67,H69,H72,H77)</f>
        <v>0.32985855013965804</v>
      </c>
    </row>
    <row r="43" spans="1:10" ht="18.75" x14ac:dyDescent="0.25">
      <c r="A43" s="202" t="s">
        <v>1830</v>
      </c>
      <c r="B43" s="236" t="s">
        <v>832</v>
      </c>
      <c r="C43" s="237" t="s">
        <v>1856</v>
      </c>
      <c r="D43" s="238">
        <f>SUM(D44:D45)</f>
        <v>4</v>
      </c>
      <c r="E43" s="238">
        <f>SUM(E44:E45)</f>
        <v>4</v>
      </c>
      <c r="F43" s="238">
        <f>SUM(F44:F45)</f>
        <v>4</v>
      </c>
      <c r="G43" s="239">
        <f>AVERAGE(G44:G45)</f>
        <v>0.52222222222222225</v>
      </c>
      <c r="H43" s="240">
        <f>AVERAGE(H44:H45)</f>
        <v>0.49444444444444446</v>
      </c>
    </row>
    <row r="44" spans="1:10" ht="18.75" x14ac:dyDescent="0.25">
      <c r="A44" s="198" t="s">
        <v>1831</v>
      </c>
      <c r="B44" s="245" t="s">
        <v>834</v>
      </c>
      <c r="C44" s="246" t="s">
        <v>835</v>
      </c>
      <c r="D44" s="247">
        <f>COUNTIF(Fuente!J41:$J$567,'CUMPLIMIENTO '!C44)</f>
        <v>3</v>
      </c>
      <c r="E44" s="247">
        <v>3</v>
      </c>
      <c r="F44" s="247">
        <f>GETPIVOTDATA("Cuenta de Valor esperado 2021",'METAS POR AÑO'!$A$3,"Cod Linea","2.1","Cod- Prog","2.1.1")</f>
        <v>3</v>
      </c>
      <c r="G44" s="327">
        <f>Fuente!K233</f>
        <v>0.64444444444444449</v>
      </c>
      <c r="H44" s="248">
        <f>Fuente!L233</f>
        <v>0.48888888888888893</v>
      </c>
    </row>
    <row r="45" spans="1:10" ht="18.75" x14ac:dyDescent="0.25">
      <c r="A45" s="198" t="s">
        <v>1831</v>
      </c>
      <c r="B45" s="245" t="s">
        <v>851</v>
      </c>
      <c r="C45" s="246" t="s">
        <v>852</v>
      </c>
      <c r="D45" s="247">
        <f>COUNTIF(Fuente!J42:$J$567,'CUMPLIMIENTO '!C45)</f>
        <v>1</v>
      </c>
      <c r="E45" s="247">
        <v>1</v>
      </c>
      <c r="F45" s="247">
        <f>GETPIVOTDATA("Cuenta de Valor esperado 2021",'METAS POR AÑO'!$A$3,"Cod Linea","2.1","Cod- Prog","2.1.2 ")</f>
        <v>1</v>
      </c>
      <c r="G45" s="248">
        <f>Fuente!K236</f>
        <v>0.4</v>
      </c>
      <c r="H45" s="248">
        <f>Fuente!L236</f>
        <v>0.5</v>
      </c>
    </row>
    <row r="46" spans="1:10" ht="18.75" x14ac:dyDescent="0.25">
      <c r="A46" s="202" t="s">
        <v>1830</v>
      </c>
      <c r="B46" s="236" t="s">
        <v>858</v>
      </c>
      <c r="C46" s="237" t="s">
        <v>1855</v>
      </c>
      <c r="D46" s="238">
        <f>SUM(D47:D48)</f>
        <v>7</v>
      </c>
      <c r="E46" s="238">
        <f>SUM(E47:E48)</f>
        <v>3</v>
      </c>
      <c r="F46" s="238">
        <f>SUM(F47:F48)</f>
        <v>5</v>
      </c>
      <c r="G46" s="239">
        <f>AVERAGE(G47:G48)</f>
        <v>0.21714285714285717</v>
      </c>
      <c r="H46" s="240">
        <f>AVERAGE(H47:H48)</f>
        <v>0.125</v>
      </c>
    </row>
    <row r="47" spans="1:10" ht="18.75" x14ac:dyDescent="0.25">
      <c r="A47" s="198" t="s">
        <v>1831</v>
      </c>
      <c r="B47" s="245" t="s">
        <v>860</v>
      </c>
      <c r="C47" s="246" t="s">
        <v>861</v>
      </c>
      <c r="D47" s="247">
        <f>COUNTIF(Fuente!J44:$J$567,'CUMPLIMIENTO '!C47)</f>
        <v>5</v>
      </c>
      <c r="E47" s="247">
        <v>3</v>
      </c>
      <c r="F47" s="247">
        <f>GETPIVOTDATA("Cuenta de Valor esperado 2021",'METAS POR AÑO'!$A$3,"Cod Linea","2.2","Cod- Prog","2.2.1")</f>
        <v>4</v>
      </c>
      <c r="G47" s="248">
        <f>Fuente!K237</f>
        <v>0.43428571428571433</v>
      </c>
      <c r="H47" s="248">
        <f>Fuente!L237</f>
        <v>0.25</v>
      </c>
    </row>
    <row r="48" spans="1:10" ht="37.5" x14ac:dyDescent="0.25">
      <c r="A48" s="198" t="s">
        <v>1831</v>
      </c>
      <c r="B48" s="245" t="s">
        <v>871</v>
      </c>
      <c r="C48" s="246" t="s">
        <v>872</v>
      </c>
      <c r="D48" s="247">
        <f>COUNTIF(Fuente!J45:$J$567,'CUMPLIMIENTO '!C48)</f>
        <v>2</v>
      </c>
      <c r="E48" s="247" t="s">
        <v>310</v>
      </c>
      <c r="F48" s="247">
        <f>GETPIVOTDATA("Cuenta de Valor esperado 2021",'METAS POR AÑO'!$A$3,"Cod Linea","2.2","Cod- Prog","2.2.2 ")</f>
        <v>1</v>
      </c>
      <c r="G48" s="248">
        <f>Fuente!K242</f>
        <v>0</v>
      </c>
      <c r="H48" s="248">
        <f>Fuente!L242</f>
        <v>0</v>
      </c>
    </row>
    <row r="49" spans="1:10" ht="37.5" x14ac:dyDescent="0.25">
      <c r="A49" s="202" t="s">
        <v>1830</v>
      </c>
      <c r="B49" s="236" t="s">
        <v>876</v>
      </c>
      <c r="C49" s="250" t="s">
        <v>1854</v>
      </c>
      <c r="D49" s="238">
        <f>SUM(D50)</f>
        <v>4</v>
      </c>
      <c r="E49" s="238">
        <f>SUM(E50)</f>
        <v>1</v>
      </c>
      <c r="F49" s="238">
        <f>SUM(F50)</f>
        <v>4</v>
      </c>
      <c r="G49" s="239">
        <f>AVERAGE(G50)</f>
        <v>0.33750000000000002</v>
      </c>
      <c r="H49" s="239">
        <f>AVERAGE(H50)</f>
        <v>0.10625000000000001</v>
      </c>
    </row>
    <row r="50" spans="1:10" ht="18.75" x14ac:dyDescent="0.25">
      <c r="A50" s="198" t="s">
        <v>1831</v>
      </c>
      <c r="B50" s="245" t="s">
        <v>878</v>
      </c>
      <c r="C50" s="246" t="s">
        <v>879</v>
      </c>
      <c r="D50" s="247">
        <f>COUNTIF(Fuente!J47:$J$567,'CUMPLIMIENTO '!C50)</f>
        <v>4</v>
      </c>
      <c r="E50" s="247">
        <v>1</v>
      </c>
      <c r="F50" s="247">
        <f>GETPIVOTDATA("Cuenta de Valor esperado 2021",'METAS POR AÑO'!$A$3,"Cod Linea","2.3","Cod- Prog","2.3.1")</f>
        <v>4</v>
      </c>
      <c r="G50" s="248">
        <f>Fuente!K244</f>
        <v>0.33750000000000002</v>
      </c>
      <c r="H50" s="248">
        <f>Fuente!L244</f>
        <v>0.10625000000000001</v>
      </c>
    </row>
    <row r="51" spans="1:10" ht="18.75" x14ac:dyDescent="0.25">
      <c r="A51" s="202" t="s">
        <v>1830</v>
      </c>
      <c r="B51" s="236" t="s">
        <v>887</v>
      </c>
      <c r="C51" s="237" t="s">
        <v>1853</v>
      </c>
      <c r="D51" s="238">
        <f>SUM(D52:D53)</f>
        <v>7</v>
      </c>
      <c r="E51" s="238">
        <f>SUM(E52:E53)</f>
        <v>3</v>
      </c>
      <c r="F51" s="238">
        <f>SUM(F52:F53)</f>
        <v>7</v>
      </c>
      <c r="G51" s="239">
        <f>AVERAGE(G52:G53)</f>
        <v>0.28287037037037033</v>
      </c>
      <c r="H51" s="240">
        <f>AVERAGE(H52:H53)</f>
        <v>0.45833333333333331</v>
      </c>
    </row>
    <row r="52" spans="1:10" ht="18.75" x14ac:dyDescent="0.25">
      <c r="A52" s="198" t="s">
        <v>1831</v>
      </c>
      <c r="B52" s="245" t="s">
        <v>889</v>
      </c>
      <c r="C52" s="246" t="s">
        <v>896</v>
      </c>
      <c r="D52" s="247">
        <f>COUNTIF(Fuente!J49:$J$567,'CUMPLIMIENTO '!C52)</f>
        <v>4</v>
      </c>
      <c r="E52" s="247">
        <v>2</v>
      </c>
      <c r="F52" s="247">
        <f>GETPIVOTDATA("Cuenta de Valor esperado 2021",'METAS POR AÑO'!$A$3,"Cod Linea","2.4","Cod- Prog","2.4.1")</f>
        <v>4</v>
      </c>
      <c r="G52" s="327">
        <f>Fuente!K248</f>
        <v>0.19166666666666665</v>
      </c>
      <c r="H52" s="248">
        <f>Fuente!L248</f>
        <v>0.25</v>
      </c>
      <c r="J52" t="s">
        <v>2044</v>
      </c>
    </row>
    <row r="53" spans="1:10" ht="37.5" x14ac:dyDescent="0.25">
      <c r="A53" s="198" t="s">
        <v>1831</v>
      </c>
      <c r="B53" s="245" t="s">
        <v>902</v>
      </c>
      <c r="C53" s="246" t="s">
        <v>903</v>
      </c>
      <c r="D53" s="247">
        <f>COUNTIF(Fuente!J50:$J$567,'CUMPLIMIENTO '!C53)</f>
        <v>3</v>
      </c>
      <c r="E53" s="247">
        <v>1</v>
      </c>
      <c r="F53" s="247">
        <f>GETPIVOTDATA("Cuenta de Valor esperado 2021",'METAS POR AÑO'!$A$3,"Cod Linea","2.4","Cod- Prog","2.4.2")</f>
        <v>3</v>
      </c>
      <c r="G53" s="327">
        <f>Fuente!K252</f>
        <v>0.37407407407407406</v>
      </c>
      <c r="H53" s="248">
        <f>Fuente!L252</f>
        <v>0.66666666666666663</v>
      </c>
    </row>
    <row r="54" spans="1:10" ht="37.5" x14ac:dyDescent="0.25">
      <c r="A54" s="202" t="s">
        <v>1830</v>
      </c>
      <c r="B54" s="236" t="s">
        <v>909</v>
      </c>
      <c r="C54" s="250" t="s">
        <v>1852</v>
      </c>
      <c r="D54" s="238">
        <f>SUM(D55:D60)</f>
        <v>8</v>
      </c>
      <c r="E54" s="238">
        <f>SUM(E55:E60)</f>
        <v>6</v>
      </c>
      <c r="F54" s="238">
        <f>SUM(F55:F60)</f>
        <v>8</v>
      </c>
      <c r="G54" s="239">
        <f>AVERAGE(G55:G60)</f>
        <v>0.26021690090122751</v>
      </c>
      <c r="H54" s="240">
        <f>AVERAGE(H55:H60)</f>
        <v>0.37503049785364378</v>
      </c>
    </row>
    <row r="55" spans="1:10" ht="18.75" x14ac:dyDescent="0.25">
      <c r="A55" s="198" t="s">
        <v>1831</v>
      </c>
      <c r="B55" s="245" t="s">
        <v>911</v>
      </c>
      <c r="C55" s="246" t="s">
        <v>912</v>
      </c>
      <c r="D55" s="247">
        <f>COUNTIF(Fuente!J52:$J$567,'CUMPLIMIENTO '!C55)</f>
        <v>1</v>
      </c>
      <c r="E55" s="247">
        <v>1</v>
      </c>
      <c r="F55" s="247">
        <f>GETPIVOTDATA("Cuenta de Valor esperado 2021",'METAS POR AÑO'!$A$3,"Cod Linea","2.5","Cod- Prog","2.5.1")</f>
        <v>1</v>
      </c>
      <c r="G55" s="327">
        <f>Fuente!K255</f>
        <v>2.032520325203252E-2</v>
      </c>
      <c r="H55" s="327">
        <f>Fuente!L255</f>
        <v>0.1360544217687075</v>
      </c>
      <c r="J55" t="s">
        <v>2044</v>
      </c>
    </row>
    <row r="56" spans="1:10" ht="18.75" x14ac:dyDescent="0.25">
      <c r="A56" s="198" t="s">
        <v>1831</v>
      </c>
      <c r="B56" s="245" t="s">
        <v>920</v>
      </c>
      <c r="C56" s="246" t="s">
        <v>921</v>
      </c>
      <c r="D56" s="247">
        <f>COUNTIF(Fuente!J53:$J$567,'CUMPLIMIENTO '!C56)</f>
        <v>1</v>
      </c>
      <c r="E56" s="247">
        <v>1</v>
      </c>
      <c r="F56" s="247">
        <f>GETPIVOTDATA("Cuenta de Valor esperado 2022",'METAS POR AÑO'!$A$3,"Cod Linea","2.5","Cod- Prog","2.5.2")</f>
        <v>1</v>
      </c>
      <c r="G56" s="327">
        <f>Fuente!K256</f>
        <v>6.6559999999999994E-2</v>
      </c>
      <c r="H56" s="327">
        <f>Fuente!L256</f>
        <v>2.8307508939213348E-2</v>
      </c>
    </row>
    <row r="57" spans="1:10" ht="18.75" x14ac:dyDescent="0.25">
      <c r="A57" s="198" t="s">
        <v>1831</v>
      </c>
      <c r="B57" s="245" t="s">
        <v>926</v>
      </c>
      <c r="C57" s="246" t="s">
        <v>927</v>
      </c>
      <c r="D57" s="247">
        <f>COUNTIF(Fuente!J54:$J$567,'CUMPLIMIENTO '!C57)</f>
        <v>3</v>
      </c>
      <c r="E57" s="247">
        <v>2</v>
      </c>
      <c r="F57" s="247">
        <f>GETPIVOTDATA("Cuenta de Valor esperado 2022",'METAS POR AÑO'!$A$3,"Cod Linea","2.5","Cod- Prog","2.5.3")</f>
        <v>3</v>
      </c>
      <c r="G57" s="327">
        <f>Fuente!K257</f>
        <v>0.10006837606837608</v>
      </c>
      <c r="H57" s="327">
        <f>Fuente!L257</f>
        <v>0.54842975206611566</v>
      </c>
    </row>
    <row r="58" spans="1:10" ht="18.75" x14ac:dyDescent="0.25">
      <c r="A58" s="198" t="s">
        <v>1831</v>
      </c>
      <c r="B58" s="245" t="s">
        <v>943</v>
      </c>
      <c r="C58" s="246" t="s">
        <v>944</v>
      </c>
      <c r="D58" s="247">
        <f>COUNTIF(Fuente!J55:$J$567,'CUMPLIMIENTO '!C58)</f>
        <v>1</v>
      </c>
      <c r="E58" s="247">
        <v>1</v>
      </c>
      <c r="F58" s="247">
        <f>GETPIVOTDATA("Cuenta de Valor esperado 2022",'METAS POR AÑO'!$A$3,"Cod Linea","2.5","Cod- Prog","2.5.4")</f>
        <v>1</v>
      </c>
      <c r="G58" s="327">
        <f>Fuente!K260</f>
        <v>0.30434782608695654</v>
      </c>
      <c r="H58" s="327">
        <f>Fuente!L260</f>
        <v>0.21739130434782608</v>
      </c>
    </row>
    <row r="59" spans="1:10" ht="18.75" x14ac:dyDescent="0.25">
      <c r="A59" s="198" t="s">
        <v>1831</v>
      </c>
      <c r="B59" s="245" t="s">
        <v>949</v>
      </c>
      <c r="C59" s="246" t="s">
        <v>950</v>
      </c>
      <c r="D59" s="247">
        <f>COUNTIF(Fuente!J56:$J$567,'CUMPLIMIENTO '!C59)</f>
        <v>1</v>
      </c>
      <c r="E59" s="247">
        <v>1</v>
      </c>
      <c r="F59" s="247">
        <f>GETPIVOTDATA("Cuenta de Valor esperado 2022",'METAS POR AÑO'!$A$3,"Cod Linea","2.5","Cod- Prog","2.5.5 ")</f>
        <v>1</v>
      </c>
      <c r="G59" s="327">
        <f>Fuente!K261</f>
        <v>7.0000000000000007E-2</v>
      </c>
      <c r="H59" s="327">
        <f>Fuente!L261</f>
        <v>0.32</v>
      </c>
    </row>
    <row r="60" spans="1:10" ht="18.75" x14ac:dyDescent="0.25">
      <c r="A60" s="198" t="s">
        <v>1831</v>
      </c>
      <c r="B60" s="245" t="s">
        <v>956</v>
      </c>
      <c r="C60" s="246" t="s">
        <v>957</v>
      </c>
      <c r="D60" s="247">
        <f>COUNTIF(Fuente!J57:$J$567,'CUMPLIMIENTO '!C60)</f>
        <v>1</v>
      </c>
      <c r="E60" s="247" t="s">
        <v>310</v>
      </c>
      <c r="F60" s="247">
        <f>GETPIVOTDATA("Cuenta de Valor esperado 2021",'METAS POR AÑO'!$A$3,"Cod Linea","2.5","Cod- Prog","2.5.6")</f>
        <v>1</v>
      </c>
      <c r="G60" s="327">
        <f>Fuente!K262</f>
        <v>1</v>
      </c>
      <c r="H60" s="327">
        <f>Fuente!L262</f>
        <v>1</v>
      </c>
    </row>
    <row r="61" spans="1:10" ht="37.5" x14ac:dyDescent="0.25">
      <c r="A61" s="202" t="s">
        <v>1830</v>
      </c>
      <c r="B61" s="236" t="s">
        <v>964</v>
      </c>
      <c r="C61" s="250" t="s">
        <v>1851</v>
      </c>
      <c r="D61" s="238">
        <f>SUM(D62:D66)</f>
        <v>18</v>
      </c>
      <c r="E61" s="238">
        <f>SUM(E62:E66)</f>
        <v>6</v>
      </c>
      <c r="F61" s="238">
        <f>SUM(F62:F66)</f>
        <v>16</v>
      </c>
      <c r="G61" s="239">
        <f>AVERAGE(G62:G66)</f>
        <v>0.14849206349206351</v>
      </c>
      <c r="H61" s="240">
        <f>AVERAGE(H62:H66)</f>
        <v>0.23641470737153236</v>
      </c>
    </row>
    <row r="62" spans="1:10" ht="18.75" x14ac:dyDescent="0.25">
      <c r="A62" s="198" t="s">
        <v>1831</v>
      </c>
      <c r="B62" s="245" t="s">
        <v>966</v>
      </c>
      <c r="C62" s="246" t="s">
        <v>967</v>
      </c>
      <c r="D62" s="247">
        <f>COUNTIF(Fuente!J59:$J$567,'CUMPLIMIENTO '!C62)</f>
        <v>3</v>
      </c>
      <c r="E62" s="247" t="s">
        <v>310</v>
      </c>
      <c r="F62" s="247">
        <f>GETPIVOTDATA("Cuenta de Valor esperado 2022",'METAS POR AÑO'!$A$3,"Cod Linea","2.6","Cod- Prog","2.6.1")</f>
        <v>3</v>
      </c>
      <c r="G62" s="327">
        <f>Fuente!K263</f>
        <v>5.5555555555555552E-2</v>
      </c>
      <c r="H62" s="327">
        <f>Fuente!L263</f>
        <v>0.16666666666666666</v>
      </c>
    </row>
    <row r="63" spans="1:10" ht="18.75" x14ac:dyDescent="0.25">
      <c r="A63" s="198" t="s">
        <v>1831</v>
      </c>
      <c r="B63" s="245" t="s">
        <v>976</v>
      </c>
      <c r="C63" s="246" t="s">
        <v>977</v>
      </c>
      <c r="D63" s="247">
        <f>COUNTIF(Fuente!J60:$J$567,'CUMPLIMIENTO '!C63)</f>
        <v>4</v>
      </c>
      <c r="E63" s="247">
        <v>3</v>
      </c>
      <c r="F63" s="247">
        <f>GETPIVOTDATA("Cuenta de Valor esperado 2022",'METAS POR AÑO'!$A$3,"Cod Linea","2.6","Cod- Prog","2.6.2")</f>
        <v>3</v>
      </c>
      <c r="G63" s="327">
        <f>Fuente!K266</f>
        <v>0.17857142857142858</v>
      </c>
      <c r="H63" s="327">
        <f>Fuente!L266</f>
        <v>0.2</v>
      </c>
    </row>
    <row r="64" spans="1:10" ht="18.75" x14ac:dyDescent="0.25">
      <c r="A64" s="198" t="s">
        <v>1831</v>
      </c>
      <c r="B64" s="245" t="s">
        <v>986</v>
      </c>
      <c r="C64" s="246" t="s">
        <v>987</v>
      </c>
      <c r="D64" s="247">
        <f>COUNTIF(Fuente!J61:$J$567,'CUMPLIMIENTO '!C64)</f>
        <v>5</v>
      </c>
      <c r="E64" s="247">
        <v>1</v>
      </c>
      <c r="F64" s="247">
        <f>GETPIVOTDATA("Cuenta de Valor esperado 2022",'METAS POR AÑO'!$A$3,"Cod Linea","2.6","Cod- Prog","2.6.3")</f>
        <v>4</v>
      </c>
      <c r="G64" s="327">
        <f>Fuente!K270</f>
        <v>0.155</v>
      </c>
      <c r="H64" s="327">
        <f>Fuente!L270</f>
        <v>0.2298008095849346</v>
      </c>
    </row>
    <row r="65" spans="1:11" ht="18.75" x14ac:dyDescent="0.25">
      <c r="A65" s="198" t="s">
        <v>1831</v>
      </c>
      <c r="B65" s="245" t="s">
        <v>999</v>
      </c>
      <c r="C65" s="246" t="s">
        <v>1000</v>
      </c>
      <c r="D65" s="247">
        <f>COUNTIF(Fuente!J62:$J$567,'CUMPLIMIENTO '!C65)</f>
        <v>3</v>
      </c>
      <c r="E65" s="247">
        <v>1</v>
      </c>
      <c r="F65" s="247">
        <f>GETPIVOTDATA("Cuenta de Valor esperado 2022",'METAS POR AÑO'!$A$3,"Cod Linea","2.6","Cod- Prog","2.6.4")</f>
        <v>3</v>
      </c>
      <c r="G65" s="327">
        <f>Fuente!K275</f>
        <v>8.111111111111112E-2</v>
      </c>
      <c r="H65" s="327">
        <f>Fuente!L275</f>
        <v>6.0606060606060608E-2</v>
      </c>
      <c r="J65" t="s">
        <v>2044</v>
      </c>
    </row>
    <row r="66" spans="1:11" ht="18.75" x14ac:dyDescent="0.25">
      <c r="A66" s="198" t="s">
        <v>1831</v>
      </c>
      <c r="B66" s="245" t="s">
        <v>1007</v>
      </c>
      <c r="C66" s="246" t="s">
        <v>1008</v>
      </c>
      <c r="D66" s="247">
        <f>COUNTIF(Fuente!J63:$J$567,'CUMPLIMIENTO '!C66)</f>
        <v>3</v>
      </c>
      <c r="E66" s="247">
        <v>1</v>
      </c>
      <c r="F66" s="247">
        <f>GETPIVOTDATA("Cuenta de Valor esperado 2022",'METAS POR AÑO'!$A$3,"Cod Linea","2.6","Cod- Prog","2.6.5")</f>
        <v>3</v>
      </c>
      <c r="G66" s="327">
        <f>Fuente!K278</f>
        <v>0.2722222222222222</v>
      </c>
      <c r="H66" s="327">
        <f>Fuente!L278</f>
        <v>0.52500000000000002</v>
      </c>
    </row>
    <row r="67" spans="1:11" ht="18.75" x14ac:dyDescent="0.25">
      <c r="A67" s="202" t="s">
        <v>1830</v>
      </c>
      <c r="B67" s="236" t="s">
        <v>863</v>
      </c>
      <c r="C67" s="237" t="s">
        <v>1850</v>
      </c>
      <c r="D67" s="238">
        <f>SUM(D68)</f>
        <v>15</v>
      </c>
      <c r="E67" s="238">
        <f>SUM(E68)</f>
        <v>11</v>
      </c>
      <c r="F67" s="238">
        <f>SUM(F68)</f>
        <v>12</v>
      </c>
      <c r="G67" s="239">
        <f>AVERAGE(G68)</f>
        <v>0.40225641025641029</v>
      </c>
      <c r="H67" s="240">
        <f>AVERAGE(H68)</f>
        <v>0.47361111111111104</v>
      </c>
    </row>
    <row r="68" spans="1:11" ht="18.75" x14ac:dyDescent="0.25">
      <c r="A68" s="198" t="s">
        <v>1831</v>
      </c>
      <c r="B68" s="245" t="s">
        <v>1020</v>
      </c>
      <c r="C68" s="246" t="s">
        <v>1021</v>
      </c>
      <c r="D68" s="247">
        <f>COUNTIF(Fuente!J65:$J$567,'CUMPLIMIENTO '!C68)</f>
        <v>15</v>
      </c>
      <c r="E68" s="247">
        <v>11</v>
      </c>
      <c r="F68" s="247">
        <f>GETPIVOTDATA("Cuenta de Valor esperado 2021",'METAS POR AÑO'!$A$3,"Cod Linea","2.7","Cod- Prog","2.7.1 ")</f>
        <v>12</v>
      </c>
      <c r="G68" s="248">
        <f>Fuente!K281</f>
        <v>0.40225641025641029</v>
      </c>
      <c r="H68" s="248">
        <f>Fuente!L281</f>
        <v>0.47361111111111104</v>
      </c>
    </row>
    <row r="69" spans="1:11" ht="37.5" x14ac:dyDescent="0.25">
      <c r="A69" s="202" t="s">
        <v>1830</v>
      </c>
      <c r="B69" s="236" t="s">
        <v>342</v>
      </c>
      <c r="C69" s="250" t="s">
        <v>1849</v>
      </c>
      <c r="D69" s="238">
        <f>SUM(D70:D71)</f>
        <v>4</v>
      </c>
      <c r="E69" s="238" t="s">
        <v>310</v>
      </c>
      <c r="F69" s="238">
        <f>SUM(F70:F71)</f>
        <v>4</v>
      </c>
      <c r="G69" s="239">
        <f>AVERAGE(G70:G71)</f>
        <v>8.3333333333333343E-2</v>
      </c>
      <c r="H69" s="239">
        <f>AVERAGE(H70:H71)</f>
        <v>0.19642857142857142</v>
      </c>
    </row>
    <row r="70" spans="1:11" ht="18.75" x14ac:dyDescent="0.25">
      <c r="A70" s="198" t="s">
        <v>1831</v>
      </c>
      <c r="B70" s="245" t="s">
        <v>1070</v>
      </c>
      <c r="C70" s="246" t="s">
        <v>1071</v>
      </c>
      <c r="D70" s="247">
        <f>COUNTIF(Fuente!J67:$J$567,'CUMPLIMIENTO '!C70)</f>
        <v>3</v>
      </c>
      <c r="E70" s="247" t="s">
        <v>310</v>
      </c>
      <c r="F70" s="247">
        <f>GETPIVOTDATA("Cuenta de Valor esperado 2021",'METAS POR AÑO'!$A$3,"Cod Linea","2.8","Cod- Prog","2.8.1 ")</f>
        <v>3</v>
      </c>
      <c r="G70" s="327">
        <f>Fuente!K296</f>
        <v>6.6666666666666666E-2</v>
      </c>
      <c r="H70" s="327">
        <f>Fuente!L296</f>
        <v>0.14285714285714285</v>
      </c>
      <c r="J70" t="s">
        <v>2045</v>
      </c>
    </row>
    <row r="71" spans="1:11" ht="18.75" x14ac:dyDescent="0.25">
      <c r="A71" s="198" t="s">
        <v>1831</v>
      </c>
      <c r="B71" s="245" t="s">
        <v>1076</v>
      </c>
      <c r="C71" s="246" t="s">
        <v>1077</v>
      </c>
      <c r="D71" s="247">
        <f>COUNTIF(Fuente!J68:$J$567,'CUMPLIMIENTO '!C71)</f>
        <v>1</v>
      </c>
      <c r="E71" s="247" t="s">
        <v>310</v>
      </c>
      <c r="F71" s="247">
        <f>GETPIVOTDATA("Cuenta de Valor esperado 2021",'METAS POR AÑO'!$A$3,"Cod Linea","2.8","Cod- Prog","2.8.2")</f>
        <v>1</v>
      </c>
      <c r="G71" s="248">
        <f>Fuente!K299</f>
        <v>0.1</v>
      </c>
      <c r="H71" s="248">
        <f>Fuente!L299</f>
        <v>0.25</v>
      </c>
    </row>
    <row r="72" spans="1:11" ht="18.75" x14ac:dyDescent="0.25">
      <c r="A72" s="202" t="s">
        <v>1830</v>
      </c>
      <c r="B72" s="236" t="s">
        <v>347</v>
      </c>
      <c r="C72" s="237" t="s">
        <v>1848</v>
      </c>
      <c r="D72" s="238">
        <f>SUM(D73:D76)</f>
        <v>11</v>
      </c>
      <c r="E72" s="238">
        <f>SUM(E73:E76)</f>
        <v>11</v>
      </c>
      <c r="F72" s="238">
        <f>SUM(F73:F76)</f>
        <v>9</v>
      </c>
      <c r="G72" s="239">
        <f>AVERAGE(G73:G76)</f>
        <v>0.17891369047619049</v>
      </c>
      <c r="H72" s="240">
        <f>AVERAGE(H73:H76)</f>
        <v>0.50321428571428573</v>
      </c>
    </row>
    <row r="73" spans="1:11" ht="18.75" x14ac:dyDescent="0.25">
      <c r="A73" s="198" t="s">
        <v>1831</v>
      </c>
      <c r="B73" s="245" t="s">
        <v>1081</v>
      </c>
      <c r="C73" s="246" t="s">
        <v>1082</v>
      </c>
      <c r="D73" s="247">
        <f>COUNTIF(Fuente!J70:$J$567,'CUMPLIMIENTO '!C73)</f>
        <v>2</v>
      </c>
      <c r="E73" s="247">
        <v>2</v>
      </c>
      <c r="F73" s="247">
        <f>GETPIVOTDATA("Cuenta de Valor esperado 2021",'METAS POR AÑO'!$A$3,"Cod Linea","2.9","Cod- Prog","2.9.1")</f>
        <v>1</v>
      </c>
      <c r="G73" s="248">
        <f>Fuente!K300</f>
        <v>0.37500000000000006</v>
      </c>
      <c r="H73" s="248">
        <f>Fuente!L300</f>
        <v>1</v>
      </c>
    </row>
    <row r="74" spans="1:11" ht="37.5" x14ac:dyDescent="0.25">
      <c r="A74" s="198" t="s">
        <v>1831</v>
      </c>
      <c r="B74" s="245" t="s">
        <v>1087</v>
      </c>
      <c r="C74" s="246" t="s">
        <v>1088</v>
      </c>
      <c r="D74" s="247">
        <f>COUNTIF(Fuente!J71:$J$567,'CUMPLIMIENTO '!C74)</f>
        <v>6</v>
      </c>
      <c r="E74" s="247">
        <v>6</v>
      </c>
      <c r="F74" s="247">
        <f>GETPIVOTDATA("Cuenta de Valor esperado 2021",'METAS POR AÑO'!$A$3,"Cod Linea","2.9","Cod- Prog","2.9.2")</f>
        <v>5</v>
      </c>
      <c r="G74" s="248">
        <f>Fuente!K302</f>
        <v>0.13208333333333333</v>
      </c>
      <c r="H74" s="248">
        <f>Fuente!L302</f>
        <v>0.41285714285714292</v>
      </c>
    </row>
    <row r="75" spans="1:11" ht="18.75" x14ac:dyDescent="0.25">
      <c r="A75" s="198" t="s">
        <v>1831</v>
      </c>
      <c r="B75" s="245" t="s">
        <v>1099</v>
      </c>
      <c r="C75" s="246" t="s">
        <v>1100</v>
      </c>
      <c r="D75" s="247">
        <f>COUNTIF(Fuente!J72:$J$567,'CUMPLIMIENTO '!C75)</f>
        <v>2</v>
      </c>
      <c r="E75" s="247">
        <v>2</v>
      </c>
      <c r="F75" s="247">
        <f>GETPIVOTDATA("Cuenta de Valor esperado 2021",'METAS POR AÑO'!$A$3,"Cod Linea","2.9","Cod- Prog","2.9.3")</f>
        <v>2</v>
      </c>
      <c r="G75" s="248">
        <f>Fuente!K308</f>
        <v>0.17857142857142858</v>
      </c>
      <c r="H75" s="248">
        <f>Fuente!L308</f>
        <v>0.5</v>
      </c>
    </row>
    <row r="76" spans="1:11" ht="18.75" x14ac:dyDescent="0.25">
      <c r="A76" s="198" t="s">
        <v>1831</v>
      </c>
      <c r="B76" s="245" t="s">
        <v>1105</v>
      </c>
      <c r="C76" s="246" t="s">
        <v>1106</v>
      </c>
      <c r="D76" s="247">
        <f>COUNTIF(Fuente!J73:$J$567,'CUMPLIMIENTO '!C76)</f>
        <v>1</v>
      </c>
      <c r="E76" s="247">
        <v>1</v>
      </c>
      <c r="F76" s="247">
        <f>GETPIVOTDATA("Cuenta de Valor esperado 2021",'METAS POR AÑO'!$A$3,"Cod Linea","2.9","Cod- Prog","2.9.4")</f>
        <v>1</v>
      </c>
      <c r="G76" s="327">
        <f>Fuente!K310</f>
        <v>0.03</v>
      </c>
      <c r="H76" s="327">
        <f>Fuente!L310</f>
        <v>0.1</v>
      </c>
      <c r="J76" t="s">
        <v>2044</v>
      </c>
    </row>
    <row r="77" spans="1:11" ht="18.75" x14ac:dyDescent="0.25">
      <c r="A77" s="202" t="s">
        <v>1830</v>
      </c>
      <c r="B77" s="236" t="s">
        <v>1110</v>
      </c>
      <c r="C77" s="237" t="s">
        <v>1846</v>
      </c>
      <c r="D77" s="238">
        <f>SUM(D78)</f>
        <v>4</v>
      </c>
      <c r="E77" s="238" t="s">
        <v>310</v>
      </c>
      <c r="F77" s="238">
        <f>SUM(F78)</f>
        <v>0</v>
      </c>
      <c r="G77" s="239">
        <f>AVERAGE(G78)</f>
        <v>0</v>
      </c>
      <c r="H77" s="240" t="s">
        <v>310</v>
      </c>
    </row>
    <row r="78" spans="1:11" ht="37.5" x14ac:dyDescent="0.25">
      <c r="A78" s="198" t="s">
        <v>1831</v>
      </c>
      <c r="B78" s="245" t="s">
        <v>1112</v>
      </c>
      <c r="C78" s="246" t="s">
        <v>1113</v>
      </c>
      <c r="D78" s="247">
        <f>COUNTIF(Fuente!J75:$J$567,'CUMPLIMIENTO '!C78)</f>
        <v>4</v>
      </c>
      <c r="E78" s="247" t="s">
        <v>310</v>
      </c>
      <c r="F78" s="247" t="s">
        <v>310</v>
      </c>
      <c r="G78" s="248">
        <f>Fuente!K311</f>
        <v>0</v>
      </c>
      <c r="H78" s="248" t="str">
        <f>Fuente!L311</f>
        <v>NP</v>
      </c>
      <c r="J78" s="62"/>
      <c r="K78" s="62"/>
    </row>
    <row r="79" spans="1:11" ht="37.5" x14ac:dyDescent="0.25">
      <c r="A79" s="204" t="s">
        <v>1829</v>
      </c>
      <c r="B79" s="195">
        <v>3</v>
      </c>
      <c r="C79" s="234" t="s">
        <v>1748</v>
      </c>
      <c r="D79" s="196">
        <f>SUM(D86,D84,D82,D80)</f>
        <v>23</v>
      </c>
      <c r="E79" s="196">
        <f>SUM(E86,E84,E82,E80)</f>
        <v>14</v>
      </c>
      <c r="F79" s="196">
        <f>SUM(F86,F84,F82,F80)</f>
        <v>17</v>
      </c>
      <c r="G79" s="197">
        <f>AVERAGE(G80,G82,G84,G86)</f>
        <v>0.22340166188027338</v>
      </c>
      <c r="H79" s="197">
        <f>AVERAGE(H80,H82,H84,H86)</f>
        <v>0.28496980676328504</v>
      </c>
    </row>
    <row r="80" spans="1:11" ht="37.5" x14ac:dyDescent="0.25">
      <c r="A80" s="202" t="s">
        <v>1830</v>
      </c>
      <c r="B80" s="236" t="s">
        <v>1120</v>
      </c>
      <c r="C80" s="250" t="s">
        <v>1847</v>
      </c>
      <c r="D80" s="238">
        <f>SUM(D81)</f>
        <v>5</v>
      </c>
      <c r="E80" s="238">
        <f>SUM(E81)</f>
        <v>2</v>
      </c>
      <c r="F80" s="238">
        <f>SUM(F81)</f>
        <v>2</v>
      </c>
      <c r="G80" s="239">
        <f>AVERAGE(G81)</f>
        <v>0.2</v>
      </c>
      <c r="H80" s="240">
        <f>AVERAGE(H81)</f>
        <v>0.5</v>
      </c>
    </row>
    <row r="81" spans="1:10" ht="37.5" x14ac:dyDescent="0.25">
      <c r="A81" s="198" t="s">
        <v>1831</v>
      </c>
      <c r="B81" s="245" t="s">
        <v>1122</v>
      </c>
      <c r="C81" s="246" t="s">
        <v>1123</v>
      </c>
      <c r="D81" s="247">
        <f>COUNTIF(Fuente!J78:$J$567,'CUMPLIMIENTO '!C81)</f>
        <v>5</v>
      </c>
      <c r="E81" s="247">
        <v>2</v>
      </c>
      <c r="F81" s="247">
        <f>GETPIVOTDATA("Cuenta de Valor esperado 2021",'METAS POR AÑO'!$A$3,"Cod Linea","3.1","Cod- Prog","3.1.1 ")</f>
        <v>2</v>
      </c>
      <c r="G81" s="248">
        <f>Fuente!K315</f>
        <v>0.2</v>
      </c>
      <c r="H81" s="248">
        <f>Fuente!L315</f>
        <v>0.5</v>
      </c>
    </row>
    <row r="82" spans="1:10" ht="18.75" x14ac:dyDescent="0.25">
      <c r="A82" s="202" t="s">
        <v>1830</v>
      </c>
      <c r="B82" s="236" t="s">
        <v>1144</v>
      </c>
      <c r="C82" s="237" t="s">
        <v>1845</v>
      </c>
      <c r="D82" s="238">
        <f>SUM(D83)</f>
        <v>5</v>
      </c>
      <c r="E82" s="238">
        <f>SUM(E83)</f>
        <v>4</v>
      </c>
      <c r="F82" s="238">
        <f>SUM(F83)</f>
        <v>4</v>
      </c>
      <c r="G82" s="239">
        <f>AVERAGE(G83)</f>
        <v>0.23333333333333334</v>
      </c>
      <c r="H82" s="240">
        <f>AVERAGE(H83)</f>
        <v>0.25</v>
      </c>
    </row>
    <row r="83" spans="1:10" ht="18.75" x14ac:dyDescent="0.25">
      <c r="A83" s="198" t="s">
        <v>1831</v>
      </c>
      <c r="B83" s="245" t="s">
        <v>1146</v>
      </c>
      <c r="C83" s="246" t="s">
        <v>1147</v>
      </c>
      <c r="D83" s="247">
        <f>COUNTIF(Fuente!J80:$J$567,'CUMPLIMIENTO '!C83)</f>
        <v>5</v>
      </c>
      <c r="E83" s="247">
        <v>4</v>
      </c>
      <c r="F83" s="247">
        <f>GETPIVOTDATA("Cuenta de Valor esperado 2021",'METAS POR AÑO'!$A$3,"Cod Linea","3.2","Cod- Prog","3.2.1")</f>
        <v>4</v>
      </c>
      <c r="G83" s="248">
        <f>Fuente!K320</f>
        <v>0.23333333333333334</v>
      </c>
      <c r="H83" s="248">
        <f>Fuente!L320</f>
        <v>0.25</v>
      </c>
    </row>
    <row r="84" spans="1:10" ht="37.5" x14ac:dyDescent="0.25">
      <c r="A84" s="202" t="s">
        <v>1830</v>
      </c>
      <c r="B84" s="236" t="s">
        <v>1167</v>
      </c>
      <c r="C84" s="250" t="s">
        <v>1844</v>
      </c>
      <c r="D84" s="238">
        <f>SUM(D85)</f>
        <v>2</v>
      </c>
      <c r="E84" s="238">
        <v>1</v>
      </c>
      <c r="F84" s="238">
        <f>SUM(F85)</f>
        <v>1</v>
      </c>
      <c r="G84" s="239">
        <f>AVERAGE(G85)</f>
        <v>2.5000000000000001E-2</v>
      </c>
      <c r="H84" s="239">
        <f>AVERAGE(H85)</f>
        <v>0.05</v>
      </c>
    </row>
    <row r="85" spans="1:10" ht="18.75" x14ac:dyDescent="0.25">
      <c r="A85" s="198" t="s">
        <v>1831</v>
      </c>
      <c r="B85" s="245" t="s">
        <v>1169</v>
      </c>
      <c r="C85" s="246" t="s">
        <v>1170</v>
      </c>
      <c r="D85" s="247">
        <f>COUNTIF(Fuente!J82:$J$567,'CUMPLIMIENTO '!C85)</f>
        <v>2</v>
      </c>
      <c r="E85" s="247" t="s">
        <v>310</v>
      </c>
      <c r="F85" s="247">
        <f>GETPIVOTDATA("Cuenta de Valor esperado 2021",'METAS POR AÑO'!$A$3,"Cod Linea","3.3","Cod- Prog","3.3.1")</f>
        <v>1</v>
      </c>
      <c r="G85" s="327">
        <f>Fuente!K325</f>
        <v>2.5000000000000001E-2</v>
      </c>
      <c r="H85" s="327">
        <f>Fuente!L325</f>
        <v>0.05</v>
      </c>
      <c r="J85" t="s">
        <v>2044</v>
      </c>
    </row>
    <row r="86" spans="1:10" ht="18.75" x14ac:dyDescent="0.25">
      <c r="A86" s="202" t="s">
        <v>1830</v>
      </c>
      <c r="B86" s="236" t="s">
        <v>1178</v>
      </c>
      <c r="C86" s="237" t="s">
        <v>1843</v>
      </c>
      <c r="D86" s="238">
        <f>SUM(D87:D89)</f>
        <v>11</v>
      </c>
      <c r="E86" s="238">
        <f>SUM(E87:E89)</f>
        <v>7</v>
      </c>
      <c r="F86" s="238">
        <f>SUM(F87:F89)</f>
        <v>10</v>
      </c>
      <c r="G86" s="239">
        <f>AVERAGE(G87:G89)</f>
        <v>0.43527331418776022</v>
      </c>
      <c r="H86" s="240">
        <f>AVERAGE(H87:H89)</f>
        <v>0.33987922705314011</v>
      </c>
    </row>
    <row r="87" spans="1:10" ht="18.75" x14ac:dyDescent="0.25">
      <c r="A87" s="198" t="s">
        <v>1831</v>
      </c>
      <c r="B87" s="245" t="s">
        <v>1180</v>
      </c>
      <c r="C87" s="246" t="s">
        <v>1181</v>
      </c>
      <c r="D87" s="247">
        <f>COUNTIF(Fuente!J84:$J$567,'CUMPLIMIENTO '!C87)</f>
        <v>3</v>
      </c>
      <c r="E87" s="247">
        <v>1</v>
      </c>
      <c r="F87" s="247">
        <f>GETPIVOTDATA("Cuenta de Valor esperado 2021",'METAS POR AÑO'!$A$3,"Cod Linea","3.4","Cod- Prog","3.4.1 ")</f>
        <v>3</v>
      </c>
      <c r="G87" s="327">
        <f>Fuente!K327</f>
        <v>0.28354037267080745</v>
      </c>
      <c r="H87" s="327">
        <f>Fuente!L327</f>
        <v>0.52463768115942022</v>
      </c>
      <c r="J87" t="s">
        <v>2044</v>
      </c>
    </row>
    <row r="88" spans="1:10" ht="18.75" x14ac:dyDescent="0.25">
      <c r="A88" s="198" t="s">
        <v>1831</v>
      </c>
      <c r="B88" s="245" t="s">
        <v>1187</v>
      </c>
      <c r="C88" s="246" t="s">
        <v>1188</v>
      </c>
      <c r="D88" s="247">
        <f>COUNTIF(Fuente!J85:$J$567,'CUMPLIMIENTO '!C88)</f>
        <v>3</v>
      </c>
      <c r="E88" s="247">
        <v>3</v>
      </c>
      <c r="F88" s="247">
        <f>GETPIVOTDATA("Cuenta de Valor esperado 2021",'METAS POR AÑO'!$A$3,"Cod Linea","3.4","Cod- Prog","3.4.2 ")</f>
        <v>2</v>
      </c>
      <c r="G88" s="327">
        <f>Fuente!K330</f>
        <v>0.55161290322580647</v>
      </c>
      <c r="H88" s="327">
        <f>Fuente!L330</f>
        <v>7.4999999999999997E-2</v>
      </c>
    </row>
    <row r="89" spans="1:10" ht="18.75" x14ac:dyDescent="0.25">
      <c r="A89" s="198" t="s">
        <v>1831</v>
      </c>
      <c r="B89" s="245" t="s">
        <v>1196</v>
      </c>
      <c r="C89" s="246" t="s">
        <v>1197</v>
      </c>
      <c r="D89" s="247">
        <f>COUNTIF(Fuente!J86:$J$567,'CUMPLIMIENTO '!C89)</f>
        <v>5</v>
      </c>
      <c r="E89" s="247">
        <v>3</v>
      </c>
      <c r="F89" s="247">
        <f>GETPIVOTDATA("Cuenta de Valor esperado 2021",'METAS POR AÑO'!$A$3,"Cod Linea","3.4","Cod- Prog","3.4.3")</f>
        <v>5</v>
      </c>
      <c r="G89" s="327">
        <f>Fuente!K333</f>
        <v>0.47066666666666668</v>
      </c>
      <c r="H89" s="327">
        <f>Fuente!L333</f>
        <v>0.42000000000000004</v>
      </c>
    </row>
    <row r="90" spans="1:10" ht="37.5" x14ac:dyDescent="0.25">
      <c r="A90" s="204" t="s">
        <v>1829</v>
      </c>
      <c r="B90" s="195">
        <v>4</v>
      </c>
      <c r="C90" s="234" t="s">
        <v>1749</v>
      </c>
      <c r="D90" s="196">
        <f>SUM(D109,D107,D98,D95,D93,D91)</f>
        <v>68</v>
      </c>
      <c r="E90" s="196">
        <f>SUM(E109,E107,E98,E95,E93,E91)</f>
        <v>47</v>
      </c>
      <c r="F90" s="196">
        <f>SUM(F109,F107,F98,F95,F93,F91)</f>
        <v>62</v>
      </c>
      <c r="G90" s="197">
        <f>AVERAGE(G91,G93,G95,G98,G107,G109)</f>
        <v>0.21518996587883446</v>
      </c>
      <c r="H90" s="197">
        <f>AVERAGE(H91,H93,H95,H98,H107,H109)</f>
        <v>0.20474983465608465</v>
      </c>
    </row>
    <row r="91" spans="1:10" ht="18.75" x14ac:dyDescent="0.25">
      <c r="A91" s="202" t="s">
        <v>1830</v>
      </c>
      <c r="B91" s="236" t="s">
        <v>1206</v>
      </c>
      <c r="C91" s="237" t="s">
        <v>1839</v>
      </c>
      <c r="D91" s="238">
        <f>SUM(D92)</f>
        <v>4</v>
      </c>
      <c r="E91" s="238">
        <f>SUM(E92)</f>
        <v>2</v>
      </c>
      <c r="F91" s="238">
        <f>SUM(F92)</f>
        <v>4</v>
      </c>
      <c r="G91" s="239">
        <f>AVERAGE(G92)</f>
        <v>5.9583333333333335E-2</v>
      </c>
      <c r="H91" s="240">
        <f>AVERAGE(H92)</f>
        <v>0.25</v>
      </c>
    </row>
    <row r="92" spans="1:10" ht="18.75" x14ac:dyDescent="0.25">
      <c r="A92" s="198" t="s">
        <v>1831</v>
      </c>
      <c r="B92" s="245" t="s">
        <v>1208</v>
      </c>
      <c r="C92" s="246" t="s">
        <v>1862</v>
      </c>
      <c r="D92" s="247">
        <f>COUNTIF(Fuente!J89:$J$567,'CUMPLIMIENTO '!C92)</f>
        <v>4</v>
      </c>
      <c r="E92" s="247">
        <v>2</v>
      </c>
      <c r="F92" s="247">
        <f>GETPIVOTDATA("Cuenta de Valor esperado 2021",'METAS POR AÑO'!$A$3,"Cod Linea","4.1","Cod- Prog","4.1.1")</f>
        <v>4</v>
      </c>
      <c r="G92" s="327">
        <f>Fuente!K338</f>
        <v>5.9583333333333335E-2</v>
      </c>
      <c r="H92" s="327">
        <f>Fuente!L338</f>
        <v>0.25</v>
      </c>
      <c r="J92" t="s">
        <v>2044</v>
      </c>
    </row>
    <row r="93" spans="1:10" ht="18.75" x14ac:dyDescent="0.25">
      <c r="A93" s="202" t="s">
        <v>1830</v>
      </c>
      <c r="B93" s="236" t="s">
        <v>1216</v>
      </c>
      <c r="C93" s="237" t="s">
        <v>1815</v>
      </c>
      <c r="D93" s="238">
        <f>SUM(D94)</f>
        <v>7</v>
      </c>
      <c r="E93" s="238">
        <f>SUM(E94)</f>
        <v>7</v>
      </c>
      <c r="F93" s="238">
        <f>SUM(F94)</f>
        <v>7</v>
      </c>
      <c r="G93" s="239">
        <f>AVERAGE(G94)</f>
        <v>0.3392857142857143</v>
      </c>
      <c r="H93" s="240">
        <f>AVERAGE(H94)</f>
        <v>0.51904761904761909</v>
      </c>
    </row>
    <row r="94" spans="1:10" ht="18.75" x14ac:dyDescent="0.25">
      <c r="A94" s="198" t="s">
        <v>1831</v>
      </c>
      <c r="B94" s="245" t="s">
        <v>1217</v>
      </c>
      <c r="C94" s="246" t="s">
        <v>1863</v>
      </c>
      <c r="D94" s="247">
        <f>COUNTIF(Fuente!J91:$J$567,'CUMPLIMIENTO '!C94)</f>
        <v>7</v>
      </c>
      <c r="E94" s="247">
        <v>7</v>
      </c>
      <c r="F94" s="247">
        <f>GETPIVOTDATA("Cuenta de Valor esperado 2021",'METAS POR AÑO'!$A$3,"Cod Linea","4.2","Cod- Prog","4.2.1")</f>
        <v>7</v>
      </c>
      <c r="G94" s="248">
        <f>Fuente!K342</f>
        <v>0.3392857142857143</v>
      </c>
      <c r="H94" s="248">
        <f>Fuente!L342</f>
        <v>0.51904761904761909</v>
      </c>
    </row>
    <row r="95" spans="1:10" ht="37.5" x14ac:dyDescent="0.25">
      <c r="A95" s="202" t="s">
        <v>1830</v>
      </c>
      <c r="B95" s="236" t="s">
        <v>1227</v>
      </c>
      <c r="C95" s="250" t="s">
        <v>1842</v>
      </c>
      <c r="D95" s="238">
        <f>SUM(D96:D97)</f>
        <v>13</v>
      </c>
      <c r="E95" s="238">
        <f>SUM(E96:E97)</f>
        <v>10</v>
      </c>
      <c r="F95" s="238">
        <f>SUM(F96:F97)</f>
        <v>12</v>
      </c>
      <c r="G95" s="239">
        <f>AVERAGE(G96:G97)</f>
        <v>0.3098710317460317</v>
      </c>
      <c r="H95" s="240">
        <f>AVERAGE(H96:H97)</f>
        <v>0.30888888888888888</v>
      </c>
    </row>
    <row r="96" spans="1:10" ht="18.75" x14ac:dyDescent="0.25">
      <c r="A96" s="198" t="s">
        <v>1831</v>
      </c>
      <c r="B96" s="245" t="s">
        <v>1228</v>
      </c>
      <c r="C96" s="246" t="s">
        <v>1864</v>
      </c>
      <c r="D96" s="247">
        <f>COUNTIF(Fuente!J93:$J$567,'CUMPLIMIENTO '!C96)</f>
        <v>8</v>
      </c>
      <c r="E96" s="247">
        <v>7</v>
      </c>
      <c r="F96" s="247">
        <f>GETPIVOTDATA("Cuenta de Valor esperado 2021",'METAS POR AÑO'!$A$3,"Cod Linea","4.3","Cod- Prog","4.3.1")</f>
        <v>7</v>
      </c>
      <c r="G96" s="248">
        <f>Fuente!K349</f>
        <v>0.39196428571428565</v>
      </c>
      <c r="H96" s="248">
        <f>Fuente!L349</f>
        <v>0.33333333333333331</v>
      </c>
    </row>
    <row r="97" spans="1:11" ht="18.75" x14ac:dyDescent="0.25">
      <c r="A97" s="198" t="s">
        <v>1831</v>
      </c>
      <c r="B97" s="245" t="s">
        <v>1241</v>
      </c>
      <c r="C97" s="246" t="s">
        <v>1865</v>
      </c>
      <c r="D97" s="247">
        <f>COUNTIF(Fuente!J94:$J$567,'CUMPLIMIENTO '!C97)</f>
        <v>5</v>
      </c>
      <c r="E97" s="247">
        <v>3</v>
      </c>
      <c r="F97" s="247">
        <f>GETPIVOTDATA("Cuenta de Valor esperado 2021",'METAS POR AÑO'!$A$3,"Cod Linea","4.3","Cod- Prog","4.3.2")</f>
        <v>5</v>
      </c>
      <c r="G97" s="248">
        <f>Fuente!K357</f>
        <v>0.22777777777777777</v>
      </c>
      <c r="H97" s="248">
        <f>Fuente!L357</f>
        <v>0.28444444444444444</v>
      </c>
    </row>
    <row r="98" spans="1:11" ht="37.5" x14ac:dyDescent="0.25">
      <c r="A98" s="202" t="s">
        <v>1830</v>
      </c>
      <c r="B98" s="236" t="s">
        <v>1247</v>
      </c>
      <c r="C98" s="250" t="s">
        <v>1329</v>
      </c>
      <c r="D98" s="238">
        <f>SUM(D99:D106)</f>
        <v>26</v>
      </c>
      <c r="E98" s="238">
        <f>SUM(E99:E106)</f>
        <v>21</v>
      </c>
      <c r="F98" s="238">
        <f>SUM(F99:F106)</f>
        <v>23</v>
      </c>
      <c r="G98" s="239">
        <f>AVERAGE(G99:G106)</f>
        <v>0.34112987463808625</v>
      </c>
      <c r="H98" s="240">
        <f>AVERAGE(H99:H106)</f>
        <v>0.12556249999999999</v>
      </c>
    </row>
    <row r="99" spans="1:11" ht="18.75" x14ac:dyDescent="0.25">
      <c r="A99" s="198" t="s">
        <v>1831</v>
      </c>
      <c r="B99" s="245" t="s">
        <v>1248</v>
      </c>
      <c r="C99" s="246" t="s">
        <v>1866</v>
      </c>
      <c r="D99" s="247">
        <f>COUNTIF(Fuente!J96:$J$567,'CUMPLIMIENTO '!C99)</f>
        <v>5</v>
      </c>
      <c r="E99" s="247">
        <v>2</v>
      </c>
      <c r="F99" s="247">
        <f>GETPIVOTDATA("Cuenta de Valor esperado 2021",'METAS POR AÑO'!$A$3,"Cod Linea","4.4","Cod- Prog","4.4.1")</f>
        <v>4</v>
      </c>
      <c r="G99" s="327">
        <f>Fuente!K362</f>
        <v>0.167625</v>
      </c>
      <c r="H99" s="327">
        <f>Fuente!L362</f>
        <v>1.5000000000000001E-2</v>
      </c>
      <c r="K99" t="s">
        <v>2044</v>
      </c>
    </row>
    <row r="100" spans="1:11" ht="18.75" x14ac:dyDescent="0.25">
      <c r="A100" s="198" t="s">
        <v>1831</v>
      </c>
      <c r="B100" s="245" t="s">
        <v>1260</v>
      </c>
      <c r="C100" s="246" t="s">
        <v>1867</v>
      </c>
      <c r="D100" s="247">
        <f>COUNTIF(Fuente!J97:$J$567,'CUMPLIMIENTO '!C100)</f>
        <v>4</v>
      </c>
      <c r="E100" s="247">
        <v>2</v>
      </c>
      <c r="F100" s="247">
        <f>GETPIVOTDATA("Cuenta de Valor esperado 2021",'METAS POR AÑO'!$A$3,"Cod Linea","4.4","Cod- Prog","4.4.2")</f>
        <v>2</v>
      </c>
      <c r="G100" s="248">
        <f>Fuente!K367</f>
        <v>0.21513888888888891</v>
      </c>
      <c r="H100" s="248">
        <f>Fuente!L367</f>
        <v>0.16999999999999998</v>
      </c>
    </row>
    <row r="101" spans="1:11" ht="18.75" x14ac:dyDescent="0.25">
      <c r="A101" s="198" t="s">
        <v>1831</v>
      </c>
      <c r="B101" s="245" t="s">
        <v>1266</v>
      </c>
      <c r="C101" s="246" t="s">
        <v>1868</v>
      </c>
      <c r="D101" s="247">
        <f>COUNTIF(Fuente!J97:$J$567,'CUMPLIMIENTO '!C101)</f>
        <v>8</v>
      </c>
      <c r="E101" s="247">
        <v>8</v>
      </c>
      <c r="F101" s="247">
        <f>GETPIVOTDATA("Cuenta de Valor esperado 2021",'METAS POR AÑO'!$A$3,"Cod Linea","4.4","Cod- Prog","4.4.3")</f>
        <v>8</v>
      </c>
      <c r="G101" s="248">
        <f>Fuente!K371</f>
        <v>0.72017489035087723</v>
      </c>
      <c r="H101" s="248">
        <f>Fuente!L371</f>
        <v>0.13200000000000001</v>
      </c>
    </row>
    <row r="102" spans="1:11" ht="18.75" x14ac:dyDescent="0.25">
      <c r="A102" s="198" t="s">
        <v>1831</v>
      </c>
      <c r="B102" s="245" t="s">
        <v>1295</v>
      </c>
      <c r="C102" s="246" t="s">
        <v>1869</v>
      </c>
      <c r="D102" s="247">
        <f>COUNTIF(Fuente!J98:$J$567,'CUMPLIMIENTO '!C102)</f>
        <v>3</v>
      </c>
      <c r="E102" s="247">
        <v>3</v>
      </c>
      <c r="F102" s="247">
        <f>GETPIVOTDATA("Cuenta de Valor esperado 2021",'METAS POR AÑO'!$A$3,"Cod Linea","4.4","Cod- Prog","4.4.4")</f>
        <v>3</v>
      </c>
      <c r="G102" s="248">
        <f>Fuente!K379</f>
        <v>0.77276688453159048</v>
      </c>
      <c r="H102" s="248">
        <f>Fuente!L379</f>
        <v>8.3333333333333329E-2</v>
      </c>
    </row>
    <row r="103" spans="1:11" ht="18.75" x14ac:dyDescent="0.25">
      <c r="A103" s="198" t="s">
        <v>1831</v>
      </c>
      <c r="B103" s="245" t="s">
        <v>1300</v>
      </c>
      <c r="C103" s="246" t="s">
        <v>1870</v>
      </c>
      <c r="D103" s="247">
        <f>COUNTIF(Fuente!J99:$J$567,'CUMPLIMIENTO '!C103)</f>
        <v>1</v>
      </c>
      <c r="E103" s="247">
        <v>1</v>
      </c>
      <c r="F103" s="247">
        <f>GETPIVOTDATA("Cuenta de Valor esperado 2021",'METAS POR AÑO'!$A$3,"Cod Linea","4.4","Cod- Prog","4.4.5")</f>
        <v>1</v>
      </c>
      <c r="G103" s="248">
        <f>Fuente!K382</f>
        <v>0.2</v>
      </c>
      <c r="H103" s="327">
        <f>Fuente!L382</f>
        <v>0.25</v>
      </c>
      <c r="K103" t="s">
        <v>2044</v>
      </c>
    </row>
    <row r="104" spans="1:11" ht="18.75" x14ac:dyDescent="0.25">
      <c r="A104" s="198" t="s">
        <v>1831</v>
      </c>
      <c r="B104" s="245" t="s">
        <v>1303</v>
      </c>
      <c r="C104" s="246" t="s">
        <v>1871</v>
      </c>
      <c r="D104" s="247">
        <f>COUNTIF(Fuente!J100:$J$567,'CUMPLIMIENTO '!C104)</f>
        <v>1</v>
      </c>
      <c r="E104" s="247">
        <v>1</v>
      </c>
      <c r="F104" s="247">
        <f>GETPIVOTDATA("Cuenta de Valor esperado 2021",'METAS POR AÑO'!$A$3,"Cod Linea","4.4","Cod- Prog","4.4.6")</f>
        <v>1</v>
      </c>
      <c r="G104" s="248">
        <f>Fuente!K383</f>
        <v>0.12</v>
      </c>
      <c r="H104" s="248">
        <f>Fuente!L383</f>
        <v>0.25</v>
      </c>
    </row>
    <row r="105" spans="1:11" ht="18.75" x14ac:dyDescent="0.25">
      <c r="A105" s="198" t="s">
        <v>1831</v>
      </c>
      <c r="B105" s="245" t="s">
        <v>1306</v>
      </c>
      <c r="C105" s="246" t="s">
        <v>1872</v>
      </c>
      <c r="D105" s="247">
        <f>COUNTIF(Fuente!J101:$J$567,'CUMPLIMIENTO '!C105)</f>
        <v>1</v>
      </c>
      <c r="E105" s="247">
        <v>1</v>
      </c>
      <c r="F105" s="247">
        <f>GETPIVOTDATA("Cuenta de Valor esperado 2021",'METAS POR AÑO'!$A$3,"Cod Linea","4.4","Cod- Prog","4.4.7")</f>
        <v>1</v>
      </c>
      <c r="G105" s="248">
        <f>Fuente!K384</f>
        <v>0.5</v>
      </c>
      <c r="H105" s="327">
        <f>Fuente!L384</f>
        <v>0</v>
      </c>
      <c r="K105" t="s">
        <v>2045</v>
      </c>
    </row>
    <row r="106" spans="1:11" ht="18.75" x14ac:dyDescent="0.25">
      <c r="A106" s="198" t="s">
        <v>1831</v>
      </c>
      <c r="B106" s="245" t="s">
        <v>1309</v>
      </c>
      <c r="C106" s="246" t="s">
        <v>1873</v>
      </c>
      <c r="D106" s="247">
        <f>COUNTIF(Fuente!J102:$J$567,'CUMPLIMIENTO '!C106)</f>
        <v>3</v>
      </c>
      <c r="E106" s="247">
        <v>3</v>
      </c>
      <c r="F106" s="247">
        <f>GETPIVOTDATA("Cuenta de Valor esperado 2021",'METAS POR AÑO'!$A$3,"Cod Linea","4.4","Cod- Prog","4.4.8")</f>
        <v>3</v>
      </c>
      <c r="G106" s="248">
        <f>Fuente!K385</f>
        <v>3.3333333333333333E-2</v>
      </c>
      <c r="H106" s="248">
        <f>Fuente!L385</f>
        <v>0.10416666666666667</v>
      </c>
    </row>
    <row r="107" spans="1:11" ht="18.75" x14ac:dyDescent="0.25">
      <c r="A107" s="202" t="s">
        <v>1830</v>
      </c>
      <c r="B107" s="236" t="s">
        <v>1315</v>
      </c>
      <c r="C107" s="237" t="s">
        <v>1817</v>
      </c>
      <c r="D107" s="238">
        <f>SUM(D108)</f>
        <v>7</v>
      </c>
      <c r="E107" s="238">
        <f>SUM(E108)</f>
        <v>2</v>
      </c>
      <c r="F107" s="238">
        <f>SUM(F108)</f>
        <v>7</v>
      </c>
      <c r="G107" s="239">
        <f>AVERAGE(G108)</f>
        <v>3.5714285714285712E-2</v>
      </c>
      <c r="H107" s="240">
        <f>AVERAGE(H108)</f>
        <v>0</v>
      </c>
    </row>
    <row r="108" spans="1:11" ht="35.65" customHeight="1" x14ac:dyDescent="0.25">
      <c r="A108" s="198" t="s">
        <v>1831</v>
      </c>
      <c r="B108" s="245" t="s">
        <v>1316</v>
      </c>
      <c r="C108" s="246" t="s">
        <v>1874</v>
      </c>
      <c r="D108" s="247">
        <f>COUNTIF(Fuente!J104:$J$567,'CUMPLIMIENTO '!C108)</f>
        <v>7</v>
      </c>
      <c r="E108" s="247">
        <v>2</v>
      </c>
      <c r="F108" s="247">
        <f>GETPIVOTDATA("Cuenta de Valor esperado 2021",'METAS POR AÑO'!$A$3,"Cod Linea","4.5","Cod- Prog","4.5.1")</f>
        <v>7</v>
      </c>
      <c r="G108" s="248">
        <f>Fuente!K388</f>
        <v>3.5714285714285712E-2</v>
      </c>
      <c r="H108" s="327">
        <f>Fuente!L388</f>
        <v>0</v>
      </c>
      <c r="K108" t="s">
        <v>2045</v>
      </c>
    </row>
    <row r="109" spans="1:11" ht="18.75" x14ac:dyDescent="0.25">
      <c r="A109" s="202" t="s">
        <v>1830</v>
      </c>
      <c r="B109" s="236" t="s">
        <v>1328</v>
      </c>
      <c r="C109" s="237" t="s">
        <v>1841</v>
      </c>
      <c r="D109" s="238">
        <f>SUM(D110:D113)</f>
        <v>11</v>
      </c>
      <c r="E109" s="238">
        <f>SUM(E110:E113)</f>
        <v>5</v>
      </c>
      <c r="F109" s="238">
        <f>SUM(F110:F113)</f>
        <v>9</v>
      </c>
      <c r="G109" s="239">
        <f>AVERAGE(G111:G113)</f>
        <v>0.20555555555555557</v>
      </c>
      <c r="H109" s="240">
        <f>AVERAGE(H110:H113)</f>
        <v>2.5000000000000001E-2</v>
      </c>
    </row>
    <row r="110" spans="1:11" ht="18.75" x14ac:dyDescent="0.25">
      <c r="A110" s="198" t="s">
        <v>1831</v>
      </c>
      <c r="B110" s="245" t="s">
        <v>1330</v>
      </c>
      <c r="C110" s="246" t="s">
        <v>1875</v>
      </c>
      <c r="D110" s="247">
        <f>COUNTIF(Fuente!J106:$J$567,'CUMPLIMIENTO '!C110)</f>
        <v>4</v>
      </c>
      <c r="E110" s="247">
        <v>2</v>
      </c>
      <c r="F110" s="247">
        <f>GETPIVOTDATA("Cuenta de Valor esperado 2021",'METAS POR AÑO'!$A$3,"Cod Linea","4.6","Cod- Prog","4.6.1")</f>
        <v>4</v>
      </c>
      <c r="G110" s="248">
        <f>Fuente!K395</f>
        <v>0.140625</v>
      </c>
      <c r="H110" s="327">
        <f>Fuente!L395</f>
        <v>0.05</v>
      </c>
    </row>
    <row r="111" spans="1:11" ht="18.75" x14ac:dyDescent="0.25">
      <c r="A111" s="198" t="s">
        <v>1831</v>
      </c>
      <c r="B111" s="245" t="s">
        <v>1340</v>
      </c>
      <c r="C111" s="246" t="s">
        <v>1876</v>
      </c>
      <c r="D111" s="247">
        <f>COUNTIF(Fuente!J107:$J$567,'CUMPLIMIENTO '!C111)</f>
        <v>3</v>
      </c>
      <c r="E111" s="247">
        <v>2</v>
      </c>
      <c r="F111" s="247">
        <f>GETPIVOTDATA("Cuenta de Valor esperado 2021",'METAS POR AÑO'!$A$3,"Cod Linea","4.6","Cod- Prog","4.6.2 ")</f>
        <v>2</v>
      </c>
      <c r="G111" s="248">
        <f>Fuente!K399</f>
        <v>0.11666666666666665</v>
      </c>
      <c r="H111" s="327">
        <f>Fuente!L399</f>
        <v>0</v>
      </c>
    </row>
    <row r="112" spans="1:11" ht="18.75" x14ac:dyDescent="0.25">
      <c r="A112" s="198" t="s">
        <v>1831</v>
      </c>
      <c r="B112" s="245" t="s">
        <v>1345</v>
      </c>
      <c r="C112" s="246" t="s">
        <v>1877</v>
      </c>
      <c r="D112" s="247">
        <f>COUNTIF(Fuente!J108:$J$567,'CUMPLIMIENTO '!C112)</f>
        <v>1</v>
      </c>
      <c r="E112" s="247">
        <v>1</v>
      </c>
      <c r="F112" s="247" t="str">
        <f>IFERROR(GETPIVOTDATA("Cuenta de Valor esperado 2021",'METAS POR AÑO'!$A$3,"Cod Linea","4.6","Cod- Prog","4.6.3 "),"NP")</f>
        <v>NP</v>
      </c>
      <c r="G112" s="248">
        <f>Fuente!K402</f>
        <v>0.5</v>
      </c>
      <c r="H112" s="248" t="str">
        <f>Fuente!L402</f>
        <v>NP</v>
      </c>
    </row>
    <row r="113" spans="1:8" ht="18.75" x14ac:dyDescent="0.25">
      <c r="A113" s="198" t="s">
        <v>1831</v>
      </c>
      <c r="B113" s="245" t="s">
        <v>1349</v>
      </c>
      <c r="C113" s="246" t="s">
        <v>1878</v>
      </c>
      <c r="D113" s="247">
        <f>COUNTIF(Fuente!J109:$J$567,'CUMPLIMIENTO '!C113)</f>
        <v>3</v>
      </c>
      <c r="E113" s="247" t="s">
        <v>310</v>
      </c>
      <c r="F113" s="247">
        <f>GETPIVOTDATA("Cuenta de Valor esperado 2021",'METAS POR AÑO'!$A$3,"Cod Linea","4.6","Cod- Prog","4.6.4")</f>
        <v>3</v>
      </c>
      <c r="G113" s="248">
        <f>Fuente!K403</f>
        <v>0</v>
      </c>
      <c r="H113" s="248" t="str">
        <f>Fuente!L403</f>
        <v>NP</v>
      </c>
    </row>
    <row r="114" spans="1:8" ht="18.75" x14ac:dyDescent="0.25">
      <c r="A114" s="204" t="s">
        <v>1829</v>
      </c>
      <c r="B114" s="195">
        <v>5</v>
      </c>
      <c r="C114" s="194" t="s">
        <v>1750</v>
      </c>
      <c r="D114" s="196">
        <f>SUM(D115)</f>
        <v>34</v>
      </c>
      <c r="E114" s="196">
        <f>SUM(E115)</f>
        <v>11</v>
      </c>
      <c r="F114" s="196">
        <f>SUM(F115)</f>
        <v>24</v>
      </c>
      <c r="G114" s="197">
        <f>AVERAGE(G115)</f>
        <v>0.31751547831253712</v>
      </c>
      <c r="H114" s="197">
        <f>AVERAGE(H115)</f>
        <v>0.37496305418719206</v>
      </c>
    </row>
    <row r="115" spans="1:8" ht="37.5" x14ac:dyDescent="0.25">
      <c r="A115" s="202" t="s">
        <v>1830</v>
      </c>
      <c r="B115" s="236" t="s">
        <v>1354</v>
      </c>
      <c r="C115" s="250" t="s">
        <v>1840</v>
      </c>
      <c r="D115" s="238">
        <f>SUM(D116:D121)</f>
        <v>34</v>
      </c>
      <c r="E115" s="238">
        <f>SUM(E116:E121)</f>
        <v>11</v>
      </c>
      <c r="F115" s="238">
        <f>SUM(F116:F121)</f>
        <v>24</v>
      </c>
      <c r="G115" s="239">
        <f>AVERAGE(G116:G121)</f>
        <v>0.31751547831253712</v>
      </c>
      <c r="H115" s="240">
        <f>AVERAGE(H116:H121)</f>
        <v>0.37496305418719206</v>
      </c>
    </row>
    <row r="116" spans="1:8" ht="18.75" x14ac:dyDescent="0.25">
      <c r="A116" s="198" t="s">
        <v>1831</v>
      </c>
      <c r="B116" s="245" t="s">
        <v>1356</v>
      </c>
      <c r="C116" s="246" t="s">
        <v>1357</v>
      </c>
      <c r="D116" s="247">
        <f>COUNTIF(Fuente!J112:$J$567,'CUMPLIMIENTO '!C116)</f>
        <v>9</v>
      </c>
      <c r="E116" s="247" t="s">
        <v>310</v>
      </c>
      <c r="F116" s="247">
        <f>GETPIVOTDATA("Cuenta de Valor esperado 2021",'METAS POR AÑO'!$A$3,"Cod Linea","5.1","Cod- Prog","5.1.1")</f>
        <v>4</v>
      </c>
      <c r="G116" s="248">
        <f>Fuente!K406</f>
        <v>1.9166666666666665E-2</v>
      </c>
      <c r="H116" s="248">
        <f>Fuente!L406</f>
        <v>0.12023809523809523</v>
      </c>
    </row>
    <row r="117" spans="1:8" ht="18.75" x14ac:dyDescent="0.25">
      <c r="A117" s="198" t="s">
        <v>1831</v>
      </c>
      <c r="B117" s="245" t="s">
        <v>1369</v>
      </c>
      <c r="C117" s="246" t="s">
        <v>1370</v>
      </c>
      <c r="D117" s="247">
        <f>COUNTIF(Fuente!J112:$J$567,'CUMPLIMIENTO '!C117)</f>
        <v>4</v>
      </c>
      <c r="E117" s="247" t="s">
        <v>310</v>
      </c>
      <c r="F117" s="247">
        <f>GETPIVOTDATA("Cuenta de Valor esperado 2021",'METAS POR AÑO'!$A$3,"Cod Linea","5.1","Cod- Prog","5.1.2")</f>
        <v>4</v>
      </c>
      <c r="G117" s="327">
        <f>Fuente!K415</f>
        <v>0.36909090909090914</v>
      </c>
      <c r="H117" s="327">
        <f>Fuente!L415</f>
        <v>0.69620689655172407</v>
      </c>
    </row>
    <row r="118" spans="1:8" ht="18.75" x14ac:dyDescent="0.25">
      <c r="A118" s="198" t="s">
        <v>1831</v>
      </c>
      <c r="B118" s="245" t="s">
        <v>1377</v>
      </c>
      <c r="C118" s="246" t="s">
        <v>1378</v>
      </c>
      <c r="D118" s="247">
        <f>COUNTIF(Fuente!J113:$J$567,'CUMPLIMIENTO '!C118)</f>
        <v>3</v>
      </c>
      <c r="E118" s="247">
        <v>1</v>
      </c>
      <c r="F118" s="247">
        <f>GETPIVOTDATA("Cuenta de Valor esperado 2021",'METAS POR AÑO'!$A$3,"Cod Linea","5.1","Cod- Prog","5.1.3")</f>
        <v>2</v>
      </c>
      <c r="G118" s="248">
        <f>Fuente!K419</f>
        <v>0.48</v>
      </c>
      <c r="H118" s="248">
        <f>Fuente!L419</f>
        <v>0.375</v>
      </c>
    </row>
    <row r="119" spans="1:8" ht="18.75" x14ac:dyDescent="0.25">
      <c r="A119" s="198" t="s">
        <v>1831</v>
      </c>
      <c r="B119" s="528" t="s">
        <v>1388</v>
      </c>
      <c r="C119" s="246" t="s">
        <v>1389</v>
      </c>
      <c r="D119" s="249">
        <f>COUNTIF(Fuente!J114:$J$567,'CUMPLIMIENTO '!C119)</f>
        <v>10</v>
      </c>
      <c r="E119" s="249">
        <v>7</v>
      </c>
      <c r="F119" s="249">
        <f>GETPIVOTDATA("Cuenta de Valor esperado 2021",'METAS POR AÑO'!$A$3,"Cod Linea","5.1","Cod- Prog","5.1.4")</f>
        <v>6</v>
      </c>
      <c r="G119" s="327">
        <f>Fuente!K422</f>
        <v>0.28860000000000002</v>
      </c>
      <c r="H119" s="327">
        <f>Fuente!L422</f>
        <v>5.5555555555555552E-2</v>
      </c>
    </row>
    <row r="120" spans="1:8" ht="18.75" x14ac:dyDescent="0.25">
      <c r="A120" s="198" t="s">
        <v>1831</v>
      </c>
      <c r="B120" s="245" t="s">
        <v>1431</v>
      </c>
      <c r="C120" s="246" t="s">
        <v>1432</v>
      </c>
      <c r="D120" s="247">
        <f>COUNTIF(Fuente!J115:$J$567,'CUMPLIMIENTO '!C120)</f>
        <v>2</v>
      </c>
      <c r="E120" s="247">
        <v>2</v>
      </c>
      <c r="F120" s="247">
        <f>GETPIVOTDATA("Cuenta de Valor esperado 2021",'METAS POR AÑO'!$A$3,"Cod Linea","5.1","Cod- Prog","5.1.5")</f>
        <v>2</v>
      </c>
      <c r="G120" s="248">
        <f>Fuente!K432</f>
        <v>0.71323529411764697</v>
      </c>
      <c r="H120" s="248">
        <f>Fuente!L432</f>
        <v>0.85</v>
      </c>
    </row>
    <row r="121" spans="1:8" ht="18.75" x14ac:dyDescent="0.25">
      <c r="A121" s="198" t="s">
        <v>1831</v>
      </c>
      <c r="B121" s="245" t="s">
        <v>1444</v>
      </c>
      <c r="C121" s="246" t="s">
        <v>1445</v>
      </c>
      <c r="D121" s="247">
        <f>COUNTIF(Fuente!J116:$J$567,'CUMPLIMIENTO '!C121)</f>
        <v>6</v>
      </c>
      <c r="E121" s="247">
        <v>1</v>
      </c>
      <c r="F121" s="247">
        <f>GETPIVOTDATA("Cuenta de Valor esperado 2021",'METAS POR AÑO'!$A$3,"Cod Linea","5.1","Cod- Prog","5.1.6")</f>
        <v>6</v>
      </c>
      <c r="G121" s="248">
        <f>Fuente!K434</f>
        <v>3.5000000000000003E-2</v>
      </c>
      <c r="H121" s="248">
        <f>Fuente!L434</f>
        <v>0.15277777777777776</v>
      </c>
    </row>
    <row r="122" spans="1:8" ht="18.75" x14ac:dyDescent="0.25">
      <c r="A122" s="204" t="s">
        <v>1829</v>
      </c>
      <c r="B122" s="195">
        <v>6</v>
      </c>
      <c r="C122" s="194" t="s">
        <v>1751</v>
      </c>
      <c r="D122" s="196">
        <f>SUM(D154,D152,D150,D148,D146,D144,D142,D140,D131,D123)</f>
        <v>128</v>
      </c>
      <c r="E122" s="196">
        <f>SUM(E154,E152,E150,E148,E146,E144,E142,E140,E131,E123)</f>
        <v>83</v>
      </c>
      <c r="F122" s="196">
        <f>SUM(F154,F152,F150,F148,F146,F144,F142,F140,F131,F123)</f>
        <v>111</v>
      </c>
      <c r="G122" s="197">
        <f>AVERAGE(G123,G154,G131,G140,G142,G144,G146,G148,G150,G152)</f>
        <v>0.29743627103134557</v>
      </c>
      <c r="H122" s="197">
        <f>AVERAGE(H123,H131,H140,H142,H144,H146,H148,H150,H152,H154)</f>
        <v>0.18931768927175735</v>
      </c>
    </row>
    <row r="123" spans="1:8" ht="37.5" x14ac:dyDescent="0.25">
      <c r="A123" s="202" t="s">
        <v>1830</v>
      </c>
      <c r="B123" s="236" t="s">
        <v>1454</v>
      </c>
      <c r="C123" s="250" t="s">
        <v>1455</v>
      </c>
      <c r="D123" s="238">
        <f>SUM(D124:D130)</f>
        <v>52</v>
      </c>
      <c r="E123" s="238">
        <f>SUM(E124:E130)</f>
        <v>38</v>
      </c>
      <c r="F123" s="238">
        <f>SUM(F124:F130)</f>
        <v>47</v>
      </c>
      <c r="G123" s="239">
        <f>AVERAGE(G124:G130)</f>
        <v>0.22420701145984015</v>
      </c>
      <c r="H123" s="240">
        <f>AVERAGE(H124:H130)</f>
        <v>0.27793974732750243</v>
      </c>
    </row>
    <row r="124" spans="1:8" ht="18.75" x14ac:dyDescent="0.25">
      <c r="A124" s="198" t="s">
        <v>1831</v>
      </c>
      <c r="B124" s="245" t="s">
        <v>1456</v>
      </c>
      <c r="C124" s="246" t="s">
        <v>1879</v>
      </c>
      <c r="D124" s="247">
        <f>COUNTIF(Fuente!J119:$J$567,'CUMPLIMIENTO '!C124)</f>
        <v>16</v>
      </c>
      <c r="E124" s="247">
        <v>9</v>
      </c>
      <c r="F124" s="247">
        <f>GETPIVOTDATA("Cuenta de Valor esperado 2021",'METAS POR AÑO'!$A$3,"Cod Linea","6.1","Cod- Prog","6.1.1")</f>
        <v>15</v>
      </c>
      <c r="G124" s="248">
        <f>Fuente!K440</f>
        <v>0.25437813283208016</v>
      </c>
      <c r="H124" s="248">
        <f>Fuente!L440</f>
        <v>0.29777777777777775</v>
      </c>
    </row>
    <row r="125" spans="1:8" ht="18.75" x14ac:dyDescent="0.25">
      <c r="A125" s="198" t="s">
        <v>1831</v>
      </c>
      <c r="B125" s="245" t="s">
        <v>1483</v>
      </c>
      <c r="C125" s="246" t="s">
        <v>1880</v>
      </c>
      <c r="D125" s="247">
        <f>COUNTIF(Fuente!J120:$J$567,'CUMPLIMIENTO '!C125)</f>
        <v>5</v>
      </c>
      <c r="E125" s="247">
        <v>5</v>
      </c>
      <c r="F125" s="247">
        <f>GETPIVOTDATA("Cuenta de Valor esperado 2021",'METAS POR AÑO'!$A$3,"Cod Linea","6.1","Cod- Prog","6.1.2")</f>
        <v>5</v>
      </c>
      <c r="G125" s="248">
        <f>Fuente!K456</f>
        <v>0.16250000000000001</v>
      </c>
      <c r="H125" s="248">
        <f>Fuente!L456</f>
        <v>0.2</v>
      </c>
    </row>
    <row r="126" spans="1:8" ht="18.75" x14ac:dyDescent="0.25">
      <c r="A126" s="198" t="s">
        <v>1831</v>
      </c>
      <c r="B126" s="245" t="s">
        <v>1493</v>
      </c>
      <c r="C126" s="246" t="s">
        <v>1881</v>
      </c>
      <c r="D126" s="247">
        <f>COUNTIF(Fuente!J121:$J$567,'CUMPLIMIENTO '!C126)</f>
        <v>3</v>
      </c>
      <c r="E126" s="247">
        <v>3</v>
      </c>
      <c r="F126" s="247">
        <f>GETPIVOTDATA("Cuenta de Valor esperado 2021",'METAS POR AÑO'!$A$3,"Cod Linea","6.1","Cod- Prog","6.1.3 ")</f>
        <v>3</v>
      </c>
      <c r="G126" s="248">
        <f>Fuente!K461</f>
        <v>0.16250000000000001</v>
      </c>
      <c r="H126" s="248">
        <f>Fuente!L461</f>
        <v>0.12222222222222223</v>
      </c>
    </row>
    <row r="127" spans="1:8" ht="18.75" x14ac:dyDescent="0.25">
      <c r="A127" s="198" t="s">
        <v>1831</v>
      </c>
      <c r="B127" s="245" t="s">
        <v>1508</v>
      </c>
      <c r="C127" s="246" t="s">
        <v>1882</v>
      </c>
      <c r="D127" s="247">
        <f>COUNTIF(Fuente!J122:$J$567,'CUMPLIMIENTO '!C127)</f>
        <v>5</v>
      </c>
      <c r="E127" s="247">
        <v>4</v>
      </c>
      <c r="F127" s="247">
        <f>GETPIVOTDATA("Cuenta de Valor esperado 2021",'METAS POR AÑO'!$A$3,"Cod Linea","6.1","Cod- Prog","6.1.4 ")</f>
        <v>5</v>
      </c>
      <c r="G127" s="248">
        <f>Fuente!K464</f>
        <v>0.10482336956521739</v>
      </c>
      <c r="H127" s="248">
        <f>Fuente!L464</f>
        <v>0.10500000000000001</v>
      </c>
    </row>
    <row r="128" spans="1:8" ht="37.5" x14ac:dyDescent="0.25">
      <c r="A128" s="198" t="s">
        <v>1831</v>
      </c>
      <c r="B128" s="245" t="s">
        <v>1517</v>
      </c>
      <c r="C128" s="246" t="s">
        <v>1883</v>
      </c>
      <c r="D128" s="247">
        <f>COUNTIF(Fuente!J123:$J$567,'CUMPLIMIENTO '!C128)</f>
        <v>11</v>
      </c>
      <c r="E128" s="247">
        <v>10</v>
      </c>
      <c r="F128" s="247">
        <f>GETPIVOTDATA("Cuenta de Valor esperado 2021",'METAS POR AÑO'!$A$3,"Cod Linea","6.1","Cod- Prog","6.1.5 ")</f>
        <v>7</v>
      </c>
      <c r="G128" s="248">
        <f>Fuente!K469</f>
        <v>0.35759313766714318</v>
      </c>
      <c r="H128" s="248">
        <f>Fuente!L469</f>
        <v>0.21224489795918369</v>
      </c>
    </row>
    <row r="129" spans="1:11" ht="18.75" x14ac:dyDescent="0.25">
      <c r="A129" s="198" t="s">
        <v>1831</v>
      </c>
      <c r="B129" s="245" t="s">
        <v>1542</v>
      </c>
      <c r="C129" s="246" t="s">
        <v>1884</v>
      </c>
      <c r="D129" s="247">
        <f>COUNTIF(Fuente!J124:$J$567,'CUMPLIMIENTO '!C129)</f>
        <v>4</v>
      </c>
      <c r="E129" s="247">
        <v>4</v>
      </c>
      <c r="F129" s="247">
        <f>GETPIVOTDATA("Cuenta de Valor esperado 2021",'METAS POR AÑO'!$A$3,"Cod Linea","6.1","Cod- Prog","6.1.6")</f>
        <v>4</v>
      </c>
      <c r="G129" s="248">
        <f>Fuente!K480</f>
        <v>0.38063063063063063</v>
      </c>
      <c r="H129" s="248">
        <f>Fuente!L480</f>
        <v>0.8</v>
      </c>
    </row>
    <row r="130" spans="1:11" ht="37.5" x14ac:dyDescent="0.25">
      <c r="A130" s="198" t="s">
        <v>1831</v>
      </c>
      <c r="B130" s="245" t="s">
        <v>1550</v>
      </c>
      <c r="C130" s="246" t="s">
        <v>1885</v>
      </c>
      <c r="D130" s="247">
        <f>COUNTIF(Fuente!J125:$J$567,'CUMPLIMIENTO '!C130)</f>
        <v>8</v>
      </c>
      <c r="E130" s="247">
        <v>3</v>
      </c>
      <c r="F130" s="247">
        <f>GETPIVOTDATA("Cuenta de Valor esperado 2021",'METAS POR AÑO'!$A$3,"Cod Linea","6.1","Cod- Prog","6.1.7")</f>
        <v>8</v>
      </c>
      <c r="G130" s="248">
        <f>Fuente!K484</f>
        <v>0.14702380952380953</v>
      </c>
      <c r="H130" s="248">
        <f>Fuente!L484</f>
        <v>0.20833333333333331</v>
      </c>
    </row>
    <row r="131" spans="1:11" ht="18.75" x14ac:dyDescent="0.25">
      <c r="A131" s="202" t="s">
        <v>1830</v>
      </c>
      <c r="B131" s="236" t="s">
        <v>1569</v>
      </c>
      <c r="C131" s="237" t="s">
        <v>1818</v>
      </c>
      <c r="D131" s="238">
        <f>SUM(D132:D139)</f>
        <v>37</v>
      </c>
      <c r="E131" s="238">
        <f>SUM(E132:E139)</f>
        <v>10</v>
      </c>
      <c r="F131" s="238">
        <f>SUM(F132:F139)</f>
        <v>28</v>
      </c>
      <c r="G131" s="239">
        <f>AVERAGE(G132:G139)</f>
        <v>0.12273065476190476</v>
      </c>
      <c r="H131" s="240">
        <f>AVERAGE(H132:H139)</f>
        <v>0.12968749999999998</v>
      </c>
    </row>
    <row r="132" spans="1:11" ht="37.5" x14ac:dyDescent="0.25">
      <c r="A132" s="198" t="s">
        <v>1831</v>
      </c>
      <c r="B132" s="245" t="s">
        <v>1980</v>
      </c>
      <c r="C132" s="246" t="s">
        <v>1886</v>
      </c>
      <c r="D132" s="247">
        <f>COUNTIF(Fuente!J127:$J$567,'CUMPLIMIENTO '!C132)</f>
        <v>4</v>
      </c>
      <c r="E132" s="247">
        <v>4</v>
      </c>
      <c r="F132" s="247">
        <f>GETPIVOTDATA("Cuenta de Valor esperado 2021",'METAS POR AÑO'!$A$3,"Cod Linea","6.2","Cod- Prog","6.2.1")</f>
        <v>4</v>
      </c>
      <c r="G132" s="248">
        <f>Fuente!K492</f>
        <v>0.453125</v>
      </c>
      <c r="H132" s="248">
        <f>Fuente!L492</f>
        <v>0.4375</v>
      </c>
    </row>
    <row r="133" spans="1:11" ht="37.5" x14ac:dyDescent="0.25">
      <c r="A133" s="198" t="s">
        <v>1831</v>
      </c>
      <c r="B133" s="245" t="s">
        <v>1576</v>
      </c>
      <c r="C133" s="246" t="s">
        <v>1887</v>
      </c>
      <c r="D133" s="247">
        <f>COUNTIF(Fuente!J128:$J$567,'CUMPLIMIENTO '!C133)</f>
        <v>4</v>
      </c>
      <c r="E133" s="247">
        <v>2</v>
      </c>
      <c r="F133" s="247">
        <f>GETPIVOTDATA("Cuenta de Valor esperado 2021",'METAS POR AÑO'!$A$3,"Cod Linea","6.2","Cod- Prog","6.2.2")</f>
        <v>2</v>
      </c>
      <c r="G133" s="248">
        <f>Fuente!K496</f>
        <v>4.0625000000000001E-2</v>
      </c>
      <c r="H133" s="327">
        <f>Fuente!L496</f>
        <v>0.1</v>
      </c>
    </row>
    <row r="134" spans="1:11" ht="18.75" x14ac:dyDescent="0.25">
      <c r="A134" s="198" t="s">
        <v>1831</v>
      </c>
      <c r="B134" s="245" t="s">
        <v>1586</v>
      </c>
      <c r="C134" s="246" t="s">
        <v>1888</v>
      </c>
      <c r="D134" s="247">
        <f>COUNTIF(Fuente!J129:$J$567,'CUMPLIMIENTO '!C134)</f>
        <v>7</v>
      </c>
      <c r="E134" s="247" t="s">
        <v>310</v>
      </c>
      <c r="F134" s="247">
        <f>GETPIVOTDATA("Cuenta de Valor esperado 2021",'METAS POR AÑO'!$A$3,"Cod Linea","6.2","Cod- Prog","6.2.3")</f>
        <v>6</v>
      </c>
      <c r="G134" s="327">
        <f>Fuente!K500</f>
        <v>0</v>
      </c>
      <c r="H134" s="327">
        <f>Fuente!L500</f>
        <v>0</v>
      </c>
      <c r="K134" t="s">
        <v>2044</v>
      </c>
    </row>
    <row r="135" spans="1:11" ht="18.75" x14ac:dyDescent="0.25">
      <c r="A135" s="198" t="s">
        <v>1831</v>
      </c>
      <c r="B135" s="245" t="s">
        <v>1596</v>
      </c>
      <c r="C135" s="246" t="s">
        <v>1889</v>
      </c>
      <c r="D135" s="247">
        <f>COUNTIF(Fuente!J130:$J$567,'CUMPLIMIENTO '!C135)</f>
        <v>1</v>
      </c>
      <c r="E135" s="247" t="s">
        <v>310</v>
      </c>
      <c r="F135" s="247">
        <f>GETPIVOTDATA("Cuenta de Valor esperado 2021",'METAS POR AÑO'!$A$3,"Cod Linea","6.2","Cod- Prog","6.2.4")</f>
        <v>1</v>
      </c>
      <c r="G135" s="327">
        <f>Fuente!K507</f>
        <v>0</v>
      </c>
      <c r="H135" s="327">
        <f>Fuente!L507</f>
        <v>0</v>
      </c>
    </row>
    <row r="136" spans="1:11" ht="18.75" x14ac:dyDescent="0.25">
      <c r="A136" s="198" t="s">
        <v>1831</v>
      </c>
      <c r="B136" s="245" t="s">
        <v>1601</v>
      </c>
      <c r="C136" s="246" t="s">
        <v>1890</v>
      </c>
      <c r="D136" s="247">
        <f>COUNTIF(Fuente!J131:$J$567,'CUMPLIMIENTO '!C136)</f>
        <v>7</v>
      </c>
      <c r="E136" s="247">
        <v>1</v>
      </c>
      <c r="F136" s="247">
        <f>GETPIVOTDATA("Cuenta de Valor esperado 2021",'METAS POR AÑO'!$A$3,"Cod Linea","6.2","Cod- Prog","6.2.5")</f>
        <v>6</v>
      </c>
      <c r="G136" s="248">
        <f>Fuente!K508</f>
        <v>7.1428571428571425E-2</v>
      </c>
      <c r="H136" s="248">
        <f>Fuente!L508</f>
        <v>0.16666666666666666</v>
      </c>
    </row>
    <row r="137" spans="1:11" ht="18.75" x14ac:dyDescent="0.25">
      <c r="A137" s="198" t="s">
        <v>1831</v>
      </c>
      <c r="B137" s="245" t="s">
        <v>1613</v>
      </c>
      <c r="C137" s="246" t="s">
        <v>1891</v>
      </c>
      <c r="D137" s="247">
        <f>COUNTIF(Fuente!J132:$J$567,'CUMPLIMIENTO '!C137)</f>
        <v>6</v>
      </c>
      <c r="E137" s="247" t="s">
        <v>310</v>
      </c>
      <c r="F137" s="247">
        <f>GETPIVOTDATA("Cuenta de Valor esperado 2021",'METAS POR AÑO'!$A$3,"Cod Linea","6.2","Cod- Prog","6.2.6")</f>
        <v>5</v>
      </c>
      <c r="G137" s="327">
        <f>Fuente!K515</f>
        <v>0</v>
      </c>
      <c r="H137" s="327">
        <f>Fuente!L515</f>
        <v>0</v>
      </c>
      <c r="K137" t="s">
        <v>2044</v>
      </c>
    </row>
    <row r="138" spans="1:11" ht="18.75" x14ac:dyDescent="0.25">
      <c r="A138" s="198" t="s">
        <v>1831</v>
      </c>
      <c r="B138" s="245" t="s">
        <v>1622</v>
      </c>
      <c r="C138" s="246" t="s">
        <v>1892</v>
      </c>
      <c r="D138" s="247">
        <f>COUNTIF(Fuente!J133:$J$567,'CUMPLIMIENTO '!C138)</f>
        <v>3</v>
      </c>
      <c r="E138" s="247">
        <v>1</v>
      </c>
      <c r="F138" s="247">
        <f>GETPIVOTDATA("Cuenta de Valor esperado 2021",'METAS POR AÑO'!$A$3,"Cod Linea","6.2","Cod- Prog","6.2.7")</f>
        <v>1</v>
      </c>
      <c r="G138" s="248">
        <f>Fuente!K521</f>
        <v>0.16666666666666666</v>
      </c>
      <c r="H138" s="327">
        <f>Fuente!L521</f>
        <v>0</v>
      </c>
    </row>
    <row r="139" spans="1:11" ht="18.75" x14ac:dyDescent="0.25">
      <c r="A139" s="198" t="s">
        <v>1831</v>
      </c>
      <c r="B139" s="245" t="s">
        <v>1628</v>
      </c>
      <c r="C139" s="246" t="s">
        <v>1893</v>
      </c>
      <c r="D139" s="247">
        <f>COUNTIF(Fuente!J134:$J$567,'CUMPLIMIENTO '!C139)</f>
        <v>5</v>
      </c>
      <c r="E139" s="247">
        <v>2</v>
      </c>
      <c r="F139" s="247">
        <f>GETPIVOTDATA("Cuenta de Valor esperado 2021",'METAS POR AÑO'!$A$3,"Cod Linea","6.2","Cod- Prog","6.2.8")</f>
        <v>3</v>
      </c>
      <c r="G139" s="248">
        <f>Fuente!K524</f>
        <v>0.25</v>
      </c>
      <c r="H139" s="248">
        <f>Fuente!L524</f>
        <v>0.33333333333333331</v>
      </c>
    </row>
    <row r="140" spans="1:11" ht="37.5" x14ac:dyDescent="0.25">
      <c r="A140" s="202" t="s">
        <v>1830</v>
      </c>
      <c r="B140" s="236" t="s">
        <v>1635</v>
      </c>
      <c r="C140" s="250" t="s">
        <v>1819</v>
      </c>
      <c r="D140" s="238">
        <f>SUM(D141)</f>
        <v>9</v>
      </c>
      <c r="E140" s="238">
        <f>SUM(E141)</f>
        <v>7</v>
      </c>
      <c r="F140" s="238">
        <f>SUM(F141)</f>
        <v>8</v>
      </c>
      <c r="G140" s="239">
        <f>AVERAGE(G141)</f>
        <v>0.53456790123456799</v>
      </c>
      <c r="H140" s="240">
        <f>AVERAGE(H141)</f>
        <v>0.25</v>
      </c>
    </row>
    <row r="141" spans="1:11" ht="18.75" x14ac:dyDescent="0.25">
      <c r="A141" s="198" t="s">
        <v>1831</v>
      </c>
      <c r="B141" s="245" t="s">
        <v>1636</v>
      </c>
      <c r="C141" s="246" t="s">
        <v>1894</v>
      </c>
      <c r="D141" s="247">
        <f>COUNTIF(Fuente!J136:$J$567,'CUMPLIMIENTO '!C141)</f>
        <v>9</v>
      </c>
      <c r="E141" s="247">
        <v>7</v>
      </c>
      <c r="F141" s="247">
        <f>GETPIVOTDATA("Cuenta de Valor esperado 2021",'METAS POR AÑO'!$A$3,"Cod Linea","6.3","Cod- Prog","6.3.1")</f>
        <v>8</v>
      </c>
      <c r="G141" s="248">
        <f>Fuente!K529</f>
        <v>0.53456790123456799</v>
      </c>
      <c r="H141" s="248">
        <f>Fuente!L529</f>
        <v>0.25</v>
      </c>
    </row>
    <row r="142" spans="1:11" ht="18.75" x14ac:dyDescent="0.25">
      <c r="A142" s="202" t="s">
        <v>1830</v>
      </c>
      <c r="B142" s="236" t="s">
        <v>1666</v>
      </c>
      <c r="C142" s="237" t="s">
        <v>1820</v>
      </c>
      <c r="D142" s="238">
        <f>SUM(D143)</f>
        <v>4</v>
      </c>
      <c r="E142" s="238">
        <f>SUM(E143)</f>
        <v>4</v>
      </c>
      <c r="F142" s="238">
        <f>SUM(F143)</f>
        <v>4</v>
      </c>
      <c r="G142" s="239">
        <f>AVERAGE(G143)</f>
        <v>0.44374999999999998</v>
      </c>
      <c r="H142" s="240">
        <f>AVERAGE(H143)</f>
        <v>0.35638297872340424</v>
      </c>
      <c r="J142" s="77"/>
      <c r="K142" s="77"/>
    </row>
    <row r="143" spans="1:11" ht="18.75" x14ac:dyDescent="0.25">
      <c r="A143" s="198" t="s">
        <v>1831</v>
      </c>
      <c r="B143" s="245" t="s">
        <v>1667</v>
      </c>
      <c r="C143" s="246" t="s">
        <v>1895</v>
      </c>
      <c r="D143" s="247">
        <f>COUNTIF(Fuente!J138:$J$567,'CUMPLIMIENTO '!C143)</f>
        <v>4</v>
      </c>
      <c r="E143" s="247">
        <v>4</v>
      </c>
      <c r="F143" s="247">
        <f>GETPIVOTDATA("Cuenta de Valor esperado 2021",'METAS POR AÑO'!$A$3,"Cod Linea","6.4","Cod- Prog","6.4.1")</f>
        <v>4</v>
      </c>
      <c r="G143" s="248">
        <f>Fuente!K538</f>
        <v>0.44374999999999998</v>
      </c>
      <c r="H143" s="248">
        <f>Fuente!L538</f>
        <v>0.35638297872340424</v>
      </c>
      <c r="J143" s="77"/>
      <c r="K143" s="77"/>
    </row>
    <row r="144" spans="1:11" ht="37.5" x14ac:dyDescent="0.25">
      <c r="A144" s="202" t="s">
        <v>1830</v>
      </c>
      <c r="B144" s="236" t="s">
        <v>1674</v>
      </c>
      <c r="C144" s="250" t="s">
        <v>1675</v>
      </c>
      <c r="D144" s="238">
        <f>SUM(D145)</f>
        <v>7</v>
      </c>
      <c r="E144" s="238">
        <f>SUM(E145)</f>
        <v>6</v>
      </c>
      <c r="F144" s="238">
        <f>SUM(F145)</f>
        <v>7</v>
      </c>
      <c r="G144" s="239">
        <f>AVERAGE(G145)</f>
        <v>0.38174603174603178</v>
      </c>
      <c r="H144" s="240">
        <f>AVERAGE(H145)</f>
        <v>0</v>
      </c>
      <c r="J144" s="77"/>
      <c r="K144" s="77"/>
    </row>
    <row r="145" spans="1:11" ht="37.5" x14ac:dyDescent="0.25">
      <c r="A145" s="198" t="s">
        <v>1831</v>
      </c>
      <c r="B145" s="245" t="s">
        <v>1676</v>
      </c>
      <c r="C145" s="246" t="s">
        <v>1896</v>
      </c>
      <c r="D145" s="247">
        <f>COUNTIF(Fuente!J140:$J$567,'CUMPLIMIENTO '!C145)</f>
        <v>7</v>
      </c>
      <c r="E145" s="247">
        <v>6</v>
      </c>
      <c r="F145" s="247">
        <f>GETPIVOTDATA("Cuenta de Valor esperado 2021",'METAS POR AÑO'!$A$3,"Cod Linea","6.5","Cod- Prog","6.5.1")</f>
        <v>7</v>
      </c>
      <c r="G145" s="248">
        <f>Fuente!K542</f>
        <v>0.38174603174603178</v>
      </c>
      <c r="H145" s="327">
        <f>Fuente!L542</f>
        <v>0</v>
      </c>
      <c r="J145" s="77"/>
      <c r="K145" s="77" t="s">
        <v>2043</v>
      </c>
    </row>
    <row r="146" spans="1:11" ht="37.5" x14ac:dyDescent="0.25">
      <c r="A146" s="202" t="s">
        <v>1830</v>
      </c>
      <c r="B146" s="236" t="s">
        <v>1696</v>
      </c>
      <c r="C146" s="250" t="s">
        <v>1821</v>
      </c>
      <c r="D146" s="238">
        <f>SUM(D147)</f>
        <v>9</v>
      </c>
      <c r="E146" s="238">
        <f>SUM(E147)</f>
        <v>8</v>
      </c>
      <c r="F146" s="238">
        <f>SUM(F147)</f>
        <v>7</v>
      </c>
      <c r="G146" s="239">
        <f>AVERAGE(G147)</f>
        <v>0.44444444444444442</v>
      </c>
      <c r="H146" s="240">
        <f>AVERAGE(H147)</f>
        <v>0.25</v>
      </c>
      <c r="J146" s="77"/>
      <c r="K146" s="77"/>
    </row>
    <row r="147" spans="1:11" ht="18.75" x14ac:dyDescent="0.25">
      <c r="A147" s="198" t="s">
        <v>1831</v>
      </c>
      <c r="B147" s="245" t="s">
        <v>1697</v>
      </c>
      <c r="C147" s="246" t="s">
        <v>1897</v>
      </c>
      <c r="D147" s="247">
        <f>COUNTIF(Fuente!J142:$J$567,'CUMPLIMIENTO '!C147)</f>
        <v>9</v>
      </c>
      <c r="E147" s="247">
        <v>8</v>
      </c>
      <c r="F147" s="247">
        <f>GETPIVOTDATA("Cuenta de Valor esperado 2021",'METAS POR AÑO'!$A$3,"Cod Linea","6.6","Cod- Prog","6.6.1")</f>
        <v>7</v>
      </c>
      <c r="G147" s="327">
        <f>Fuente!K549</f>
        <v>0.44444444444444442</v>
      </c>
      <c r="H147" s="248">
        <f>Fuente!L549</f>
        <v>0.25</v>
      </c>
      <c r="J147" s="77"/>
      <c r="K147" s="77"/>
    </row>
    <row r="148" spans="1:11" ht="18.75" x14ac:dyDescent="0.25">
      <c r="A148" s="202" t="s">
        <v>1830</v>
      </c>
      <c r="B148" s="236" t="s">
        <v>1724</v>
      </c>
      <c r="C148" s="237" t="s">
        <v>1822</v>
      </c>
      <c r="D148" s="238">
        <f>SUM(D149)</f>
        <v>4</v>
      </c>
      <c r="E148" s="238">
        <f>SUM(E149)</f>
        <v>4</v>
      </c>
      <c r="F148" s="238">
        <f>SUM(F149)</f>
        <v>4</v>
      </c>
      <c r="G148" s="239">
        <f>AVERAGE(G149)</f>
        <v>0.47291666666666665</v>
      </c>
      <c r="H148" s="240">
        <f>AVERAGE(H149)</f>
        <v>0.14583333333333331</v>
      </c>
      <c r="J148" s="150"/>
      <c r="K148" s="150"/>
    </row>
    <row r="149" spans="1:11" ht="18.75" x14ac:dyDescent="0.25">
      <c r="A149" s="198" t="s">
        <v>1831</v>
      </c>
      <c r="B149" s="245" t="s">
        <v>1725</v>
      </c>
      <c r="C149" s="246" t="s">
        <v>1898</v>
      </c>
      <c r="D149" s="247">
        <f>COUNTIF(Fuente!J144:$J$567,'CUMPLIMIENTO '!C149)</f>
        <v>4</v>
      </c>
      <c r="E149" s="247">
        <v>4</v>
      </c>
      <c r="F149" s="247">
        <f>GETPIVOTDATA("Cuenta de Valor esperado 2021",'METAS POR AÑO'!$A$3,"Cod Linea","6.7","Cod- Prog","6.7.1")</f>
        <v>4</v>
      </c>
      <c r="G149" s="248">
        <f>Fuente!K558</f>
        <v>0.47291666666666665</v>
      </c>
      <c r="H149" s="248">
        <f>Fuente!L558</f>
        <v>0.14583333333333331</v>
      </c>
    </row>
    <row r="150" spans="1:11" ht="18.75" x14ac:dyDescent="0.25">
      <c r="A150" s="202" t="s">
        <v>1830</v>
      </c>
      <c r="B150" s="236" t="s">
        <v>1731</v>
      </c>
      <c r="C150" s="237" t="s">
        <v>1823</v>
      </c>
      <c r="D150" s="238">
        <f>SUM(D151)</f>
        <v>2</v>
      </c>
      <c r="E150" s="238">
        <f>SUM(E151)</f>
        <v>2</v>
      </c>
      <c r="F150" s="238">
        <f>SUM(F151)</f>
        <v>2</v>
      </c>
      <c r="G150" s="239">
        <f>AVERAGE(G151)</f>
        <v>0.2</v>
      </c>
      <c r="H150" s="240">
        <f>AVERAGE(H151)</f>
        <v>0.31666666666666665</v>
      </c>
    </row>
    <row r="151" spans="1:11" ht="18.75" x14ac:dyDescent="0.25">
      <c r="A151" s="198" t="s">
        <v>1831</v>
      </c>
      <c r="B151" s="245" t="s">
        <v>1732</v>
      </c>
      <c r="C151" s="246" t="s">
        <v>1899</v>
      </c>
      <c r="D151" s="247">
        <f>COUNTIF(Fuente!J146:$J$567,'CUMPLIMIENTO '!C151)</f>
        <v>2</v>
      </c>
      <c r="E151" s="247">
        <v>2</v>
      </c>
      <c r="F151" s="247">
        <f>GETPIVOTDATA("Cuenta de Valor esperado 2021",'METAS POR AÑO'!$A$3,"Cod Linea","6.8","Cod- Prog","6.8.1")</f>
        <v>2</v>
      </c>
      <c r="G151" s="248">
        <f>Fuente!K562</f>
        <v>0.2</v>
      </c>
      <c r="H151" s="248">
        <f>Fuente!L562</f>
        <v>0.31666666666666665</v>
      </c>
    </row>
    <row r="152" spans="1:11" ht="18.75" x14ac:dyDescent="0.25">
      <c r="A152" s="202" t="s">
        <v>1830</v>
      </c>
      <c r="B152" s="236" t="s">
        <v>1736</v>
      </c>
      <c r="C152" s="237" t="s">
        <v>1824</v>
      </c>
      <c r="D152" s="238">
        <f>SUM(D153)</f>
        <v>2</v>
      </c>
      <c r="E152" s="238">
        <f>SUM(E153)</f>
        <v>2</v>
      </c>
      <c r="F152" s="238">
        <f>SUM(F153)</f>
        <v>2</v>
      </c>
      <c r="G152" s="239">
        <f>AVERAGE(G153)</f>
        <v>0.15</v>
      </c>
      <c r="H152" s="240">
        <f>AVERAGE(H153)</f>
        <v>0.16666666666666666</v>
      </c>
    </row>
    <row r="153" spans="1:11" ht="18.75" x14ac:dyDescent="0.25">
      <c r="A153" s="198" t="s">
        <v>1831</v>
      </c>
      <c r="B153" s="245" t="s">
        <v>1737</v>
      </c>
      <c r="C153" s="246" t="s">
        <v>1832</v>
      </c>
      <c r="D153" s="247">
        <f>COUNTIF(Fuente!J147:$J$567,'CUMPLIMIENTO '!C153)</f>
        <v>2</v>
      </c>
      <c r="E153" s="247">
        <v>2</v>
      </c>
      <c r="F153" s="247">
        <f>GETPIVOTDATA("Cuenta de Valor esperado 2021",'METAS POR AÑO'!$A$3,"Cod Linea","6.9","Cod- Prog","6.9.1")</f>
        <v>2</v>
      </c>
      <c r="G153" s="248">
        <f>Fuente!K564</f>
        <v>0.15</v>
      </c>
      <c r="H153" s="248">
        <f>Fuente!L564</f>
        <v>0.16666666666666666</v>
      </c>
    </row>
    <row r="154" spans="1:11" ht="18.75" x14ac:dyDescent="0.25">
      <c r="A154" s="202" t="s">
        <v>1830</v>
      </c>
      <c r="B154" s="236" t="s">
        <v>1741</v>
      </c>
      <c r="C154" s="237" t="s">
        <v>1825</v>
      </c>
      <c r="D154" s="238">
        <f>SUM(D155)</f>
        <v>2</v>
      </c>
      <c r="E154" s="238">
        <f>SUM(E155)</f>
        <v>2</v>
      </c>
      <c r="F154" s="238">
        <f>SUM(F155)</f>
        <v>2</v>
      </c>
      <c r="G154" s="239">
        <f>AVERAGE(G155)</f>
        <v>0</v>
      </c>
      <c r="H154" s="240">
        <f>AVERAGE(H155)</f>
        <v>0</v>
      </c>
    </row>
    <row r="155" spans="1:11" ht="18.75" x14ac:dyDescent="0.25">
      <c r="A155" s="198" t="s">
        <v>1831</v>
      </c>
      <c r="B155" s="245" t="s">
        <v>1742</v>
      </c>
      <c r="C155" s="246" t="s">
        <v>1900</v>
      </c>
      <c r="D155" s="247">
        <f>COUNTIF(Fuente!J149:$J$567,'CUMPLIMIENTO '!C155)</f>
        <v>2</v>
      </c>
      <c r="E155" s="247">
        <v>2</v>
      </c>
      <c r="F155" s="247">
        <f>GETPIVOTDATA("Cuenta de Valor esperado 2021",'METAS POR AÑO'!$A$3,"Cod Linea","6.10","Cod- Prog","6.10.1")</f>
        <v>2</v>
      </c>
      <c r="G155" s="248">
        <f>Fuente!K566</f>
        <v>0</v>
      </c>
      <c r="H155" s="327">
        <f>Fuente!L566</f>
        <v>0</v>
      </c>
      <c r="K155" s="62"/>
    </row>
  </sheetData>
  <mergeCells count="1">
    <mergeCell ref="A3:D6"/>
  </mergeCells>
  <phoneticPr fontId="23" type="noConversion"/>
  <printOptions horizontalCentered="1"/>
  <pageMargins left="0.31496062992125984" right="0.31496062992125984" top="0.35433070866141736" bottom="0.35433070866141736" header="0.31496062992125984" footer="0.31496062992125984"/>
  <pageSetup paperSize="120" scale="70"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A74A8-0D5B-4817-A058-68377DA2ABC0}">
  <sheetPr codeName="Hoja5"/>
  <dimension ref="A1:L151"/>
  <sheetViews>
    <sheetView showGridLines="0" topLeftCell="A76" workbookViewId="0">
      <selection activeCell="C106" sqref="C106"/>
    </sheetView>
  </sheetViews>
  <sheetFormatPr baseColWidth="10" defaultRowHeight="15" x14ac:dyDescent="0.25"/>
  <cols>
    <col min="1" max="1" width="78.42578125" bestFit="1" customWidth="1"/>
    <col min="2" max="2" width="15.5703125" bestFit="1" customWidth="1"/>
    <col min="3" max="3" width="15.5703125" style="62" customWidth="1"/>
    <col min="4" max="5" width="15.5703125" hidden="1" customWidth="1"/>
    <col min="6" max="6" width="19.28515625" hidden="1" customWidth="1"/>
    <col min="8" max="8" width="11.42578125" style="79"/>
  </cols>
  <sheetData>
    <row r="1" spans="1:12" x14ac:dyDescent="0.25">
      <c r="A1" s="388" t="s">
        <v>7</v>
      </c>
      <c r="B1" t="s">
        <v>1977</v>
      </c>
    </row>
    <row r="3" spans="1:12" ht="44.25" customHeight="1" x14ac:dyDescent="0.25">
      <c r="A3" s="397" t="s">
        <v>1975</v>
      </c>
      <c r="B3" s="394" t="s">
        <v>1775</v>
      </c>
      <c r="C3" s="394" t="s">
        <v>1976</v>
      </c>
      <c r="D3" s="395" t="s">
        <v>1979</v>
      </c>
      <c r="E3" s="395" t="s">
        <v>1978</v>
      </c>
      <c r="F3" s="392" t="s">
        <v>1777</v>
      </c>
      <c r="H3" s="398"/>
      <c r="I3" s="398"/>
      <c r="J3" s="398"/>
      <c r="K3" s="398"/>
      <c r="L3" s="79"/>
    </row>
    <row r="4" spans="1:12" x14ac:dyDescent="0.25">
      <c r="A4" s="389" t="s">
        <v>39</v>
      </c>
      <c r="B4" s="390">
        <v>6</v>
      </c>
      <c r="C4" s="405">
        <v>6</v>
      </c>
      <c r="D4" s="390">
        <v>4</v>
      </c>
      <c r="E4" s="390">
        <v>4</v>
      </c>
      <c r="F4" s="390">
        <v>14</v>
      </c>
      <c r="H4" s="399"/>
      <c r="I4" s="401"/>
      <c r="J4" s="401"/>
      <c r="K4" s="401"/>
      <c r="L4" s="400"/>
    </row>
    <row r="5" spans="1:12" x14ac:dyDescent="0.25">
      <c r="A5" s="391" t="s">
        <v>41</v>
      </c>
      <c r="B5" s="390">
        <v>6</v>
      </c>
      <c r="C5" s="405">
        <v>6</v>
      </c>
      <c r="D5" s="390">
        <v>4</v>
      </c>
      <c r="E5" s="390">
        <v>4</v>
      </c>
      <c r="F5" s="390">
        <v>14</v>
      </c>
      <c r="H5" s="399"/>
      <c r="I5" s="401"/>
    </row>
    <row r="6" spans="1:12" x14ac:dyDescent="0.25">
      <c r="A6" s="393" t="s">
        <v>1901</v>
      </c>
      <c r="B6" s="390">
        <v>6</v>
      </c>
      <c r="C6" s="405">
        <v>6</v>
      </c>
      <c r="D6" s="390">
        <v>4</v>
      </c>
      <c r="E6" s="390">
        <v>4</v>
      </c>
      <c r="F6" s="390">
        <v>14</v>
      </c>
      <c r="H6" s="399"/>
    </row>
    <row r="7" spans="1:12" x14ac:dyDescent="0.25">
      <c r="A7" s="389" t="s">
        <v>98</v>
      </c>
      <c r="B7" s="390">
        <v>34</v>
      </c>
      <c r="C7" s="405">
        <v>41</v>
      </c>
      <c r="D7" s="390">
        <v>43</v>
      </c>
      <c r="E7" s="390">
        <v>43</v>
      </c>
      <c r="F7" s="390">
        <v>43</v>
      </c>
      <c r="H7" s="399"/>
    </row>
    <row r="8" spans="1:12" x14ac:dyDescent="0.25">
      <c r="A8" s="391" t="s">
        <v>100</v>
      </c>
      <c r="B8" s="390">
        <v>15</v>
      </c>
      <c r="C8" s="405">
        <v>19</v>
      </c>
      <c r="D8" s="390">
        <v>21</v>
      </c>
      <c r="E8" s="390">
        <v>21</v>
      </c>
      <c r="F8" s="390">
        <v>21</v>
      </c>
      <c r="H8" s="399"/>
    </row>
    <row r="9" spans="1:12" x14ac:dyDescent="0.25">
      <c r="A9" s="391" t="s">
        <v>194</v>
      </c>
      <c r="B9" s="390">
        <v>7</v>
      </c>
      <c r="C9" s="405">
        <v>8</v>
      </c>
      <c r="D9" s="390">
        <v>8</v>
      </c>
      <c r="E9" s="390">
        <v>8</v>
      </c>
      <c r="F9" s="390">
        <v>8</v>
      </c>
      <c r="H9" s="399"/>
    </row>
    <row r="10" spans="1:12" x14ac:dyDescent="0.25">
      <c r="A10" s="391" t="s">
        <v>238</v>
      </c>
      <c r="B10" s="390">
        <v>12</v>
      </c>
      <c r="C10" s="405">
        <v>14</v>
      </c>
      <c r="D10" s="390">
        <v>14</v>
      </c>
      <c r="E10" s="390">
        <v>14</v>
      </c>
      <c r="F10" s="390">
        <v>14</v>
      </c>
      <c r="H10" s="399"/>
    </row>
    <row r="11" spans="1:12" x14ac:dyDescent="0.25">
      <c r="A11" s="389" t="s">
        <v>293</v>
      </c>
      <c r="B11" s="390">
        <v>96</v>
      </c>
      <c r="C11" s="405">
        <v>97</v>
      </c>
      <c r="D11" s="390">
        <v>96</v>
      </c>
      <c r="E11" s="390">
        <v>95</v>
      </c>
      <c r="F11" s="390">
        <v>100</v>
      </c>
      <c r="H11" s="399"/>
    </row>
    <row r="12" spans="1:12" x14ac:dyDescent="0.25">
      <c r="A12" s="391" t="s">
        <v>295</v>
      </c>
      <c r="B12" s="390">
        <v>6</v>
      </c>
      <c r="C12" s="405">
        <v>5</v>
      </c>
      <c r="D12" s="390">
        <v>5</v>
      </c>
      <c r="E12" s="390">
        <v>5</v>
      </c>
      <c r="F12" s="390">
        <v>6</v>
      </c>
      <c r="H12" s="399"/>
    </row>
    <row r="13" spans="1:12" x14ac:dyDescent="0.25">
      <c r="A13" s="391" t="s">
        <v>576</v>
      </c>
      <c r="B13" s="390">
        <v>26</v>
      </c>
      <c r="C13" s="405">
        <v>27</v>
      </c>
      <c r="D13" s="390">
        <v>25</v>
      </c>
      <c r="E13" s="390">
        <v>25</v>
      </c>
      <c r="F13" s="390">
        <v>28</v>
      </c>
      <c r="H13" s="399"/>
    </row>
    <row r="14" spans="1:12" x14ac:dyDescent="0.25">
      <c r="A14" s="391" t="s">
        <v>326</v>
      </c>
      <c r="B14" s="390">
        <v>6</v>
      </c>
      <c r="C14" s="405">
        <v>6</v>
      </c>
      <c r="D14" s="390">
        <v>6</v>
      </c>
      <c r="E14" s="390">
        <v>6</v>
      </c>
      <c r="F14" s="390">
        <v>6</v>
      </c>
      <c r="H14" s="399"/>
    </row>
    <row r="15" spans="1:12" x14ac:dyDescent="0.25">
      <c r="A15" s="391" t="s">
        <v>359</v>
      </c>
      <c r="B15" s="390">
        <v>4</v>
      </c>
      <c r="C15" s="405">
        <v>4</v>
      </c>
      <c r="D15" s="390">
        <v>4</v>
      </c>
      <c r="E15" s="390">
        <v>4</v>
      </c>
      <c r="F15" s="390">
        <v>4</v>
      </c>
      <c r="H15" s="399"/>
    </row>
    <row r="16" spans="1:12" x14ac:dyDescent="0.25">
      <c r="A16" s="391" t="s">
        <v>379</v>
      </c>
      <c r="B16" s="390">
        <v>8</v>
      </c>
      <c r="C16" s="405">
        <v>9</v>
      </c>
      <c r="D16" s="390">
        <v>9</v>
      </c>
      <c r="E16" s="390">
        <v>9</v>
      </c>
      <c r="F16" s="390">
        <v>9</v>
      </c>
      <c r="H16" s="399"/>
    </row>
    <row r="17" spans="1:8" x14ac:dyDescent="0.25">
      <c r="A17" s="391" t="s">
        <v>413</v>
      </c>
      <c r="B17" s="390">
        <v>6</v>
      </c>
      <c r="C17" s="405">
        <v>6</v>
      </c>
      <c r="D17" s="390">
        <v>6</v>
      </c>
      <c r="E17" s="390">
        <v>6</v>
      </c>
      <c r="F17" s="390">
        <v>6</v>
      </c>
      <c r="H17" s="399"/>
    </row>
    <row r="18" spans="1:8" x14ac:dyDescent="0.25">
      <c r="A18" s="391" t="s">
        <v>443</v>
      </c>
      <c r="B18" s="390">
        <v>10</v>
      </c>
      <c r="C18" s="405">
        <v>10</v>
      </c>
      <c r="D18" s="390">
        <v>10</v>
      </c>
      <c r="E18" s="390">
        <v>10</v>
      </c>
      <c r="F18" s="390">
        <v>10</v>
      </c>
      <c r="H18" s="399"/>
    </row>
    <row r="19" spans="1:8" x14ac:dyDescent="0.25">
      <c r="A19" s="391" t="s">
        <v>483</v>
      </c>
      <c r="B19" s="390">
        <v>4</v>
      </c>
      <c r="C19" s="405">
        <v>4</v>
      </c>
      <c r="D19" s="390">
        <v>5</v>
      </c>
      <c r="E19" s="390">
        <v>4</v>
      </c>
      <c r="F19" s="390">
        <v>5</v>
      </c>
      <c r="H19" s="399"/>
    </row>
    <row r="20" spans="1:8" x14ac:dyDescent="0.25">
      <c r="A20" s="391" t="s">
        <v>497</v>
      </c>
      <c r="B20" s="390">
        <v>4</v>
      </c>
      <c r="C20" s="405">
        <v>4</v>
      </c>
      <c r="D20" s="390">
        <v>4</v>
      </c>
      <c r="E20" s="390">
        <v>4</v>
      </c>
      <c r="F20" s="390">
        <v>4</v>
      </c>
      <c r="H20" s="399"/>
    </row>
    <row r="21" spans="1:8" x14ac:dyDescent="0.25">
      <c r="A21" s="391" t="s">
        <v>510</v>
      </c>
      <c r="B21" s="390">
        <v>22</v>
      </c>
      <c r="C21" s="405">
        <v>22</v>
      </c>
      <c r="D21" s="390">
        <v>22</v>
      </c>
      <c r="E21" s="390">
        <v>22</v>
      </c>
      <c r="F21" s="390">
        <v>22</v>
      </c>
      <c r="H21" s="399"/>
    </row>
    <row r="22" spans="1:8" x14ac:dyDescent="0.25">
      <c r="A22" s="389" t="s">
        <v>626</v>
      </c>
      <c r="B22" s="390">
        <v>5</v>
      </c>
      <c r="C22" s="405">
        <v>6</v>
      </c>
      <c r="D22" s="390">
        <v>6</v>
      </c>
      <c r="E22" s="390">
        <v>5</v>
      </c>
      <c r="F22" s="390">
        <v>8</v>
      </c>
      <c r="H22" s="399"/>
    </row>
    <row r="23" spans="1:8" x14ac:dyDescent="0.25">
      <c r="A23" s="391" t="s">
        <v>628</v>
      </c>
      <c r="B23" s="390"/>
      <c r="C23" s="405">
        <v>1</v>
      </c>
      <c r="D23" s="390"/>
      <c r="E23" s="390"/>
      <c r="F23" s="390">
        <v>2</v>
      </c>
      <c r="H23" s="399"/>
    </row>
    <row r="24" spans="1:8" x14ac:dyDescent="0.25">
      <c r="A24" s="391" t="s">
        <v>635</v>
      </c>
      <c r="B24" s="390">
        <v>5</v>
      </c>
      <c r="C24" s="405">
        <v>5</v>
      </c>
      <c r="D24" s="390">
        <v>6</v>
      </c>
      <c r="E24" s="390">
        <v>5</v>
      </c>
      <c r="F24" s="390">
        <v>6</v>
      </c>
      <c r="H24" s="399"/>
    </row>
    <row r="25" spans="1:8" x14ac:dyDescent="0.25">
      <c r="A25" s="389" t="s">
        <v>651</v>
      </c>
      <c r="B25" s="390">
        <v>31</v>
      </c>
      <c r="C25" s="405">
        <v>32</v>
      </c>
      <c r="D25" s="390"/>
      <c r="E25" s="390"/>
      <c r="F25" s="390">
        <v>36</v>
      </c>
      <c r="H25" s="399"/>
    </row>
    <row r="26" spans="1:8" x14ac:dyDescent="0.25">
      <c r="A26" s="391" t="s">
        <v>653</v>
      </c>
      <c r="B26" s="390">
        <v>1</v>
      </c>
      <c r="C26" s="405">
        <v>1</v>
      </c>
      <c r="D26" s="390"/>
      <c r="E26" s="390"/>
      <c r="F26" s="390">
        <v>4</v>
      </c>
      <c r="H26" s="399"/>
    </row>
    <row r="27" spans="1:8" x14ac:dyDescent="0.25">
      <c r="A27" s="391" t="s">
        <v>668</v>
      </c>
      <c r="B27" s="390">
        <v>12</v>
      </c>
      <c r="C27" s="405">
        <v>12</v>
      </c>
      <c r="D27" s="390"/>
      <c r="E27" s="390"/>
      <c r="F27" s="390">
        <v>13</v>
      </c>
      <c r="H27" s="399"/>
    </row>
    <row r="28" spans="1:8" x14ac:dyDescent="0.25">
      <c r="A28" s="391" t="s">
        <v>698</v>
      </c>
      <c r="B28" s="390">
        <v>4</v>
      </c>
      <c r="C28" s="405">
        <v>4</v>
      </c>
      <c r="D28" s="390"/>
      <c r="E28" s="390"/>
      <c r="F28" s="390">
        <v>4</v>
      </c>
      <c r="H28" s="399"/>
    </row>
    <row r="29" spans="1:8" x14ac:dyDescent="0.25">
      <c r="A29" s="391" t="s">
        <v>714</v>
      </c>
      <c r="B29" s="390">
        <v>3</v>
      </c>
      <c r="C29" s="405">
        <v>3</v>
      </c>
      <c r="D29" s="390"/>
      <c r="E29" s="390"/>
      <c r="F29" s="390">
        <v>3</v>
      </c>
      <c r="H29" s="399"/>
    </row>
    <row r="30" spans="1:8" x14ac:dyDescent="0.25">
      <c r="A30" s="391" t="s">
        <v>725</v>
      </c>
      <c r="B30" s="390">
        <v>6</v>
      </c>
      <c r="C30" s="405">
        <v>6</v>
      </c>
      <c r="D30" s="390"/>
      <c r="E30" s="390"/>
      <c r="F30" s="390">
        <v>6</v>
      </c>
      <c r="H30" s="399"/>
    </row>
    <row r="31" spans="1:8" x14ac:dyDescent="0.25">
      <c r="A31" s="391" t="s">
        <v>742</v>
      </c>
      <c r="B31" s="390">
        <v>5</v>
      </c>
      <c r="C31" s="405">
        <v>6</v>
      </c>
      <c r="D31" s="390"/>
      <c r="E31" s="390"/>
      <c r="F31" s="390">
        <v>6</v>
      </c>
      <c r="H31" s="399"/>
    </row>
    <row r="32" spans="1:8" x14ac:dyDescent="0.25">
      <c r="A32" s="389" t="s">
        <v>759</v>
      </c>
      <c r="B32" s="390">
        <v>12</v>
      </c>
      <c r="C32" s="405">
        <v>15</v>
      </c>
      <c r="D32" s="390">
        <v>12</v>
      </c>
      <c r="E32" s="390">
        <v>13</v>
      </c>
      <c r="F32" s="390">
        <v>18</v>
      </c>
      <c r="H32" s="399"/>
    </row>
    <row r="33" spans="1:8" x14ac:dyDescent="0.25">
      <c r="A33" s="391" t="s">
        <v>761</v>
      </c>
      <c r="B33" s="390">
        <v>4</v>
      </c>
      <c r="C33" s="405">
        <v>5</v>
      </c>
      <c r="D33" s="390">
        <v>4</v>
      </c>
      <c r="E33" s="390">
        <v>4</v>
      </c>
      <c r="F33" s="390">
        <v>6</v>
      </c>
      <c r="H33" s="399"/>
    </row>
    <row r="34" spans="1:8" x14ac:dyDescent="0.25">
      <c r="A34" s="391" t="s">
        <v>789</v>
      </c>
      <c r="B34" s="390">
        <v>8</v>
      </c>
      <c r="C34" s="405">
        <v>9</v>
      </c>
      <c r="D34" s="390">
        <v>8</v>
      </c>
      <c r="E34" s="390">
        <v>9</v>
      </c>
      <c r="F34" s="390">
        <v>11</v>
      </c>
      <c r="H34" s="399"/>
    </row>
    <row r="35" spans="1:8" x14ac:dyDescent="0.25">
      <c r="A35" s="391" t="s">
        <v>2017</v>
      </c>
      <c r="B35" s="390"/>
      <c r="C35" s="405">
        <v>1</v>
      </c>
      <c r="D35" s="390"/>
      <c r="E35" s="390"/>
      <c r="F35" s="390">
        <v>1</v>
      </c>
      <c r="H35" s="399"/>
    </row>
    <row r="36" spans="1:8" x14ac:dyDescent="0.25">
      <c r="A36" s="393" t="s">
        <v>790</v>
      </c>
      <c r="B36" s="390"/>
      <c r="C36" s="405">
        <v>1</v>
      </c>
      <c r="D36" s="390"/>
      <c r="E36" s="390"/>
      <c r="F36" s="390">
        <v>1</v>
      </c>
      <c r="H36" s="399"/>
    </row>
    <row r="37" spans="1:8" x14ac:dyDescent="0.25">
      <c r="A37" s="389" t="s">
        <v>832</v>
      </c>
      <c r="B37" s="390">
        <v>4</v>
      </c>
      <c r="C37" s="405">
        <v>4</v>
      </c>
      <c r="D37" s="390">
        <v>3</v>
      </c>
      <c r="E37" s="390">
        <v>3</v>
      </c>
      <c r="F37" s="390">
        <v>4</v>
      </c>
      <c r="H37" s="399"/>
    </row>
    <row r="38" spans="1:8" x14ac:dyDescent="0.25">
      <c r="A38" s="391" t="s">
        <v>834</v>
      </c>
      <c r="B38" s="390">
        <v>3</v>
      </c>
      <c r="C38" s="405">
        <v>3</v>
      </c>
      <c r="D38" s="390">
        <v>2</v>
      </c>
      <c r="E38" s="390">
        <v>2</v>
      </c>
      <c r="F38" s="390">
        <v>3</v>
      </c>
      <c r="H38" s="399"/>
    </row>
    <row r="39" spans="1:8" x14ac:dyDescent="0.25">
      <c r="A39" s="391" t="s">
        <v>851</v>
      </c>
      <c r="B39" s="390">
        <v>1</v>
      </c>
      <c r="C39" s="405">
        <v>1</v>
      </c>
      <c r="D39" s="390">
        <v>1</v>
      </c>
      <c r="E39" s="390">
        <v>1</v>
      </c>
      <c r="F39" s="390">
        <v>1</v>
      </c>
      <c r="H39" s="399"/>
    </row>
    <row r="40" spans="1:8" x14ac:dyDescent="0.25">
      <c r="A40" s="389" t="s">
        <v>1110</v>
      </c>
      <c r="B40" s="390"/>
      <c r="C40" s="405"/>
      <c r="D40" s="390"/>
      <c r="E40" s="390"/>
      <c r="F40" s="390">
        <v>4</v>
      </c>
      <c r="H40" s="399"/>
    </row>
    <row r="41" spans="1:8" x14ac:dyDescent="0.25">
      <c r="A41" s="391" t="s">
        <v>1112</v>
      </c>
      <c r="B41" s="390"/>
      <c r="C41" s="405"/>
      <c r="D41" s="390"/>
      <c r="E41" s="390"/>
      <c r="F41" s="390">
        <v>4</v>
      </c>
    </row>
    <row r="42" spans="1:8" x14ac:dyDescent="0.25">
      <c r="A42" s="389" t="s">
        <v>858</v>
      </c>
      <c r="B42" s="390">
        <v>3</v>
      </c>
      <c r="C42" s="405">
        <v>5</v>
      </c>
      <c r="D42" s="390">
        <v>4</v>
      </c>
      <c r="E42" s="390">
        <v>3</v>
      </c>
      <c r="F42" s="390">
        <v>7</v>
      </c>
    </row>
    <row r="43" spans="1:8" x14ac:dyDescent="0.25">
      <c r="A43" s="391" t="s">
        <v>860</v>
      </c>
      <c r="B43" s="390">
        <v>3</v>
      </c>
      <c r="C43" s="405">
        <v>4</v>
      </c>
      <c r="D43" s="390">
        <v>3</v>
      </c>
      <c r="E43" s="390">
        <v>3</v>
      </c>
      <c r="F43" s="390">
        <v>5</v>
      </c>
    </row>
    <row r="44" spans="1:8" x14ac:dyDescent="0.25">
      <c r="A44" s="391" t="s">
        <v>871</v>
      </c>
      <c r="B44" s="390"/>
      <c r="C44" s="405">
        <v>1</v>
      </c>
      <c r="D44" s="390">
        <v>1</v>
      </c>
      <c r="E44" s="390"/>
      <c r="F44" s="390">
        <v>2</v>
      </c>
    </row>
    <row r="45" spans="1:8" x14ac:dyDescent="0.25">
      <c r="A45" s="389" t="s">
        <v>876</v>
      </c>
      <c r="B45" s="390">
        <v>1</v>
      </c>
      <c r="C45" s="405">
        <v>4</v>
      </c>
      <c r="D45" s="390">
        <v>4</v>
      </c>
      <c r="E45" s="390">
        <v>4</v>
      </c>
      <c r="F45" s="390">
        <v>4</v>
      </c>
    </row>
    <row r="46" spans="1:8" x14ac:dyDescent="0.25">
      <c r="A46" s="391" t="s">
        <v>878</v>
      </c>
      <c r="B46" s="390">
        <v>1</v>
      </c>
      <c r="C46" s="405">
        <v>4</v>
      </c>
      <c r="D46" s="390">
        <v>4</v>
      </c>
      <c r="E46" s="390">
        <v>4</v>
      </c>
      <c r="F46" s="390">
        <v>4</v>
      </c>
    </row>
    <row r="47" spans="1:8" x14ac:dyDescent="0.25">
      <c r="A47" s="389" t="s">
        <v>887</v>
      </c>
      <c r="B47" s="390">
        <v>3</v>
      </c>
      <c r="C47" s="405">
        <v>7</v>
      </c>
      <c r="D47" s="390">
        <v>3</v>
      </c>
      <c r="E47" s="390">
        <v>3</v>
      </c>
      <c r="F47" s="390">
        <v>7</v>
      </c>
    </row>
    <row r="48" spans="1:8" x14ac:dyDescent="0.25">
      <c r="A48" s="391" t="s">
        <v>889</v>
      </c>
      <c r="B48" s="390">
        <v>2</v>
      </c>
      <c r="C48" s="405">
        <v>4</v>
      </c>
      <c r="D48" s="390">
        <v>2</v>
      </c>
      <c r="E48" s="390">
        <v>2</v>
      </c>
      <c r="F48" s="390">
        <v>4</v>
      </c>
    </row>
    <row r="49" spans="1:6" x14ac:dyDescent="0.25">
      <c r="A49" s="391" t="s">
        <v>902</v>
      </c>
      <c r="B49" s="390">
        <v>1</v>
      </c>
      <c r="C49" s="405">
        <v>3</v>
      </c>
      <c r="D49" s="390">
        <v>1</v>
      </c>
      <c r="E49" s="390">
        <v>1</v>
      </c>
      <c r="F49" s="390">
        <v>3</v>
      </c>
    </row>
    <row r="50" spans="1:6" x14ac:dyDescent="0.25">
      <c r="A50" s="389" t="s">
        <v>909</v>
      </c>
      <c r="B50" s="390">
        <v>6</v>
      </c>
      <c r="C50" s="405">
        <v>6</v>
      </c>
      <c r="D50" s="390">
        <v>7</v>
      </c>
      <c r="E50" s="390">
        <v>7</v>
      </c>
      <c r="F50" s="390">
        <v>8</v>
      </c>
    </row>
    <row r="51" spans="1:6" x14ac:dyDescent="0.25">
      <c r="A51" s="391" t="s">
        <v>911</v>
      </c>
      <c r="B51" s="390">
        <v>1</v>
      </c>
      <c r="C51" s="405">
        <v>1</v>
      </c>
      <c r="D51" s="390">
        <v>1</v>
      </c>
      <c r="E51" s="390">
        <v>1</v>
      </c>
      <c r="F51" s="390">
        <v>1</v>
      </c>
    </row>
    <row r="52" spans="1:6" x14ac:dyDescent="0.25">
      <c r="A52" s="391" t="s">
        <v>920</v>
      </c>
      <c r="B52" s="390">
        <v>1</v>
      </c>
      <c r="C52" s="405">
        <v>1</v>
      </c>
      <c r="D52" s="390">
        <v>1</v>
      </c>
      <c r="E52" s="390">
        <v>1</v>
      </c>
      <c r="F52" s="390">
        <v>1</v>
      </c>
    </row>
    <row r="53" spans="1:6" x14ac:dyDescent="0.25">
      <c r="A53" s="391" t="s">
        <v>926</v>
      </c>
      <c r="B53" s="390">
        <v>2</v>
      </c>
      <c r="C53" s="405">
        <v>1</v>
      </c>
      <c r="D53" s="390">
        <v>3</v>
      </c>
      <c r="E53" s="390">
        <v>3</v>
      </c>
      <c r="F53" s="390">
        <v>3</v>
      </c>
    </row>
    <row r="54" spans="1:6" x14ac:dyDescent="0.25">
      <c r="A54" s="391" t="s">
        <v>943</v>
      </c>
      <c r="B54" s="390">
        <v>1</v>
      </c>
      <c r="C54" s="405">
        <v>1</v>
      </c>
      <c r="D54" s="390">
        <v>1</v>
      </c>
      <c r="E54" s="390">
        <v>1</v>
      </c>
      <c r="F54" s="390">
        <v>1</v>
      </c>
    </row>
    <row r="55" spans="1:6" x14ac:dyDescent="0.25">
      <c r="A55" s="391" t="s">
        <v>949</v>
      </c>
      <c r="B55" s="390">
        <v>1</v>
      </c>
      <c r="C55" s="405">
        <v>1</v>
      </c>
      <c r="D55" s="390">
        <v>1</v>
      </c>
      <c r="E55" s="390">
        <v>1</v>
      </c>
      <c r="F55" s="390">
        <v>1</v>
      </c>
    </row>
    <row r="56" spans="1:6" x14ac:dyDescent="0.25">
      <c r="A56" s="391" t="s">
        <v>956</v>
      </c>
      <c r="B56" s="390"/>
      <c r="C56" s="405">
        <v>1</v>
      </c>
      <c r="D56" s="390"/>
      <c r="E56" s="390"/>
      <c r="F56" s="390">
        <v>1</v>
      </c>
    </row>
    <row r="57" spans="1:6" x14ac:dyDescent="0.25">
      <c r="A57" s="389" t="s">
        <v>964</v>
      </c>
      <c r="B57" s="390">
        <v>6</v>
      </c>
      <c r="C57" s="405">
        <v>9</v>
      </c>
      <c r="D57" s="390">
        <v>16</v>
      </c>
      <c r="E57" s="390">
        <v>13</v>
      </c>
      <c r="F57" s="390">
        <v>18</v>
      </c>
    </row>
    <row r="58" spans="1:6" x14ac:dyDescent="0.25">
      <c r="A58" s="391" t="s">
        <v>966</v>
      </c>
      <c r="B58" s="390"/>
      <c r="C58" s="405">
        <v>3</v>
      </c>
      <c r="D58" s="390">
        <v>3</v>
      </c>
      <c r="E58" s="390">
        <v>3</v>
      </c>
      <c r="F58" s="390">
        <v>3</v>
      </c>
    </row>
    <row r="59" spans="1:6" x14ac:dyDescent="0.25">
      <c r="A59" s="391" t="s">
        <v>976</v>
      </c>
      <c r="B59" s="390">
        <v>3</v>
      </c>
      <c r="C59" s="405">
        <v>2</v>
      </c>
      <c r="D59" s="390">
        <v>3</v>
      </c>
      <c r="E59" s="390">
        <v>2</v>
      </c>
      <c r="F59" s="390">
        <v>4</v>
      </c>
    </row>
    <row r="60" spans="1:6" x14ac:dyDescent="0.25">
      <c r="A60" s="391" t="s">
        <v>986</v>
      </c>
      <c r="B60" s="390">
        <v>1</v>
      </c>
      <c r="C60" s="405">
        <v>2</v>
      </c>
      <c r="D60" s="390">
        <v>4</v>
      </c>
      <c r="E60" s="390">
        <v>3</v>
      </c>
      <c r="F60" s="390">
        <v>5</v>
      </c>
    </row>
    <row r="61" spans="1:6" x14ac:dyDescent="0.25">
      <c r="A61" s="391" t="s">
        <v>999</v>
      </c>
      <c r="B61" s="390">
        <v>1</v>
      </c>
      <c r="C61" s="405">
        <v>1</v>
      </c>
      <c r="D61" s="390">
        <v>3</v>
      </c>
      <c r="E61" s="390">
        <v>2</v>
      </c>
      <c r="F61" s="390">
        <v>3</v>
      </c>
    </row>
    <row r="62" spans="1:6" x14ac:dyDescent="0.25">
      <c r="A62" s="391" t="s">
        <v>1007</v>
      </c>
      <c r="B62" s="390">
        <v>1</v>
      </c>
      <c r="C62" s="405">
        <v>1</v>
      </c>
      <c r="D62" s="390">
        <v>3</v>
      </c>
      <c r="E62" s="390">
        <v>3</v>
      </c>
      <c r="F62" s="390">
        <v>3</v>
      </c>
    </row>
    <row r="63" spans="1:6" x14ac:dyDescent="0.25">
      <c r="A63" s="389" t="s">
        <v>863</v>
      </c>
      <c r="B63" s="390">
        <v>11</v>
      </c>
      <c r="C63" s="405">
        <v>12</v>
      </c>
      <c r="D63" s="390">
        <v>10</v>
      </c>
      <c r="E63" s="390">
        <v>7</v>
      </c>
      <c r="F63" s="390">
        <v>15</v>
      </c>
    </row>
    <row r="64" spans="1:6" x14ac:dyDescent="0.25">
      <c r="A64" s="391" t="s">
        <v>1020</v>
      </c>
      <c r="B64" s="390">
        <v>11</v>
      </c>
      <c r="C64" s="405">
        <v>12</v>
      </c>
      <c r="D64" s="390">
        <v>10</v>
      </c>
      <c r="E64" s="390">
        <v>7</v>
      </c>
      <c r="F64" s="390">
        <v>15</v>
      </c>
    </row>
    <row r="65" spans="1:6" x14ac:dyDescent="0.25">
      <c r="A65" s="389" t="s">
        <v>342</v>
      </c>
      <c r="B65" s="390"/>
      <c r="C65" s="405">
        <v>4</v>
      </c>
      <c r="D65" s="390">
        <v>3</v>
      </c>
      <c r="E65" s="390">
        <v>3</v>
      </c>
      <c r="F65" s="390">
        <v>5</v>
      </c>
    </row>
    <row r="66" spans="1:6" x14ac:dyDescent="0.25">
      <c r="A66" s="391" t="s">
        <v>1070</v>
      </c>
      <c r="B66" s="390"/>
      <c r="C66" s="405">
        <v>3</v>
      </c>
      <c r="D66" s="390">
        <v>2</v>
      </c>
      <c r="E66" s="390">
        <v>2</v>
      </c>
      <c r="F66" s="390">
        <v>4</v>
      </c>
    </row>
    <row r="67" spans="1:6" x14ac:dyDescent="0.25">
      <c r="A67" s="391" t="s">
        <v>1076</v>
      </c>
      <c r="B67" s="390"/>
      <c r="C67" s="405">
        <v>1</v>
      </c>
      <c r="D67" s="390">
        <v>1</v>
      </c>
      <c r="E67" s="390">
        <v>1</v>
      </c>
      <c r="F67" s="390">
        <v>1</v>
      </c>
    </row>
    <row r="68" spans="1:6" x14ac:dyDescent="0.25">
      <c r="A68" s="389" t="s">
        <v>347</v>
      </c>
      <c r="B68" s="390">
        <v>11</v>
      </c>
      <c r="C68" s="405">
        <v>9</v>
      </c>
      <c r="D68" s="390">
        <v>11</v>
      </c>
      <c r="E68" s="390">
        <v>11</v>
      </c>
      <c r="F68" s="390">
        <v>11</v>
      </c>
    </row>
    <row r="69" spans="1:6" x14ac:dyDescent="0.25">
      <c r="A69" s="391" t="s">
        <v>1081</v>
      </c>
      <c r="B69" s="390">
        <v>2</v>
      </c>
      <c r="C69" s="405">
        <v>1</v>
      </c>
      <c r="D69" s="390">
        <v>2</v>
      </c>
      <c r="E69" s="390">
        <v>2</v>
      </c>
      <c r="F69" s="390">
        <v>2</v>
      </c>
    </row>
    <row r="70" spans="1:6" x14ac:dyDescent="0.25">
      <c r="A70" s="391" t="s">
        <v>1087</v>
      </c>
      <c r="B70" s="390">
        <v>6</v>
      </c>
      <c r="C70" s="405">
        <v>5</v>
      </c>
      <c r="D70" s="390">
        <v>6</v>
      </c>
      <c r="E70" s="390">
        <v>6</v>
      </c>
      <c r="F70" s="390">
        <v>6</v>
      </c>
    </row>
    <row r="71" spans="1:6" x14ac:dyDescent="0.25">
      <c r="A71" s="391" t="s">
        <v>1099</v>
      </c>
      <c r="B71" s="390">
        <v>2</v>
      </c>
      <c r="C71" s="405">
        <v>2</v>
      </c>
      <c r="D71" s="390">
        <v>2</v>
      </c>
      <c r="E71" s="390">
        <v>2</v>
      </c>
      <c r="F71" s="390">
        <v>2</v>
      </c>
    </row>
    <row r="72" spans="1:6" x14ac:dyDescent="0.25">
      <c r="A72" s="391" t="s">
        <v>1105</v>
      </c>
      <c r="B72" s="390">
        <v>1</v>
      </c>
      <c r="C72" s="405">
        <v>1</v>
      </c>
      <c r="D72" s="390">
        <v>1</v>
      </c>
      <c r="E72" s="390">
        <v>1</v>
      </c>
      <c r="F72" s="390">
        <v>1</v>
      </c>
    </row>
    <row r="73" spans="1:6" x14ac:dyDescent="0.25">
      <c r="A73" s="393" t="s">
        <v>1106</v>
      </c>
      <c r="B73" s="390">
        <v>1</v>
      </c>
      <c r="C73" s="405">
        <v>1</v>
      </c>
      <c r="D73" s="390">
        <v>1</v>
      </c>
      <c r="E73" s="390">
        <v>1</v>
      </c>
      <c r="F73" s="390">
        <v>1</v>
      </c>
    </row>
    <row r="74" spans="1:6" x14ac:dyDescent="0.25">
      <c r="A74" s="389" t="s">
        <v>1120</v>
      </c>
      <c r="B74" s="390">
        <v>2</v>
      </c>
      <c r="C74" s="405">
        <v>2</v>
      </c>
      <c r="D74" s="390"/>
      <c r="E74" s="390"/>
      <c r="F74" s="390">
        <v>5</v>
      </c>
    </row>
    <row r="75" spans="1:6" x14ac:dyDescent="0.25">
      <c r="A75" s="391" t="s">
        <v>1122</v>
      </c>
      <c r="B75" s="390">
        <v>2</v>
      </c>
      <c r="C75" s="405">
        <v>2</v>
      </c>
      <c r="D75" s="390"/>
      <c r="E75" s="390"/>
      <c r="F75" s="390">
        <v>5</v>
      </c>
    </row>
    <row r="76" spans="1:6" x14ac:dyDescent="0.25">
      <c r="A76" s="389" t="s">
        <v>1144</v>
      </c>
      <c r="B76" s="390">
        <v>4</v>
      </c>
      <c r="C76" s="405">
        <v>4</v>
      </c>
      <c r="D76" s="390"/>
      <c r="E76" s="390"/>
      <c r="F76" s="390">
        <v>5</v>
      </c>
    </row>
    <row r="77" spans="1:6" x14ac:dyDescent="0.25">
      <c r="A77" s="391" t="s">
        <v>1146</v>
      </c>
      <c r="B77" s="390">
        <v>4</v>
      </c>
      <c r="C77" s="405">
        <v>4</v>
      </c>
      <c r="D77" s="390"/>
      <c r="E77" s="390"/>
      <c r="F77" s="390">
        <v>5</v>
      </c>
    </row>
    <row r="78" spans="1:6" x14ac:dyDescent="0.25">
      <c r="A78" s="393" t="s">
        <v>1147</v>
      </c>
      <c r="B78" s="390">
        <v>4</v>
      </c>
      <c r="C78" s="405">
        <v>4</v>
      </c>
      <c r="D78" s="390"/>
      <c r="E78" s="390"/>
      <c r="F78" s="390">
        <v>5</v>
      </c>
    </row>
    <row r="79" spans="1:6" x14ac:dyDescent="0.25">
      <c r="A79" s="389" t="s">
        <v>1167</v>
      </c>
      <c r="B79" s="390">
        <v>1</v>
      </c>
      <c r="C79" s="405">
        <v>1</v>
      </c>
      <c r="D79" s="390">
        <v>1</v>
      </c>
      <c r="E79" s="390">
        <v>1</v>
      </c>
      <c r="F79" s="390">
        <v>2</v>
      </c>
    </row>
    <row r="80" spans="1:6" x14ac:dyDescent="0.25">
      <c r="A80" s="391" t="s">
        <v>1169</v>
      </c>
      <c r="B80" s="390">
        <v>1</v>
      </c>
      <c r="C80" s="405">
        <v>1</v>
      </c>
      <c r="D80" s="390">
        <v>1</v>
      </c>
      <c r="E80" s="390">
        <v>1</v>
      </c>
      <c r="F80" s="390">
        <v>2</v>
      </c>
    </row>
    <row r="81" spans="1:6" x14ac:dyDescent="0.25">
      <c r="A81" s="389" t="s">
        <v>1178</v>
      </c>
      <c r="B81" s="390">
        <v>7</v>
      </c>
      <c r="C81" s="405">
        <v>10</v>
      </c>
      <c r="D81" s="390">
        <v>11</v>
      </c>
      <c r="E81" s="390">
        <v>9</v>
      </c>
      <c r="F81" s="390">
        <v>11</v>
      </c>
    </row>
    <row r="82" spans="1:6" x14ac:dyDescent="0.25">
      <c r="A82" s="391" t="s">
        <v>1180</v>
      </c>
      <c r="B82" s="390">
        <v>1</v>
      </c>
      <c r="C82" s="405">
        <v>3</v>
      </c>
      <c r="D82" s="390">
        <v>3</v>
      </c>
      <c r="E82" s="390">
        <v>2</v>
      </c>
      <c r="F82" s="390">
        <v>3</v>
      </c>
    </row>
    <row r="83" spans="1:6" x14ac:dyDescent="0.25">
      <c r="A83" s="391" t="s">
        <v>1187</v>
      </c>
      <c r="B83" s="390">
        <v>3</v>
      </c>
      <c r="C83" s="405">
        <v>2</v>
      </c>
      <c r="D83" s="390">
        <v>3</v>
      </c>
      <c r="E83" s="390">
        <v>2</v>
      </c>
      <c r="F83" s="390">
        <v>3</v>
      </c>
    </row>
    <row r="84" spans="1:6" x14ac:dyDescent="0.25">
      <c r="A84" s="391" t="s">
        <v>1196</v>
      </c>
      <c r="B84" s="390">
        <v>3</v>
      </c>
      <c r="C84" s="405">
        <v>5</v>
      </c>
      <c r="D84" s="390">
        <v>5</v>
      </c>
      <c r="E84" s="390">
        <v>5</v>
      </c>
      <c r="F84" s="390">
        <v>5</v>
      </c>
    </row>
    <row r="85" spans="1:6" x14ac:dyDescent="0.25">
      <c r="A85" s="389" t="s">
        <v>1206</v>
      </c>
      <c r="B85" s="390">
        <v>2</v>
      </c>
      <c r="C85" s="405">
        <v>4</v>
      </c>
      <c r="D85" s="390">
        <v>4</v>
      </c>
      <c r="E85" s="390">
        <v>4</v>
      </c>
      <c r="F85" s="390">
        <v>4</v>
      </c>
    </row>
    <row r="86" spans="1:6" x14ac:dyDescent="0.25">
      <c r="A86" s="391" t="s">
        <v>1208</v>
      </c>
      <c r="B86" s="390">
        <v>2</v>
      </c>
      <c r="C86" s="405">
        <v>4</v>
      </c>
      <c r="D86" s="390">
        <v>4</v>
      </c>
      <c r="E86" s="390">
        <v>4</v>
      </c>
      <c r="F86" s="390">
        <v>4</v>
      </c>
    </row>
    <row r="87" spans="1:6" x14ac:dyDescent="0.25">
      <c r="A87" s="389" t="s">
        <v>1216</v>
      </c>
      <c r="B87" s="390">
        <v>7</v>
      </c>
      <c r="C87" s="405">
        <v>7</v>
      </c>
      <c r="D87" s="390">
        <v>7</v>
      </c>
      <c r="E87" s="390">
        <v>7</v>
      </c>
      <c r="F87" s="390">
        <v>7</v>
      </c>
    </row>
    <row r="88" spans="1:6" x14ac:dyDescent="0.25">
      <c r="A88" s="391" t="s">
        <v>1217</v>
      </c>
      <c r="B88" s="390">
        <v>7</v>
      </c>
      <c r="C88" s="405">
        <v>7</v>
      </c>
      <c r="D88" s="390">
        <v>7</v>
      </c>
      <c r="E88" s="390">
        <v>7</v>
      </c>
      <c r="F88" s="390">
        <v>7</v>
      </c>
    </row>
    <row r="89" spans="1:6" x14ac:dyDescent="0.25">
      <c r="A89" s="389" t="s">
        <v>1227</v>
      </c>
      <c r="B89" s="390">
        <v>10</v>
      </c>
      <c r="C89" s="405">
        <v>12</v>
      </c>
      <c r="D89" s="390">
        <v>9</v>
      </c>
      <c r="E89" s="390">
        <v>7</v>
      </c>
      <c r="F89" s="390">
        <v>13</v>
      </c>
    </row>
    <row r="90" spans="1:6" x14ac:dyDescent="0.25">
      <c r="A90" s="391" t="s">
        <v>1228</v>
      </c>
      <c r="B90" s="390">
        <v>7</v>
      </c>
      <c r="C90" s="405">
        <v>7</v>
      </c>
      <c r="D90" s="390">
        <v>5</v>
      </c>
      <c r="E90" s="390">
        <v>5</v>
      </c>
      <c r="F90" s="390">
        <v>8</v>
      </c>
    </row>
    <row r="91" spans="1:6" x14ac:dyDescent="0.25">
      <c r="A91" s="391" t="s">
        <v>1241</v>
      </c>
      <c r="B91" s="390">
        <v>3</v>
      </c>
      <c r="C91" s="405">
        <v>5</v>
      </c>
      <c r="D91" s="390">
        <v>4</v>
      </c>
      <c r="E91" s="390">
        <v>2</v>
      </c>
      <c r="F91" s="390">
        <v>5</v>
      </c>
    </row>
    <row r="92" spans="1:6" x14ac:dyDescent="0.25">
      <c r="A92" s="389" t="s">
        <v>1247</v>
      </c>
      <c r="B92" s="390">
        <v>21</v>
      </c>
      <c r="C92" s="405">
        <v>23</v>
      </c>
      <c r="D92" s="390">
        <v>22</v>
      </c>
      <c r="E92" s="390">
        <v>19</v>
      </c>
      <c r="F92" s="390">
        <v>26</v>
      </c>
    </row>
    <row r="93" spans="1:6" x14ac:dyDescent="0.25">
      <c r="A93" s="391" t="s">
        <v>1248</v>
      </c>
      <c r="B93" s="390">
        <v>2</v>
      </c>
      <c r="C93" s="405">
        <v>4</v>
      </c>
      <c r="D93" s="390">
        <v>5</v>
      </c>
      <c r="E93" s="390">
        <v>4</v>
      </c>
      <c r="F93" s="390">
        <v>5</v>
      </c>
    </row>
    <row r="94" spans="1:6" x14ac:dyDescent="0.25">
      <c r="A94" s="391" t="s">
        <v>1260</v>
      </c>
      <c r="B94" s="390">
        <v>2</v>
      </c>
      <c r="C94" s="405">
        <v>2</v>
      </c>
      <c r="D94" s="390">
        <v>4</v>
      </c>
      <c r="E94" s="390">
        <v>2</v>
      </c>
      <c r="F94" s="390">
        <v>4</v>
      </c>
    </row>
    <row r="95" spans="1:6" x14ac:dyDescent="0.25">
      <c r="A95" s="391" t="s">
        <v>1266</v>
      </c>
      <c r="B95" s="390">
        <v>8</v>
      </c>
      <c r="C95" s="405">
        <v>8</v>
      </c>
      <c r="D95" s="390">
        <v>8</v>
      </c>
      <c r="E95" s="390">
        <v>8</v>
      </c>
      <c r="F95" s="390">
        <v>8</v>
      </c>
    </row>
    <row r="96" spans="1:6" x14ac:dyDescent="0.25">
      <c r="A96" s="391" t="s">
        <v>1295</v>
      </c>
      <c r="B96" s="390">
        <v>3</v>
      </c>
      <c r="C96" s="405">
        <v>3</v>
      </c>
      <c r="D96" s="390">
        <v>3</v>
      </c>
      <c r="E96" s="390">
        <v>3</v>
      </c>
      <c r="F96" s="390">
        <v>3</v>
      </c>
    </row>
    <row r="97" spans="1:6" x14ac:dyDescent="0.25">
      <c r="A97" s="391" t="s">
        <v>1300</v>
      </c>
      <c r="B97" s="390">
        <v>1</v>
      </c>
      <c r="C97" s="405">
        <v>1</v>
      </c>
      <c r="D97" s="390">
        <v>1</v>
      </c>
      <c r="E97" s="390">
        <v>1</v>
      </c>
      <c r="F97" s="390">
        <v>1</v>
      </c>
    </row>
    <row r="98" spans="1:6" x14ac:dyDescent="0.25">
      <c r="A98" s="391" t="s">
        <v>1303</v>
      </c>
      <c r="B98" s="390">
        <v>1</v>
      </c>
      <c r="C98" s="405">
        <v>1</v>
      </c>
      <c r="D98" s="390">
        <v>1</v>
      </c>
      <c r="E98" s="390">
        <v>1</v>
      </c>
      <c r="F98" s="390">
        <v>1</v>
      </c>
    </row>
    <row r="99" spans="1:6" x14ac:dyDescent="0.25">
      <c r="A99" s="391" t="s">
        <v>1306</v>
      </c>
      <c r="B99" s="390">
        <v>1</v>
      </c>
      <c r="C99" s="405">
        <v>1</v>
      </c>
      <c r="D99" s="390"/>
      <c r="E99" s="390"/>
      <c r="F99" s="390">
        <v>1</v>
      </c>
    </row>
    <row r="100" spans="1:6" x14ac:dyDescent="0.25">
      <c r="A100" s="391" t="s">
        <v>1309</v>
      </c>
      <c r="B100" s="390">
        <v>3</v>
      </c>
      <c r="C100" s="405">
        <v>3</v>
      </c>
      <c r="D100" s="390"/>
      <c r="E100" s="390"/>
      <c r="F100" s="390">
        <v>3</v>
      </c>
    </row>
    <row r="101" spans="1:6" x14ac:dyDescent="0.25">
      <c r="A101" s="389" t="s">
        <v>1315</v>
      </c>
      <c r="B101" s="390">
        <v>2</v>
      </c>
      <c r="C101" s="405">
        <v>7</v>
      </c>
      <c r="D101" s="390">
        <v>4</v>
      </c>
      <c r="E101" s="390">
        <v>2</v>
      </c>
      <c r="F101" s="390">
        <v>7</v>
      </c>
    </row>
    <row r="102" spans="1:6" x14ac:dyDescent="0.25">
      <c r="A102" s="391" t="s">
        <v>1316</v>
      </c>
      <c r="B102" s="390">
        <v>2</v>
      </c>
      <c r="C102" s="405">
        <v>7</v>
      </c>
      <c r="D102" s="390">
        <v>4</v>
      </c>
      <c r="E102" s="390">
        <v>2</v>
      </c>
      <c r="F102" s="390">
        <v>7</v>
      </c>
    </row>
    <row r="103" spans="1:6" x14ac:dyDescent="0.25">
      <c r="A103" s="389" t="s">
        <v>1328</v>
      </c>
      <c r="B103" s="390">
        <v>5</v>
      </c>
      <c r="C103" s="405">
        <v>9</v>
      </c>
      <c r="D103" s="390">
        <v>7</v>
      </c>
      <c r="E103" s="390">
        <v>5</v>
      </c>
      <c r="F103" s="390">
        <v>11</v>
      </c>
    </row>
    <row r="104" spans="1:6" x14ac:dyDescent="0.25">
      <c r="A104" s="391" t="s">
        <v>1330</v>
      </c>
      <c r="B104" s="390">
        <v>2</v>
      </c>
      <c r="C104" s="405">
        <v>4</v>
      </c>
      <c r="D104" s="390">
        <v>3</v>
      </c>
      <c r="E104" s="390">
        <v>3</v>
      </c>
      <c r="F104" s="390">
        <v>4</v>
      </c>
    </row>
    <row r="105" spans="1:6" x14ac:dyDescent="0.25">
      <c r="A105" s="391" t="s">
        <v>1340</v>
      </c>
      <c r="B105" s="390">
        <v>2</v>
      </c>
      <c r="C105" s="405">
        <v>2</v>
      </c>
      <c r="D105" s="390">
        <v>2</v>
      </c>
      <c r="E105" s="390">
        <v>1</v>
      </c>
      <c r="F105" s="390">
        <v>3</v>
      </c>
    </row>
    <row r="106" spans="1:6" x14ac:dyDescent="0.25">
      <c r="A106" s="391" t="s">
        <v>1345</v>
      </c>
      <c r="B106" s="390">
        <v>1</v>
      </c>
      <c r="C106" s="405"/>
      <c r="D106" s="390">
        <v>1</v>
      </c>
      <c r="E106" s="390"/>
      <c r="F106" s="390">
        <v>1</v>
      </c>
    </row>
    <row r="107" spans="1:6" x14ac:dyDescent="0.25">
      <c r="A107" s="391" t="s">
        <v>1349</v>
      </c>
      <c r="B107" s="390"/>
      <c r="C107" s="405">
        <v>3</v>
      </c>
      <c r="D107" s="390">
        <v>1</v>
      </c>
      <c r="E107" s="390">
        <v>1</v>
      </c>
      <c r="F107" s="390">
        <v>3</v>
      </c>
    </row>
    <row r="108" spans="1:6" x14ac:dyDescent="0.25">
      <c r="A108" s="389" t="s">
        <v>1354</v>
      </c>
      <c r="B108" s="390">
        <v>14</v>
      </c>
      <c r="C108" s="405">
        <v>24</v>
      </c>
      <c r="D108" s="390">
        <v>13</v>
      </c>
      <c r="E108" s="390">
        <v>13</v>
      </c>
      <c r="F108" s="390">
        <v>34</v>
      </c>
    </row>
    <row r="109" spans="1:6" x14ac:dyDescent="0.25">
      <c r="A109" s="391" t="s">
        <v>1356</v>
      </c>
      <c r="B109" s="390"/>
      <c r="C109" s="405">
        <v>4</v>
      </c>
      <c r="D109" s="390">
        <v>1</v>
      </c>
      <c r="E109" s="390">
        <v>1</v>
      </c>
      <c r="F109" s="390">
        <v>9</v>
      </c>
    </row>
    <row r="110" spans="1:6" x14ac:dyDescent="0.25">
      <c r="A110" s="391" t="s">
        <v>1369</v>
      </c>
      <c r="B110" s="390">
        <v>4</v>
      </c>
      <c r="C110" s="405">
        <v>4</v>
      </c>
      <c r="D110" s="390">
        <v>3</v>
      </c>
      <c r="E110" s="390">
        <v>3</v>
      </c>
      <c r="F110" s="390">
        <v>4</v>
      </c>
    </row>
    <row r="111" spans="1:6" x14ac:dyDescent="0.25">
      <c r="A111" s="391" t="s">
        <v>1377</v>
      </c>
      <c r="B111" s="390">
        <v>1</v>
      </c>
      <c r="C111" s="405">
        <v>2</v>
      </c>
      <c r="D111" s="390"/>
      <c r="E111" s="390"/>
      <c r="F111" s="390">
        <v>3</v>
      </c>
    </row>
    <row r="112" spans="1:6" x14ac:dyDescent="0.25">
      <c r="A112" s="391" t="s">
        <v>1388</v>
      </c>
      <c r="B112" s="390">
        <v>7</v>
      </c>
      <c r="C112" s="405">
        <v>6</v>
      </c>
      <c r="D112" s="390">
        <v>7</v>
      </c>
      <c r="E112" s="390">
        <v>7</v>
      </c>
      <c r="F112" s="390">
        <v>10</v>
      </c>
    </row>
    <row r="113" spans="1:6" x14ac:dyDescent="0.25">
      <c r="A113" s="391" t="s">
        <v>1431</v>
      </c>
      <c r="B113" s="390">
        <v>2</v>
      </c>
      <c r="C113" s="405">
        <v>2</v>
      </c>
      <c r="D113" s="390">
        <v>2</v>
      </c>
      <c r="E113" s="390">
        <v>2</v>
      </c>
      <c r="F113" s="390">
        <v>2</v>
      </c>
    </row>
    <row r="114" spans="1:6" x14ac:dyDescent="0.25">
      <c r="A114" s="391" t="s">
        <v>1444</v>
      </c>
      <c r="B114" s="390"/>
      <c r="C114" s="405">
        <v>6</v>
      </c>
      <c r="D114" s="390"/>
      <c r="E114" s="390"/>
      <c r="F114" s="390">
        <v>6</v>
      </c>
    </row>
    <row r="115" spans="1:6" x14ac:dyDescent="0.25">
      <c r="A115" s="389" t="s">
        <v>1454</v>
      </c>
      <c r="B115" s="390">
        <v>38</v>
      </c>
      <c r="C115" s="405">
        <v>47</v>
      </c>
      <c r="D115" s="390">
        <v>45</v>
      </c>
      <c r="E115" s="390">
        <v>45</v>
      </c>
      <c r="F115" s="390">
        <v>52</v>
      </c>
    </row>
    <row r="116" spans="1:6" x14ac:dyDescent="0.25">
      <c r="A116" s="391" t="s">
        <v>1456</v>
      </c>
      <c r="B116" s="390">
        <v>9</v>
      </c>
      <c r="C116" s="405">
        <v>15</v>
      </c>
      <c r="D116" s="390">
        <v>15</v>
      </c>
      <c r="E116" s="390">
        <v>15</v>
      </c>
      <c r="F116" s="390">
        <v>16</v>
      </c>
    </row>
    <row r="117" spans="1:6" x14ac:dyDescent="0.25">
      <c r="A117" s="391" t="s">
        <v>1483</v>
      </c>
      <c r="B117" s="390">
        <v>5</v>
      </c>
      <c r="C117" s="405">
        <v>5</v>
      </c>
      <c r="D117" s="390">
        <v>5</v>
      </c>
      <c r="E117" s="390">
        <v>5</v>
      </c>
      <c r="F117" s="390">
        <v>5</v>
      </c>
    </row>
    <row r="118" spans="1:6" x14ac:dyDescent="0.25">
      <c r="A118" s="391" t="s">
        <v>1493</v>
      </c>
      <c r="B118" s="390">
        <v>3</v>
      </c>
      <c r="C118" s="405">
        <v>3</v>
      </c>
      <c r="D118" s="390">
        <v>3</v>
      </c>
      <c r="E118" s="390">
        <v>3</v>
      </c>
      <c r="F118" s="390">
        <v>3</v>
      </c>
    </row>
    <row r="119" spans="1:6" x14ac:dyDescent="0.25">
      <c r="A119" s="391" t="s">
        <v>1508</v>
      </c>
      <c r="B119" s="390">
        <v>4</v>
      </c>
      <c r="C119" s="405">
        <v>5</v>
      </c>
      <c r="D119" s="390">
        <v>4</v>
      </c>
      <c r="E119" s="390">
        <v>5</v>
      </c>
      <c r="F119" s="390">
        <v>5</v>
      </c>
    </row>
    <row r="120" spans="1:6" x14ac:dyDescent="0.25">
      <c r="A120" s="391" t="s">
        <v>1517</v>
      </c>
      <c r="B120" s="390">
        <v>10</v>
      </c>
      <c r="C120" s="405">
        <v>7</v>
      </c>
      <c r="D120" s="390">
        <v>6</v>
      </c>
      <c r="E120" s="390">
        <v>6</v>
      </c>
      <c r="F120" s="390">
        <v>11</v>
      </c>
    </row>
    <row r="121" spans="1:6" x14ac:dyDescent="0.25">
      <c r="A121" s="391" t="s">
        <v>1542</v>
      </c>
      <c r="B121" s="390">
        <v>4</v>
      </c>
      <c r="C121" s="405">
        <v>4</v>
      </c>
      <c r="D121" s="390">
        <v>4</v>
      </c>
      <c r="E121" s="390">
        <v>4</v>
      </c>
      <c r="F121" s="390">
        <v>4</v>
      </c>
    </row>
    <row r="122" spans="1:6" x14ac:dyDescent="0.25">
      <c r="A122" s="391" t="s">
        <v>1550</v>
      </c>
      <c r="B122" s="390">
        <v>3</v>
      </c>
      <c r="C122" s="405">
        <v>8</v>
      </c>
      <c r="D122" s="390">
        <v>8</v>
      </c>
      <c r="E122" s="390">
        <v>7</v>
      </c>
      <c r="F122" s="390">
        <v>8</v>
      </c>
    </row>
    <row r="123" spans="1:6" x14ac:dyDescent="0.25">
      <c r="A123" s="389" t="s">
        <v>1741</v>
      </c>
      <c r="B123" s="390">
        <v>2</v>
      </c>
      <c r="C123" s="405">
        <v>2</v>
      </c>
      <c r="D123" s="390">
        <v>1</v>
      </c>
      <c r="E123" s="390">
        <v>1</v>
      </c>
      <c r="F123" s="390">
        <v>2</v>
      </c>
    </row>
    <row r="124" spans="1:6" x14ac:dyDescent="0.25">
      <c r="A124" s="391" t="s">
        <v>1742</v>
      </c>
      <c r="B124" s="390">
        <v>2</v>
      </c>
      <c r="C124" s="405">
        <v>2</v>
      </c>
      <c r="D124" s="390">
        <v>1</v>
      </c>
      <c r="E124" s="390">
        <v>1</v>
      </c>
      <c r="F124" s="390">
        <v>2</v>
      </c>
    </row>
    <row r="125" spans="1:6" x14ac:dyDescent="0.25">
      <c r="A125" s="389" t="s">
        <v>1569</v>
      </c>
      <c r="B125" s="390">
        <v>12</v>
      </c>
      <c r="C125" s="405">
        <v>28</v>
      </c>
      <c r="D125" s="390">
        <v>15</v>
      </c>
      <c r="E125" s="390">
        <v>15</v>
      </c>
      <c r="F125" s="390">
        <v>37</v>
      </c>
    </row>
    <row r="126" spans="1:6" x14ac:dyDescent="0.25">
      <c r="A126" s="391" t="s">
        <v>1576</v>
      </c>
      <c r="B126" s="390">
        <v>2</v>
      </c>
      <c r="C126" s="405">
        <v>2</v>
      </c>
      <c r="D126" s="390">
        <v>3</v>
      </c>
      <c r="E126" s="390">
        <v>4</v>
      </c>
      <c r="F126" s="390">
        <v>4</v>
      </c>
    </row>
    <row r="127" spans="1:6" x14ac:dyDescent="0.25">
      <c r="A127" s="391" t="s">
        <v>1586</v>
      </c>
      <c r="B127" s="390"/>
      <c r="C127" s="405">
        <v>6</v>
      </c>
      <c r="D127" s="390"/>
      <c r="E127" s="390"/>
      <c r="F127" s="390">
        <v>7</v>
      </c>
    </row>
    <row r="128" spans="1:6" x14ac:dyDescent="0.25">
      <c r="A128" s="391" t="s">
        <v>1613</v>
      </c>
      <c r="B128" s="390">
        <v>2</v>
      </c>
      <c r="C128" s="405">
        <v>5</v>
      </c>
      <c r="D128" s="390">
        <v>4</v>
      </c>
      <c r="E128" s="390">
        <v>3</v>
      </c>
      <c r="F128" s="390">
        <v>6</v>
      </c>
    </row>
    <row r="129" spans="1:6" x14ac:dyDescent="0.25">
      <c r="A129" s="391" t="s">
        <v>1622</v>
      </c>
      <c r="B129" s="390">
        <v>1</v>
      </c>
      <c r="C129" s="405">
        <v>1</v>
      </c>
      <c r="D129" s="390"/>
      <c r="E129" s="390"/>
      <c r="F129" s="390">
        <v>3</v>
      </c>
    </row>
    <row r="130" spans="1:6" x14ac:dyDescent="0.25">
      <c r="A130" s="391" t="s">
        <v>1628</v>
      </c>
      <c r="B130" s="390">
        <v>2</v>
      </c>
      <c r="C130" s="405">
        <v>3</v>
      </c>
      <c r="D130" s="390"/>
      <c r="E130" s="390"/>
      <c r="F130" s="390">
        <v>5</v>
      </c>
    </row>
    <row r="131" spans="1:6" x14ac:dyDescent="0.25">
      <c r="A131" s="391" t="s">
        <v>1980</v>
      </c>
      <c r="B131" s="390">
        <v>4</v>
      </c>
      <c r="C131" s="405">
        <v>4</v>
      </c>
      <c r="D131" s="390">
        <v>2</v>
      </c>
      <c r="E131" s="390">
        <v>2</v>
      </c>
      <c r="F131" s="390">
        <v>4</v>
      </c>
    </row>
    <row r="132" spans="1:6" x14ac:dyDescent="0.25">
      <c r="A132" s="391" t="s">
        <v>1981</v>
      </c>
      <c r="B132" s="390"/>
      <c r="C132" s="405">
        <v>1</v>
      </c>
      <c r="D132" s="390"/>
      <c r="E132" s="390"/>
      <c r="F132" s="390">
        <v>1</v>
      </c>
    </row>
    <row r="133" spans="1:6" x14ac:dyDescent="0.25">
      <c r="A133" s="391" t="s">
        <v>1982</v>
      </c>
      <c r="B133" s="390">
        <v>1</v>
      </c>
      <c r="C133" s="405">
        <v>6</v>
      </c>
      <c r="D133" s="390">
        <v>6</v>
      </c>
      <c r="E133" s="390">
        <v>6</v>
      </c>
      <c r="F133" s="390">
        <v>7</v>
      </c>
    </row>
    <row r="134" spans="1:6" x14ac:dyDescent="0.25">
      <c r="A134" s="389" t="s">
        <v>1635</v>
      </c>
      <c r="B134" s="390">
        <v>7</v>
      </c>
      <c r="C134" s="405">
        <v>8</v>
      </c>
      <c r="D134" s="390">
        <v>7</v>
      </c>
      <c r="E134" s="390">
        <v>6</v>
      </c>
      <c r="F134" s="390">
        <v>9</v>
      </c>
    </row>
    <row r="135" spans="1:6" x14ac:dyDescent="0.25">
      <c r="A135" s="391" t="s">
        <v>1636</v>
      </c>
      <c r="B135" s="390">
        <v>7</v>
      </c>
      <c r="C135" s="405">
        <v>8</v>
      </c>
      <c r="D135" s="390">
        <v>7</v>
      </c>
      <c r="E135" s="390">
        <v>6</v>
      </c>
      <c r="F135" s="390">
        <v>9</v>
      </c>
    </row>
    <row r="136" spans="1:6" x14ac:dyDescent="0.25">
      <c r="A136" s="389" t="s">
        <v>1666</v>
      </c>
      <c r="B136" s="390">
        <v>4</v>
      </c>
      <c r="C136" s="405">
        <v>4</v>
      </c>
      <c r="D136" s="390">
        <v>2</v>
      </c>
      <c r="E136" s="390">
        <v>2</v>
      </c>
      <c r="F136" s="390">
        <v>4</v>
      </c>
    </row>
    <row r="137" spans="1:6" x14ac:dyDescent="0.25">
      <c r="A137" s="391" t="s">
        <v>1667</v>
      </c>
      <c r="B137" s="390">
        <v>4</v>
      </c>
      <c r="C137" s="405">
        <v>4</v>
      </c>
      <c r="D137" s="390">
        <v>2</v>
      </c>
      <c r="E137" s="390">
        <v>2</v>
      </c>
      <c r="F137" s="390">
        <v>4</v>
      </c>
    </row>
    <row r="138" spans="1:6" x14ac:dyDescent="0.25">
      <c r="A138" s="389" t="s">
        <v>1674</v>
      </c>
      <c r="B138" s="390">
        <v>6</v>
      </c>
      <c r="C138" s="405">
        <v>7</v>
      </c>
      <c r="D138" s="390">
        <v>7</v>
      </c>
      <c r="E138" s="390">
        <v>6</v>
      </c>
      <c r="F138" s="390">
        <v>7</v>
      </c>
    </row>
    <row r="139" spans="1:6" x14ac:dyDescent="0.25">
      <c r="A139" s="391" t="s">
        <v>1676</v>
      </c>
      <c r="B139" s="390">
        <v>6</v>
      </c>
      <c r="C139" s="405">
        <v>7</v>
      </c>
      <c r="D139" s="390">
        <v>7</v>
      </c>
      <c r="E139" s="390">
        <v>6</v>
      </c>
      <c r="F139" s="390">
        <v>7</v>
      </c>
    </row>
    <row r="140" spans="1:6" x14ac:dyDescent="0.25">
      <c r="A140" s="389" t="s">
        <v>1696</v>
      </c>
      <c r="B140" s="390">
        <v>7</v>
      </c>
      <c r="C140" s="405">
        <v>8</v>
      </c>
      <c r="D140" s="390">
        <v>4</v>
      </c>
      <c r="E140" s="390">
        <v>4</v>
      </c>
      <c r="F140" s="390">
        <v>9</v>
      </c>
    </row>
    <row r="141" spans="1:6" x14ac:dyDescent="0.25">
      <c r="A141" s="391" t="s">
        <v>1697</v>
      </c>
      <c r="B141" s="390">
        <v>7</v>
      </c>
      <c r="C141" s="405">
        <v>7</v>
      </c>
      <c r="D141" s="390">
        <v>4</v>
      </c>
      <c r="E141" s="390">
        <v>4</v>
      </c>
      <c r="F141" s="390">
        <v>8</v>
      </c>
    </row>
    <row r="142" spans="1:6" x14ac:dyDescent="0.25">
      <c r="A142" s="391">
        <v>0</v>
      </c>
      <c r="B142" s="390"/>
      <c r="C142" s="405">
        <v>1</v>
      </c>
      <c r="D142" s="390"/>
      <c r="E142" s="390"/>
      <c r="F142" s="390">
        <v>1</v>
      </c>
    </row>
    <row r="143" spans="1:6" x14ac:dyDescent="0.25">
      <c r="A143" s="393" t="s">
        <v>1897</v>
      </c>
      <c r="B143" s="390"/>
      <c r="C143" s="405">
        <v>1</v>
      </c>
      <c r="D143" s="390"/>
      <c r="E143" s="390"/>
      <c r="F143" s="390">
        <v>1</v>
      </c>
    </row>
    <row r="144" spans="1:6" x14ac:dyDescent="0.25">
      <c r="A144" s="389" t="s">
        <v>1724</v>
      </c>
      <c r="B144" s="390">
        <v>4</v>
      </c>
      <c r="C144" s="405">
        <v>4</v>
      </c>
      <c r="D144" s="390">
        <v>2</v>
      </c>
      <c r="E144" s="390">
        <v>2</v>
      </c>
      <c r="F144" s="390">
        <v>4</v>
      </c>
    </row>
    <row r="145" spans="1:6" x14ac:dyDescent="0.25">
      <c r="A145" s="391" t="s">
        <v>1725</v>
      </c>
      <c r="B145" s="390">
        <v>4</v>
      </c>
      <c r="C145" s="405">
        <v>4</v>
      </c>
      <c r="D145" s="390">
        <v>2</v>
      </c>
      <c r="E145" s="390">
        <v>2</v>
      </c>
      <c r="F145" s="390">
        <v>4</v>
      </c>
    </row>
    <row r="146" spans="1:6" x14ac:dyDescent="0.25">
      <c r="A146" s="389" t="s">
        <v>1731</v>
      </c>
      <c r="B146" s="390">
        <v>2</v>
      </c>
      <c r="C146" s="405">
        <v>2</v>
      </c>
      <c r="D146" s="390">
        <v>2</v>
      </c>
      <c r="E146" s="390">
        <v>2</v>
      </c>
      <c r="F146" s="390">
        <v>2</v>
      </c>
    </row>
    <row r="147" spans="1:6" x14ac:dyDescent="0.25">
      <c r="A147" s="391" t="s">
        <v>1732</v>
      </c>
      <c r="B147" s="390">
        <v>2</v>
      </c>
      <c r="C147" s="405">
        <v>2</v>
      </c>
      <c r="D147" s="390">
        <v>2</v>
      </c>
      <c r="E147" s="390">
        <v>2</v>
      </c>
      <c r="F147" s="390">
        <v>2</v>
      </c>
    </row>
    <row r="148" spans="1:6" x14ac:dyDescent="0.25">
      <c r="A148" s="389" t="s">
        <v>1736</v>
      </c>
      <c r="B148" s="390">
        <v>2</v>
      </c>
      <c r="C148" s="405">
        <v>2</v>
      </c>
      <c r="D148" s="390">
        <v>2</v>
      </c>
      <c r="E148" s="390">
        <v>2</v>
      </c>
      <c r="F148" s="390">
        <v>2</v>
      </c>
    </row>
    <row r="149" spans="1:6" x14ac:dyDescent="0.25">
      <c r="A149" s="391" t="s">
        <v>1737</v>
      </c>
      <c r="B149" s="390">
        <v>2</v>
      </c>
      <c r="C149" s="405">
        <v>2</v>
      </c>
      <c r="D149" s="390">
        <v>2</v>
      </c>
      <c r="E149" s="390">
        <v>2</v>
      </c>
      <c r="F149" s="390">
        <v>2</v>
      </c>
    </row>
    <row r="150" spans="1:6" x14ac:dyDescent="0.25">
      <c r="A150" s="389" t="s">
        <v>1752</v>
      </c>
      <c r="B150" s="390">
        <v>388</v>
      </c>
      <c r="C150" s="405">
        <v>472</v>
      </c>
      <c r="D150" s="390">
        <v>387</v>
      </c>
      <c r="E150" s="390">
        <v>366</v>
      </c>
      <c r="F150" s="390">
        <v>555</v>
      </c>
    </row>
    <row r="151" spans="1:6" x14ac:dyDescent="0.25">
      <c r="C15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1059C-6A60-4D19-8187-EFF39C335E57}">
  <sheetPr codeName="Hoja6" filterMode="1">
    <pageSetUpPr fitToPage="1"/>
  </sheetPr>
  <dimension ref="A3:M187"/>
  <sheetViews>
    <sheetView topLeftCell="B5" workbookViewId="0">
      <selection activeCell="J11" sqref="J11:L90"/>
    </sheetView>
  </sheetViews>
  <sheetFormatPr baseColWidth="10" defaultRowHeight="15" x14ac:dyDescent="0.25"/>
  <cols>
    <col min="1" max="1" width="24.42578125" customWidth="1"/>
    <col min="2" max="2" width="8.28515625" style="214" customWidth="1"/>
    <col min="3" max="3" width="70.7109375" style="109" customWidth="1"/>
    <col min="4" max="7" width="14.7109375" customWidth="1"/>
    <col min="9" max="9" width="7.7109375" bestFit="1" customWidth="1"/>
    <col min="11" max="11" width="15.28515625" customWidth="1"/>
    <col min="12" max="12" width="17.42578125" customWidth="1"/>
  </cols>
  <sheetData>
    <row r="3" spans="1:13" x14ac:dyDescent="0.25">
      <c r="A3" s="623" t="s">
        <v>2021</v>
      </c>
      <c r="B3" s="624"/>
      <c r="C3" s="624"/>
      <c r="D3" s="624"/>
    </row>
    <row r="4" spans="1:13" x14ac:dyDescent="0.25">
      <c r="A4" s="624"/>
      <c r="B4" s="624"/>
      <c r="C4" s="624"/>
      <c r="D4" s="624"/>
    </row>
    <row r="5" spans="1:13" x14ac:dyDescent="0.25">
      <c r="A5" s="624"/>
      <c r="B5" s="624"/>
      <c r="C5" s="624"/>
      <c r="D5" s="624"/>
    </row>
    <row r="6" spans="1:13" x14ac:dyDescent="0.25">
      <c r="A6" s="624"/>
      <c r="B6" s="624"/>
      <c r="C6" s="624"/>
      <c r="D6" s="624"/>
    </row>
    <row r="7" spans="1:13" x14ac:dyDescent="0.25">
      <c r="A7" t="s">
        <v>1836</v>
      </c>
      <c r="B7" s="214" t="s">
        <v>2022</v>
      </c>
    </row>
    <row r="8" spans="1:13" x14ac:dyDescent="0.25">
      <c r="A8" t="s">
        <v>1837</v>
      </c>
      <c r="B8" s="214" t="s">
        <v>1838</v>
      </c>
    </row>
    <row r="9" spans="1:13" ht="63" x14ac:dyDescent="0.25">
      <c r="A9" s="201" t="s">
        <v>1834</v>
      </c>
      <c r="B9" s="201" t="s">
        <v>1833</v>
      </c>
      <c r="C9" s="201" t="s">
        <v>1835</v>
      </c>
      <c r="D9" s="201" t="s">
        <v>1813</v>
      </c>
      <c r="E9" s="201" t="s">
        <v>1974</v>
      </c>
      <c r="F9" s="496" t="s">
        <v>1811</v>
      </c>
      <c r="G9" s="497" t="s">
        <v>2030</v>
      </c>
    </row>
    <row r="10" spans="1:13" ht="21" x14ac:dyDescent="0.35">
      <c r="A10" s="192" t="str">
        <f>'CUMPLIMIENTO '!A10</f>
        <v>PDD</v>
      </c>
      <c r="B10" s="301">
        <f>'CUMPLIMIENTO '!B10</f>
        <v>0</v>
      </c>
      <c r="C10" s="307" t="str">
        <f>'CUMPLIMIENTO '!C10</f>
        <v>BOLIVAR PRIMERO 2020 - 2023</v>
      </c>
      <c r="D10" s="302">
        <f>'CUMPLIMIENTO '!D10</f>
        <v>554</v>
      </c>
      <c r="E10" s="302">
        <f>'CUMPLIMIENTO '!F10</f>
        <v>475</v>
      </c>
      <c r="F10" s="285">
        <f>'CUMPLIMIENTO '!G10</f>
        <v>0.26338387305792299</v>
      </c>
      <c r="G10" s="285">
        <f>'CUMPLIMIENTO '!H10</f>
        <v>0.28726565544596755</v>
      </c>
    </row>
    <row r="11" spans="1:13" ht="18.75" x14ac:dyDescent="0.25">
      <c r="A11" s="222" t="str">
        <f>'CUMPLIMIENTO '!A11</f>
        <v>EJE ESTRATEGICO</v>
      </c>
      <c r="B11" s="223">
        <f>'CUMPLIMIENTO '!B11</f>
        <v>1</v>
      </c>
      <c r="C11" s="222" t="str">
        <f>'CUMPLIMIENTO '!C11</f>
        <v>BOLIVAR PROGRESA, SUPERACIÓN DE LA POBREZA</v>
      </c>
      <c r="D11" s="224">
        <f>'CUMPLIMIENTO '!D11</f>
        <v>219</v>
      </c>
      <c r="E11" s="224">
        <f>'CUMPLIMIENTO '!F11</f>
        <v>196</v>
      </c>
      <c r="F11" s="225">
        <f>'CUMPLIMIENTO '!G11</f>
        <v>0.28346507642507995</v>
      </c>
      <c r="G11" s="225">
        <f>'CUMPLIMIENTO '!H11</f>
        <v>0.33973499765782816</v>
      </c>
      <c r="K11" s="515" t="s">
        <v>2033</v>
      </c>
      <c r="L11" s="515" t="s">
        <v>2034</v>
      </c>
      <c r="M11" s="516"/>
    </row>
    <row r="12" spans="1:13" s="110" customFormat="1" ht="15.75" hidden="1" x14ac:dyDescent="0.25">
      <c r="A12" s="202" t="str">
        <f>'CUMPLIMIENTO '!A12</f>
        <v>LINEA</v>
      </c>
      <c r="B12" s="203" t="str">
        <f>'CUMPLIMIENTO '!B12</f>
        <v xml:space="preserve">1.1 </v>
      </c>
      <c r="C12" s="202" t="str">
        <f>'CUMPLIMIENTO '!C12</f>
        <v>PLAN DEPARTAMENTAL DE EMERGENCIA SOCIAL PARA LA IGUALDAD Y LA INCLUSIÓN</v>
      </c>
      <c r="D12" s="216">
        <f>'CUMPLIMIENTO '!D12</f>
        <v>14</v>
      </c>
      <c r="E12" s="216">
        <f>'CUMPLIMIENTO '!E12</f>
        <v>6</v>
      </c>
      <c r="F12" s="217">
        <f>'CUMPLIMIENTO '!G12</f>
        <v>0.10410714285714286</v>
      </c>
      <c r="G12" s="218">
        <f>'CUMPLIMIENTO '!H12</f>
        <v>0.33333333333333331</v>
      </c>
      <c r="I12"/>
    </row>
    <row r="13" spans="1:13" s="110" customFormat="1" ht="30" hidden="1" x14ac:dyDescent="0.25">
      <c r="A13" s="208" t="str">
        <f>'CUMPLIMIENTO '!A13</f>
        <v>PROGRAMA</v>
      </c>
      <c r="B13" s="209" t="str">
        <f>'CUMPLIMIENTO '!B13</f>
        <v>1.1.1</v>
      </c>
      <c r="C13" s="210" t="str">
        <f>'CUMPLIMIENTO '!C13</f>
        <v>Plan departamental de emergencia social para la igualdad y la inclusión PLADES.</v>
      </c>
      <c r="D13" s="211">
        <f>'CUMPLIMIENTO '!D13</f>
        <v>14</v>
      </c>
      <c r="E13" s="211">
        <f>'CUMPLIMIENTO '!E13</f>
        <v>6</v>
      </c>
      <c r="F13" s="212">
        <f>'CUMPLIMIENTO '!G13</f>
        <v>0.10410714285714286</v>
      </c>
      <c r="G13" s="212">
        <f>'CUMPLIMIENTO '!H13</f>
        <v>0.33333333333333331</v>
      </c>
      <c r="I13"/>
    </row>
    <row r="14" spans="1:13" ht="15.75" hidden="1" x14ac:dyDescent="0.25">
      <c r="A14" s="202" t="str">
        <f>'CUMPLIMIENTO '!A14</f>
        <v>LINEA</v>
      </c>
      <c r="B14" s="203" t="str">
        <f>'CUMPLIMIENTO '!B14</f>
        <v xml:space="preserve">1.2 </v>
      </c>
      <c r="C14" s="202" t="str">
        <f>'CUMPLIMIENTO '!C14</f>
        <v>BOLÍVAR PRIMERO EDUCA</v>
      </c>
      <c r="D14" s="216">
        <f>'CUMPLIMIENTO '!D14</f>
        <v>43</v>
      </c>
      <c r="E14" s="216">
        <f>'CUMPLIMIENTO '!E14</f>
        <v>34</v>
      </c>
      <c r="F14" s="217">
        <f>'CUMPLIMIENTO '!G14</f>
        <v>0.380217289810165</v>
      </c>
      <c r="G14" s="218">
        <f>'CUMPLIMIENTO '!H14</f>
        <v>0.35092007988259732</v>
      </c>
    </row>
    <row r="15" spans="1:13" ht="15.75" hidden="1" x14ac:dyDescent="0.25">
      <c r="A15" s="198" t="str">
        <f>'CUMPLIMIENTO '!A15</f>
        <v>PROGRAMA</v>
      </c>
      <c r="B15" s="106" t="str">
        <f>'CUMPLIMIENTO '!B15</f>
        <v>1.2.1</v>
      </c>
      <c r="C15" s="111" t="str">
        <f>'CUMPLIMIENTO '!C15</f>
        <v>Bolívar Primero en calidad educativa.</v>
      </c>
      <c r="D15" s="199">
        <f>'CUMPLIMIENTO '!D15</f>
        <v>21</v>
      </c>
      <c r="E15" s="199">
        <f>'CUMPLIMIENTO '!E15</f>
        <v>15</v>
      </c>
      <c r="F15" s="61">
        <f>'CUMPLIMIENTO '!G15</f>
        <v>0.34098599173680866</v>
      </c>
      <c r="G15" s="61">
        <f>'CUMPLIMIENTO '!H15</f>
        <v>0.12839000155255395</v>
      </c>
    </row>
    <row r="16" spans="1:13" ht="15.75" hidden="1" x14ac:dyDescent="0.25">
      <c r="A16" s="198" t="str">
        <f>'CUMPLIMIENTO '!A16</f>
        <v>PROGRAMA</v>
      </c>
      <c r="B16" s="106" t="str">
        <f>'CUMPLIMIENTO '!B16</f>
        <v>1.2.2</v>
      </c>
      <c r="C16" s="111" t="str">
        <f>'CUMPLIMIENTO '!C16</f>
        <v>Bolívar primero en cobertura.</v>
      </c>
      <c r="D16" s="199">
        <f>'CUMPLIMIENTO '!D16</f>
        <v>8</v>
      </c>
      <c r="E16" s="199">
        <f>'CUMPLIMIENTO '!E16</f>
        <v>7</v>
      </c>
      <c r="F16" s="61">
        <f>'CUMPLIMIENTO '!G16</f>
        <v>0.38777812259164557</v>
      </c>
      <c r="G16" s="61">
        <f>'CUMPLIMIENTO '!H16</f>
        <v>0.40960833333333335</v>
      </c>
    </row>
    <row r="17" spans="1:7" ht="15.75" hidden="1" x14ac:dyDescent="0.25">
      <c r="A17" s="198" t="str">
        <f>'CUMPLIMIENTO '!A17</f>
        <v>PROGRAMA</v>
      </c>
      <c r="B17" s="106" t="str">
        <f>'CUMPLIMIENTO '!B17</f>
        <v>1.2.3</v>
      </c>
      <c r="C17" s="111" t="str">
        <f>'CUMPLIMIENTO '!C17</f>
        <v>Bolívar primero en eficiencia y fortalecimiento institucional de la educación</v>
      </c>
      <c r="D17" s="199">
        <f>'CUMPLIMIENTO '!D17</f>
        <v>14</v>
      </c>
      <c r="E17" s="199">
        <f>'CUMPLIMIENTO '!E17</f>
        <v>12</v>
      </c>
      <c r="F17" s="61">
        <f>'CUMPLIMIENTO '!G17</f>
        <v>0.41188775510204084</v>
      </c>
      <c r="G17" s="61">
        <f>'CUMPLIMIENTO '!H17</f>
        <v>0.51476190476190475</v>
      </c>
    </row>
    <row r="18" spans="1:7" ht="15.75" hidden="1" x14ac:dyDescent="0.25">
      <c r="A18" s="202" t="str">
        <f>'CUMPLIMIENTO '!A18</f>
        <v>LINEA</v>
      </c>
      <c r="B18" s="203" t="str">
        <f>'CUMPLIMIENTO '!B18</f>
        <v>1.3</v>
      </c>
      <c r="C18" s="202" t="str">
        <f>'CUMPLIMIENTO '!C18</f>
        <v>BOLIVAR PRIMERO EN SALUD</v>
      </c>
      <c r="D18" s="216">
        <f>'CUMPLIMIENTO '!D18</f>
        <v>100</v>
      </c>
      <c r="E18" s="216">
        <f>'CUMPLIMIENTO '!E18</f>
        <v>100</v>
      </c>
      <c r="F18" s="217">
        <f>'CUMPLIMIENTO '!G18</f>
        <v>0.28725768020702352</v>
      </c>
      <c r="G18" s="218">
        <f>'CUMPLIMIENTO '!H18</f>
        <v>0.12644126449682005</v>
      </c>
    </row>
    <row r="19" spans="1:7" ht="15.75" hidden="1" x14ac:dyDescent="0.25">
      <c r="A19" s="198" t="str">
        <f>'CUMPLIMIENTO '!A19</f>
        <v>PROGRAMA</v>
      </c>
      <c r="B19" s="106" t="str">
        <f>'CUMPLIMIENTO '!B19</f>
        <v xml:space="preserve">1.3.1 </v>
      </c>
      <c r="C19" s="111" t="str">
        <f>'CUMPLIMIENTO '!C19</f>
        <v>Salud Ambiental</v>
      </c>
      <c r="D19" s="199">
        <f>'CUMPLIMIENTO '!D19</f>
        <v>6</v>
      </c>
      <c r="E19" s="199">
        <f>'CUMPLIMIENTO '!E19</f>
        <v>6</v>
      </c>
      <c r="F19" s="61">
        <f>'CUMPLIMIENTO '!G19</f>
        <v>0.30396365309408785</v>
      </c>
      <c r="G19" s="61">
        <f>'CUMPLIMIENTO '!H19</f>
        <v>8.8888888888888889E-3</v>
      </c>
    </row>
    <row r="20" spans="1:7" ht="15.75" hidden="1" x14ac:dyDescent="0.25">
      <c r="A20" s="198" t="str">
        <f>'CUMPLIMIENTO '!A20</f>
        <v>PROGRAMA</v>
      </c>
      <c r="B20" s="106" t="str">
        <f>'CUMPLIMIENTO '!B20</f>
        <v>1.3.2</v>
      </c>
      <c r="C20" s="111" t="str">
        <f>'CUMPLIMIENTO '!C20</f>
        <v>Vida Saludables y Condiciones no Transmisibles</v>
      </c>
      <c r="D20" s="199">
        <f>'CUMPLIMIENTO '!D20</f>
        <v>6</v>
      </c>
      <c r="E20" s="199">
        <f>'CUMPLIMIENTO '!E20</f>
        <v>6</v>
      </c>
      <c r="F20" s="61">
        <f>'CUMPLIMIENTO '!G20</f>
        <v>0.17453703703703705</v>
      </c>
      <c r="G20" s="61">
        <f>'CUMPLIMIENTO '!H20</f>
        <v>0</v>
      </c>
    </row>
    <row r="21" spans="1:7" ht="15.75" hidden="1" x14ac:dyDescent="0.25">
      <c r="A21" s="198" t="str">
        <f>'CUMPLIMIENTO '!A21</f>
        <v>PROGRAMA</v>
      </c>
      <c r="B21" s="106" t="str">
        <f>'CUMPLIMIENTO '!B21</f>
        <v>1.3.3</v>
      </c>
      <c r="C21" s="111" t="str">
        <f>'CUMPLIMIENTO '!C21</f>
        <v xml:space="preserve">Convivencia Social y Salud Mental </v>
      </c>
      <c r="D21" s="199">
        <f>'CUMPLIMIENTO '!D21</f>
        <v>4</v>
      </c>
      <c r="E21" s="199">
        <f>'CUMPLIMIENTO '!E21</f>
        <v>4</v>
      </c>
      <c r="F21" s="61">
        <f>'CUMPLIMIENTO '!G21</f>
        <v>0.22361111111111109</v>
      </c>
      <c r="G21" s="61">
        <f>'CUMPLIMIENTO '!H21</f>
        <v>6.1111111111111109E-2</v>
      </c>
    </row>
    <row r="22" spans="1:7" ht="15.75" hidden="1" x14ac:dyDescent="0.25">
      <c r="A22" s="198" t="str">
        <f>'CUMPLIMIENTO '!A22</f>
        <v>PROGRAMA</v>
      </c>
      <c r="B22" s="106" t="str">
        <f>'CUMPLIMIENTO '!B22</f>
        <v>1.3.4</v>
      </c>
      <c r="C22" s="111" t="str">
        <f>'CUMPLIMIENTO '!C22</f>
        <v>Seguridad Alimentaria y Nutricional</v>
      </c>
      <c r="D22" s="199">
        <f>'CUMPLIMIENTO '!D22</f>
        <v>9</v>
      </c>
      <c r="E22" s="199">
        <f>'CUMPLIMIENTO '!E22</f>
        <v>8</v>
      </c>
      <c r="F22" s="61">
        <f>'CUMPLIMIENTO '!G22</f>
        <v>0.16396604938271606</v>
      </c>
      <c r="G22" s="61">
        <f>'CUMPLIMIENTO '!H22</f>
        <v>7.407407407407407E-2</v>
      </c>
    </row>
    <row r="23" spans="1:7" ht="15.75" hidden="1" x14ac:dyDescent="0.25">
      <c r="A23" s="198" t="str">
        <f>'CUMPLIMIENTO '!A23</f>
        <v>PROGRAMA</v>
      </c>
      <c r="B23" s="106" t="str">
        <f>'CUMPLIMIENTO '!B23</f>
        <v>1.3.5</v>
      </c>
      <c r="C23" s="111" t="str">
        <f>'CUMPLIMIENTO '!C23</f>
        <v>Sexualidad, Derechos Sexuales y Reproductivos</v>
      </c>
      <c r="D23" s="199">
        <f>'CUMPLIMIENTO '!D23</f>
        <v>6</v>
      </c>
      <c r="E23" s="199">
        <f>'CUMPLIMIENTO '!E23</f>
        <v>6</v>
      </c>
      <c r="F23" s="61">
        <f>'CUMPLIMIENTO '!G23</f>
        <v>0.61435185185185182</v>
      </c>
      <c r="G23" s="61">
        <f>'CUMPLIMIENTO '!H23</f>
        <v>0.11851851851851848</v>
      </c>
    </row>
    <row r="24" spans="1:7" ht="15.75" hidden="1" x14ac:dyDescent="0.25">
      <c r="A24" s="198" t="str">
        <f>'CUMPLIMIENTO '!A24</f>
        <v>PROGRAMA</v>
      </c>
      <c r="B24" s="106" t="str">
        <f>'CUMPLIMIENTO '!B24</f>
        <v>1.3.6</v>
      </c>
      <c r="C24" s="111" t="str">
        <f>'CUMPLIMIENTO '!C24</f>
        <v>Vida Saludable y Enfermedades transmisibles</v>
      </c>
      <c r="D24" s="199">
        <f>'CUMPLIMIENTO '!D24</f>
        <v>10</v>
      </c>
      <c r="E24" s="199">
        <f>'CUMPLIMIENTO '!E24</f>
        <v>11</v>
      </c>
      <c r="F24" s="61">
        <f>'CUMPLIMIENTO '!G24</f>
        <v>0.38444444444444448</v>
      </c>
      <c r="G24" s="61">
        <f>'CUMPLIMIENTO '!H24</f>
        <v>0.35833333333333334</v>
      </c>
    </row>
    <row r="25" spans="1:7" ht="15.75" hidden="1" x14ac:dyDescent="0.25">
      <c r="A25" s="198" t="str">
        <f>'CUMPLIMIENTO '!A25</f>
        <v>PROGRAMA</v>
      </c>
      <c r="B25" s="106" t="str">
        <f>'CUMPLIMIENTO '!B25</f>
        <v>1.3.7</v>
      </c>
      <c r="C25" s="111" t="str">
        <f>'CUMPLIMIENTO '!C25</f>
        <v>Salud Publica en Emergencias y Desastres</v>
      </c>
      <c r="D25" s="199">
        <f>'CUMPLIMIENTO '!D25</f>
        <v>5</v>
      </c>
      <c r="E25" s="199">
        <f>'CUMPLIMIENTO '!E25</f>
        <v>4</v>
      </c>
      <c r="F25" s="61">
        <f>'CUMPLIMIENTO '!G25</f>
        <v>0.27913043478260868</v>
      </c>
      <c r="G25" s="61">
        <f>'CUMPLIMIENTO '!H25</f>
        <v>0.25</v>
      </c>
    </row>
    <row r="26" spans="1:7" ht="15.75" hidden="1" x14ac:dyDescent="0.25">
      <c r="A26" s="198" t="str">
        <f>'CUMPLIMIENTO '!A26</f>
        <v>PROGRAMA</v>
      </c>
      <c r="B26" s="106" t="str">
        <f>'CUMPLIMIENTO '!B26</f>
        <v>1.3.8</v>
      </c>
      <c r="C26" s="111" t="str">
        <f>'CUMPLIMIENTO '!C26</f>
        <v>Salud y Ambito Laboral</v>
      </c>
      <c r="D26" s="199">
        <f>'CUMPLIMIENTO '!D26</f>
        <v>4</v>
      </c>
      <c r="E26" s="199">
        <f>'CUMPLIMIENTO '!E26</f>
        <v>4</v>
      </c>
      <c r="F26" s="61">
        <f>'CUMPLIMIENTO '!G26</f>
        <v>0.21906565656565657</v>
      </c>
      <c r="G26" s="61">
        <f>'CUMPLIMIENTO '!H26</f>
        <v>0.25</v>
      </c>
    </row>
    <row r="27" spans="1:7" ht="15.75" hidden="1" x14ac:dyDescent="0.25">
      <c r="A27" s="198" t="str">
        <f>'CUMPLIMIENTO '!A27</f>
        <v>PROGRAMA</v>
      </c>
      <c r="B27" s="106" t="str">
        <f>'CUMPLIMIENTO '!B27</f>
        <v>1.3.9</v>
      </c>
      <c r="C27" s="111" t="str">
        <f>'CUMPLIMIENTO '!C27</f>
        <v>Gestión Diferencial de las Poblaciones Vulnerables</v>
      </c>
      <c r="D27" s="199">
        <f>'CUMPLIMIENTO '!D27</f>
        <v>22</v>
      </c>
      <c r="E27" s="199">
        <f>'CUMPLIMIENTO '!E27</f>
        <v>22</v>
      </c>
      <c r="F27" s="61">
        <f>'CUMPLIMIENTO '!G27</f>
        <v>0.22224888359369785</v>
      </c>
      <c r="G27" s="61">
        <f>'CUMPLIMIENTO '!H27</f>
        <v>1.7045454545454544E-2</v>
      </c>
    </row>
    <row r="28" spans="1:7" ht="15.75" hidden="1" x14ac:dyDescent="0.25">
      <c r="A28" s="198" t="str">
        <f>'CUMPLIMIENTO '!A28</f>
        <v>PROGRAMA</v>
      </c>
      <c r="B28" s="106" t="str">
        <f>'CUMPLIMIENTO '!B28</f>
        <v>1.3.10</v>
      </c>
      <c r="C28" s="111" t="str">
        <f>'CUMPLIMIENTO '!C28</f>
        <v>Fortalecimiento de la Autoridad Sanitaria en Salud</v>
      </c>
      <c r="D28" s="199">
        <f>'CUMPLIMIENTO '!D28</f>
        <v>28</v>
      </c>
      <c r="E28" s="200">
        <f>'CUMPLIMIENTO '!E28</f>
        <v>29</v>
      </c>
      <c r="F28" s="61">
        <f>'CUMPLIMIENTO '!G28</f>
        <v>0.29796334722086598</v>
      </c>
      <c r="G28" s="61">
        <f>'CUMPLIMIENTO '!H28</f>
        <v>0.29579782790309106</v>
      </c>
    </row>
    <row r="29" spans="1:7" ht="15.75" hidden="1" x14ac:dyDescent="0.25">
      <c r="A29" s="202" t="str">
        <f>'CUMPLIMIENTO '!A29</f>
        <v>LINEA</v>
      </c>
      <c r="B29" s="203" t="str">
        <f>'CUMPLIMIENTO '!B29</f>
        <v>1.4</v>
      </c>
      <c r="C29" s="202" t="str">
        <f>'CUMPLIMIENTO '!C29</f>
        <v>HÁBITAT</v>
      </c>
      <c r="D29" s="216">
        <f>'CUMPLIMIENTO '!D29</f>
        <v>8</v>
      </c>
      <c r="E29" s="216">
        <f>'CUMPLIMIENTO '!E29</f>
        <v>5</v>
      </c>
      <c r="F29" s="217">
        <f>'CUMPLIMIENTO '!G29</f>
        <v>0.19584814814814816</v>
      </c>
      <c r="G29" s="218">
        <f>'CUMPLIMIENTO '!H29</f>
        <v>0.63424242424242427</v>
      </c>
    </row>
    <row r="30" spans="1:7" ht="15.75" hidden="1" x14ac:dyDescent="0.25">
      <c r="A30" s="198" t="str">
        <f>'CUMPLIMIENTO '!A30</f>
        <v>PROGRAMA</v>
      </c>
      <c r="B30" s="106" t="str">
        <f>'CUMPLIMIENTO '!B30</f>
        <v>1.4.1</v>
      </c>
      <c r="C30" s="111" t="str">
        <f>'CUMPLIMIENTO '!C30</f>
        <v>Primero la vivienda</v>
      </c>
      <c r="D30" s="199">
        <f>'CUMPLIMIENTO '!D30</f>
        <v>2</v>
      </c>
      <c r="E30" s="199" t="str">
        <f>'CUMPLIMIENTO '!E30</f>
        <v>NP</v>
      </c>
      <c r="F30" s="61">
        <f>'CUMPLIMIENTO '!G30</f>
        <v>0.15540000000000001</v>
      </c>
      <c r="G30" s="61">
        <f>'CUMPLIMIENTO '!H30</f>
        <v>0.94181818181818178</v>
      </c>
    </row>
    <row r="31" spans="1:7" ht="15.75" hidden="1" x14ac:dyDescent="0.25">
      <c r="A31" s="198" t="str">
        <f>'CUMPLIMIENTO '!A31</f>
        <v>PROGRAMA</v>
      </c>
      <c r="B31" s="106" t="str">
        <f>'CUMPLIMIENTO '!B31</f>
        <v>1.4.2</v>
      </c>
      <c r="C31" s="111" t="str">
        <f>'CUMPLIMIENTO '!C31</f>
        <v>Primero el Agua</v>
      </c>
      <c r="D31" s="199">
        <f>'CUMPLIMIENTO '!D31</f>
        <v>6</v>
      </c>
      <c r="E31" s="199">
        <f>'CUMPLIMIENTO '!E31</f>
        <v>5</v>
      </c>
      <c r="F31" s="61">
        <f>'CUMPLIMIENTO '!G31</f>
        <v>0.23629629629629631</v>
      </c>
      <c r="G31" s="61">
        <f>'CUMPLIMIENTO '!H31</f>
        <v>0.32666666666666666</v>
      </c>
    </row>
    <row r="32" spans="1:7" ht="15.75" hidden="1" x14ac:dyDescent="0.25">
      <c r="A32" s="202" t="str">
        <f>'CUMPLIMIENTO '!A32</f>
        <v>LINEA</v>
      </c>
      <c r="B32" s="203" t="str">
        <f>'CUMPLIMIENTO '!B32</f>
        <v>1.5</v>
      </c>
      <c r="C32" s="202" t="str">
        <f>'CUMPLIMIENTO '!C32</f>
        <v>BOLÍVAR PRIMERO EN RECREACIÓN Y DEPORTES</v>
      </c>
      <c r="D32" s="216">
        <f>'CUMPLIMIENTO '!D32</f>
        <v>36</v>
      </c>
      <c r="E32" s="216">
        <f>'CUMPLIMIENTO '!E32</f>
        <v>31</v>
      </c>
      <c r="F32" s="217">
        <f>'CUMPLIMIENTO '!G32</f>
        <v>0.36201956749579395</v>
      </c>
      <c r="G32" s="218">
        <f>'CUMPLIMIENTO '!H32</f>
        <v>9.3472883991794042E-2</v>
      </c>
    </row>
    <row r="33" spans="1:12" ht="15.75" hidden="1" x14ac:dyDescent="0.25">
      <c r="A33" s="198" t="str">
        <f>'CUMPLIMIENTO '!A33</f>
        <v>PROGRAMA</v>
      </c>
      <c r="B33" s="106" t="str">
        <f>'CUMPLIMIENTO '!B33</f>
        <v>1.5.1</v>
      </c>
      <c r="C33" s="111" t="str">
        <f>'CUMPLIMIENTO '!C33</f>
        <v>Infraestructura Deportiva</v>
      </c>
      <c r="D33" s="199">
        <f>'CUMPLIMIENTO '!D33</f>
        <v>4</v>
      </c>
      <c r="E33" s="199">
        <f>'CUMPLIMIENTO '!E33</f>
        <v>1</v>
      </c>
      <c r="F33" s="61">
        <f>'CUMPLIMIENTO '!G33</f>
        <v>1.2500000000000001E-2</v>
      </c>
      <c r="G33" s="61">
        <f>'CUMPLIMIENTO '!H33</f>
        <v>0</v>
      </c>
    </row>
    <row r="34" spans="1:12" ht="15.75" hidden="1" x14ac:dyDescent="0.25">
      <c r="A34" s="198" t="str">
        <f>'CUMPLIMIENTO '!A34</f>
        <v>PROGRAMA</v>
      </c>
      <c r="B34" s="106" t="str">
        <f>'CUMPLIMIENTO '!B34</f>
        <v>1.5.2</v>
      </c>
      <c r="C34" s="111" t="str">
        <f>'CUMPLIMIENTO '!C34</f>
        <v>Altos logros y liderazgo deportivo Bolívar en los juegos nacionales 2023</v>
      </c>
      <c r="D34" s="199">
        <f>'CUMPLIMIENTO '!D34</f>
        <v>13</v>
      </c>
      <c r="E34" s="199">
        <f>'CUMPLIMIENTO '!E34</f>
        <v>12</v>
      </c>
      <c r="F34" s="61">
        <f>'CUMPLIMIENTO '!G34</f>
        <v>0.57189542483660138</v>
      </c>
      <c r="G34" s="61">
        <f>'CUMPLIMIENTO '!H34</f>
        <v>0.39417063728409762</v>
      </c>
    </row>
    <row r="35" spans="1:12" ht="30" hidden="1" x14ac:dyDescent="0.25">
      <c r="A35" s="198" t="str">
        <f>'CUMPLIMIENTO '!A35</f>
        <v>PROGRAMA</v>
      </c>
      <c r="B35" s="106" t="str">
        <f>'CUMPLIMIENTO '!B35</f>
        <v>1.5.3</v>
      </c>
      <c r="C35" s="111" t="str">
        <f>'CUMPLIMIENTO '!C35</f>
        <v>Deporte formativo escuelas para todos  y  Deporte formativo supérate Intercolegiados</v>
      </c>
      <c r="D35" s="199">
        <f>'CUMPLIMIENTO '!D35</f>
        <v>4</v>
      </c>
      <c r="E35" s="199">
        <f>'CUMPLIMIENTO '!E35</f>
        <v>4</v>
      </c>
      <c r="F35" s="61">
        <f>'CUMPLIMIENTO '!G35</f>
        <v>0.4841583333333333</v>
      </c>
      <c r="G35" s="61">
        <f>'CUMPLIMIENTO '!H35</f>
        <v>0</v>
      </c>
    </row>
    <row r="36" spans="1:12" ht="15.75" hidden="1" x14ac:dyDescent="0.25">
      <c r="A36" s="198" t="str">
        <f>'CUMPLIMIENTO '!A36</f>
        <v>PROGRAMA</v>
      </c>
      <c r="B36" s="106" t="str">
        <f>'CUMPLIMIENTO '!B36</f>
        <v>1.5.4</v>
      </c>
      <c r="C36" s="111" t="str">
        <f>'CUMPLIMIENTO '!C36</f>
        <v>Deporte social Comunitario</v>
      </c>
      <c r="D36" s="199">
        <f>'CUMPLIMIENTO '!D36</f>
        <v>3</v>
      </c>
      <c r="E36" s="199">
        <f>'CUMPLIMIENTO '!E36</f>
        <v>3</v>
      </c>
      <c r="F36" s="61">
        <f>'CUMPLIMIENTO '!G36</f>
        <v>0.46812996031746029</v>
      </c>
      <c r="G36" s="61">
        <f>'CUMPLIMIENTO '!H36</f>
        <v>0</v>
      </c>
    </row>
    <row r="37" spans="1:12" ht="15.75" hidden="1" x14ac:dyDescent="0.25">
      <c r="A37" s="198" t="str">
        <f>'CUMPLIMIENTO '!A37</f>
        <v>PROGRAMA</v>
      </c>
      <c r="B37" s="106" t="str">
        <f>'CUMPLIMIENTO '!B37</f>
        <v>1.5.5</v>
      </c>
      <c r="C37" s="111" t="str">
        <f>'CUMPLIMIENTO '!C37</f>
        <v>Las escuelas recreativas…un espacio lúdico del Bolívar primero</v>
      </c>
      <c r="D37" s="199">
        <f>'CUMPLIMIENTO '!D37</f>
        <v>6</v>
      </c>
      <c r="E37" s="199">
        <f>'CUMPLIMIENTO '!E37</f>
        <v>6</v>
      </c>
      <c r="F37" s="61">
        <f>'CUMPLIMIENTO '!G37</f>
        <v>0.3675913461538462</v>
      </c>
      <c r="G37" s="61">
        <f>'CUMPLIMIENTO '!H37</f>
        <v>0</v>
      </c>
    </row>
    <row r="38" spans="1:12" ht="15.75" hidden="1" x14ac:dyDescent="0.25">
      <c r="A38" s="198" t="str">
        <f>'CUMPLIMIENTO '!A38</f>
        <v>PROGRAMA</v>
      </c>
      <c r="B38" s="106" t="str">
        <f>'CUMPLIMIENTO '!B38</f>
        <v>1.5.6</v>
      </c>
      <c r="C38" s="111" t="str">
        <f>'CUMPLIMIENTO '!C38</f>
        <v>Hábitos y estilos de vida saludable “Bolívar primero…por tú salud ponte pilas</v>
      </c>
      <c r="D38" s="199">
        <f>'CUMPLIMIENTO '!D38</f>
        <v>6</v>
      </c>
      <c r="E38" s="199">
        <f>'CUMPLIMIENTO '!E38</f>
        <v>5</v>
      </c>
      <c r="F38" s="61">
        <f>'CUMPLIMIENTO '!G38</f>
        <v>0.26784234033352255</v>
      </c>
      <c r="G38" s="61">
        <f>'CUMPLIMIENTO '!H38</f>
        <v>0.16666666666666666</v>
      </c>
    </row>
    <row r="39" spans="1:12" ht="15.75" hidden="1" x14ac:dyDescent="0.25">
      <c r="A39" s="202" t="str">
        <f>'CUMPLIMIENTO '!A39</f>
        <v>LINEA</v>
      </c>
      <c r="B39" s="203" t="str">
        <f>'CUMPLIMIENTO '!B39</f>
        <v>1.6</v>
      </c>
      <c r="C39" s="202" t="str">
        <f>'CUMPLIMIENTO '!C39</f>
        <v>BOLÍVAR PROMUEVE EL ARTE, LA CULTURA Y SALVAGUARDA SU PATRIMONIO</v>
      </c>
      <c r="D39" s="216">
        <f>'CUMPLIMIENTO '!D39</f>
        <v>18</v>
      </c>
      <c r="E39" s="216">
        <f>'CUMPLIMIENTO '!E39</f>
        <v>12</v>
      </c>
      <c r="F39" s="217">
        <f>'CUMPLIMIENTO '!G39</f>
        <v>0.37134063003220613</v>
      </c>
      <c r="G39" s="218">
        <f>'CUMPLIMIENTO '!H39</f>
        <v>0.5</v>
      </c>
    </row>
    <row r="40" spans="1:12" ht="15.75" hidden="1" x14ac:dyDescent="0.25">
      <c r="A40" s="198" t="str">
        <f>'CUMPLIMIENTO '!A40</f>
        <v>PROGRAMA</v>
      </c>
      <c r="B40" s="106" t="str">
        <f>'CUMPLIMIENTO '!B40</f>
        <v>1.6.1</v>
      </c>
      <c r="C40" s="111" t="str">
        <f>'CUMPLIMIENTO '!C40</f>
        <v>Bolívar primero en arte y patrimonio</v>
      </c>
      <c r="D40" s="199">
        <f>'CUMPLIMIENTO '!D40</f>
        <v>6</v>
      </c>
      <c r="E40" s="199">
        <f>'CUMPLIMIENTO '!E40</f>
        <v>4</v>
      </c>
      <c r="F40" s="61">
        <f>'CUMPLIMIENTO '!G40</f>
        <v>0.24822916666666664</v>
      </c>
      <c r="G40" s="61">
        <f>'CUMPLIMIENTO '!H40</f>
        <v>0.41</v>
      </c>
    </row>
    <row r="41" spans="1:12" ht="15.75" hidden="1" x14ac:dyDescent="0.25">
      <c r="A41" s="198" t="str">
        <f>'CUMPLIMIENTO '!A41</f>
        <v>PROGRAMA</v>
      </c>
      <c r="B41" s="106" t="str">
        <f>'CUMPLIMIENTO '!B41</f>
        <v>1.6.2</v>
      </c>
      <c r="C41" s="111" t="str">
        <f>'CUMPLIMIENTO '!C41</f>
        <v>Bolívar primero en cultura</v>
      </c>
      <c r="D41" s="199">
        <f>'CUMPLIMIENTO '!D41</f>
        <v>12</v>
      </c>
      <c r="E41" s="199">
        <f>'CUMPLIMIENTO '!E41</f>
        <v>8</v>
      </c>
      <c r="F41" s="61">
        <f>'CUMPLIMIENTO '!G41</f>
        <v>0.4944520933977456</v>
      </c>
      <c r="G41" s="61">
        <f>'CUMPLIMIENTO '!H41</f>
        <v>0.59000000000000008</v>
      </c>
    </row>
    <row r="42" spans="1:12" ht="18.75" x14ac:dyDescent="0.25">
      <c r="A42" s="228" t="str">
        <f>'CUMPLIMIENTO '!A42</f>
        <v>EJE ESTRATEGICO</v>
      </c>
      <c r="B42" s="303">
        <f>'CUMPLIMIENTO '!B42</f>
        <v>2</v>
      </c>
      <c r="C42" s="304" t="str">
        <f>'CUMPLIMIENTO '!C42</f>
        <v>BOLÍVAR COMPETITIVO PARA LA INCLUSIÓN SOCIAL</v>
      </c>
      <c r="D42" s="305">
        <f>'CUMPLIMIENTO '!D42</f>
        <v>82</v>
      </c>
      <c r="E42" s="305">
        <f>'CUMPLIMIENTO '!F42</f>
        <v>65</v>
      </c>
      <c r="F42" s="306">
        <f>'CUMPLIMIENTO '!G42</f>
        <v>0.24329478481946754</v>
      </c>
      <c r="G42" s="306">
        <f>'CUMPLIMIENTO '!H42</f>
        <v>0.32985855013965804</v>
      </c>
      <c r="J42" s="512"/>
      <c r="K42" t="s">
        <v>2035</v>
      </c>
      <c r="L42" t="s">
        <v>2037</v>
      </c>
    </row>
    <row r="43" spans="1:12" ht="15.75" hidden="1" x14ac:dyDescent="0.25">
      <c r="A43" s="202" t="str">
        <f>'CUMPLIMIENTO '!A43</f>
        <v>LINEA</v>
      </c>
      <c r="B43" s="203" t="str">
        <f>'CUMPLIMIENTO '!B43</f>
        <v>2.1</v>
      </c>
      <c r="C43" s="202" t="str">
        <f>'CUMPLIMIENTO '!C43</f>
        <v>BOLÍVAR PRIMERO EN INFRAESTRUCTURA Y TRANSPORTE</v>
      </c>
      <c r="D43" s="216">
        <f>'CUMPLIMIENTO '!D43</f>
        <v>4</v>
      </c>
      <c r="E43" s="216">
        <f>'CUMPLIMIENTO '!E43</f>
        <v>4</v>
      </c>
      <c r="F43" s="217">
        <f>'CUMPLIMIENTO '!G43</f>
        <v>0.52222222222222225</v>
      </c>
      <c r="G43" s="218">
        <f>'CUMPLIMIENTO '!H43</f>
        <v>0.49444444444444446</v>
      </c>
    </row>
    <row r="44" spans="1:12" ht="15.75" hidden="1" x14ac:dyDescent="0.25">
      <c r="A44" s="198" t="str">
        <f>'CUMPLIMIENTO '!A44</f>
        <v>PROGRAMA</v>
      </c>
      <c r="B44" s="106" t="str">
        <f>'CUMPLIMIENTO '!B44</f>
        <v>2.1.1</v>
      </c>
      <c r="C44" s="111" t="str">
        <f>'CUMPLIMIENTO '!C44</f>
        <v>Plan de conectividad para Bolívar</v>
      </c>
      <c r="D44" s="199">
        <f>'CUMPLIMIENTO '!D44</f>
        <v>3</v>
      </c>
      <c r="E44" s="199">
        <f>'CUMPLIMIENTO '!E44</f>
        <v>3</v>
      </c>
      <c r="F44" s="61">
        <f>'CUMPLIMIENTO '!G44</f>
        <v>0.64444444444444449</v>
      </c>
      <c r="G44" s="61">
        <f>'CUMPLIMIENTO '!H44</f>
        <v>0.48888888888888893</v>
      </c>
    </row>
    <row r="45" spans="1:12" ht="15.75" hidden="1" x14ac:dyDescent="0.25">
      <c r="A45" s="198" t="str">
        <f>'CUMPLIMIENTO '!A45</f>
        <v>PROGRAMA</v>
      </c>
      <c r="B45" s="106" t="str">
        <f>'CUMPLIMIENTO '!B45</f>
        <v xml:space="preserve">2.1.2 </v>
      </c>
      <c r="C45" s="111" t="str">
        <f>'CUMPLIMIENTO '!C45</f>
        <v>Bolívar se desarrolla por el Río</v>
      </c>
      <c r="D45" s="199">
        <f>'CUMPLIMIENTO '!D45</f>
        <v>1</v>
      </c>
      <c r="E45" s="199">
        <f>'CUMPLIMIENTO '!E45</f>
        <v>1</v>
      </c>
      <c r="F45" s="61">
        <f>'CUMPLIMIENTO '!G45</f>
        <v>0.4</v>
      </c>
      <c r="G45" s="61">
        <f>'CUMPLIMIENTO '!H45</f>
        <v>0.5</v>
      </c>
    </row>
    <row r="46" spans="1:12" ht="15.75" hidden="1" x14ac:dyDescent="0.25">
      <c r="A46" s="202" t="str">
        <f>'CUMPLIMIENTO '!A46</f>
        <v>LINEA</v>
      </c>
      <c r="B46" s="203" t="str">
        <f>'CUMPLIMIENTO '!B46</f>
        <v>2.2</v>
      </c>
      <c r="C46" s="202" t="str">
        <f>'CUMPLIMIENTO '!C46</f>
        <v>BOLÍVAR PRIMERO EN MOVILIDAD</v>
      </c>
      <c r="D46" s="216">
        <f>'CUMPLIMIENTO '!D46</f>
        <v>7</v>
      </c>
      <c r="E46" s="216">
        <f>'CUMPLIMIENTO '!E46</f>
        <v>3</v>
      </c>
      <c r="F46" s="217">
        <f>'CUMPLIMIENTO '!G46</f>
        <v>0.21714285714285717</v>
      </c>
      <c r="G46" s="218">
        <f>'CUMPLIMIENTO '!H46</f>
        <v>0.125</v>
      </c>
    </row>
    <row r="47" spans="1:12" ht="15.75" hidden="1" x14ac:dyDescent="0.25">
      <c r="A47" s="198" t="str">
        <f>'CUMPLIMIENTO '!A47</f>
        <v>PROGRAMA</v>
      </c>
      <c r="B47" s="106" t="str">
        <f>'CUMPLIMIENTO '!B47</f>
        <v>2.2.1</v>
      </c>
      <c r="C47" s="111" t="str">
        <f>'CUMPLIMIENTO '!C47</f>
        <v>Bolívar Primero con Movilidad Segura.</v>
      </c>
      <c r="D47" s="199">
        <f>'CUMPLIMIENTO '!D47</f>
        <v>5</v>
      </c>
      <c r="E47" s="199">
        <f>'CUMPLIMIENTO '!E47</f>
        <v>3</v>
      </c>
      <c r="F47" s="61">
        <f>'CUMPLIMIENTO '!G47</f>
        <v>0.43428571428571433</v>
      </c>
      <c r="G47" s="61">
        <f>'CUMPLIMIENTO '!H47</f>
        <v>0.25</v>
      </c>
    </row>
    <row r="48" spans="1:12" ht="15.75" hidden="1" x14ac:dyDescent="0.25">
      <c r="A48" s="198" t="str">
        <f>'CUMPLIMIENTO '!A48</f>
        <v>PROGRAMA</v>
      </c>
      <c r="B48" s="106" t="str">
        <f>'CUMPLIMIENTO '!B48</f>
        <v xml:space="preserve">2.2.2 </v>
      </c>
      <c r="C48" s="111" t="str">
        <f>'CUMPLIMIENTO '!C48</f>
        <v>Bolívar Primero con Infraestructura y Transporte y Movilidad Activa</v>
      </c>
      <c r="D48" s="199">
        <f>'CUMPLIMIENTO '!D48</f>
        <v>2</v>
      </c>
      <c r="E48" s="199" t="str">
        <f>'CUMPLIMIENTO '!E48</f>
        <v>NP</v>
      </c>
      <c r="F48" s="61">
        <f>'CUMPLIMIENTO '!G48</f>
        <v>0</v>
      </c>
      <c r="G48" s="61">
        <f>'CUMPLIMIENTO '!H48</f>
        <v>0</v>
      </c>
    </row>
    <row r="49" spans="1:7" ht="15.75" hidden="1" x14ac:dyDescent="0.25">
      <c r="A49" s="202" t="str">
        <f>'CUMPLIMIENTO '!A49</f>
        <v>LINEA</v>
      </c>
      <c r="B49" s="203" t="str">
        <f>'CUMPLIMIENTO '!B49</f>
        <v>2.3</v>
      </c>
      <c r="C49" s="202" t="str">
        <f>'CUMPLIMIENTO '!C49</f>
        <v>BOLÍVAR PRIMERO EN TECNOLOGÍAS DE LA INFORMACIÓN Y LAS COMUNICACIONES</v>
      </c>
      <c r="D49" s="216">
        <f>'CUMPLIMIENTO '!D49</f>
        <v>4</v>
      </c>
      <c r="E49" s="216">
        <f>'CUMPLIMIENTO '!E49</f>
        <v>1</v>
      </c>
      <c r="F49" s="217">
        <f>'CUMPLIMIENTO '!G49</f>
        <v>0.33750000000000002</v>
      </c>
      <c r="G49" s="218">
        <f>'CUMPLIMIENTO '!H49</f>
        <v>0.10625000000000001</v>
      </c>
    </row>
    <row r="50" spans="1:7" ht="15.75" hidden="1" x14ac:dyDescent="0.25">
      <c r="A50" s="198" t="str">
        <f>'CUMPLIMIENTO '!A50</f>
        <v>PROGRAMA</v>
      </c>
      <c r="B50" s="106" t="str">
        <f>'CUMPLIMIENTO '!B50</f>
        <v>2.3.1</v>
      </c>
      <c r="C50" s="111" t="str">
        <f>'CUMPLIMIENTO '!C50</f>
        <v>TIC’s para la competitividad y la inclusión social</v>
      </c>
      <c r="D50" s="199">
        <f>'CUMPLIMIENTO '!D50</f>
        <v>4</v>
      </c>
      <c r="E50" s="199">
        <f>'CUMPLIMIENTO '!E50</f>
        <v>1</v>
      </c>
      <c r="F50" s="61">
        <f>'CUMPLIMIENTO '!G50</f>
        <v>0.33750000000000002</v>
      </c>
      <c r="G50" s="61">
        <f>'CUMPLIMIENTO '!H50</f>
        <v>0.10625000000000001</v>
      </c>
    </row>
    <row r="51" spans="1:7" ht="15.75" hidden="1" x14ac:dyDescent="0.25">
      <c r="A51" s="202" t="str">
        <f>'CUMPLIMIENTO '!A51</f>
        <v>LINEA</v>
      </c>
      <c r="B51" s="203" t="str">
        <f>'CUMPLIMIENTO '!B51</f>
        <v>2.4</v>
      </c>
      <c r="C51" s="202" t="str">
        <f>'CUMPLIMIENTO '!C51</f>
        <v>BOLÍVAR PRIMERO EN DESARROLLO ECONÓMICO</v>
      </c>
      <c r="D51" s="216">
        <f>'CUMPLIMIENTO '!D51</f>
        <v>7</v>
      </c>
      <c r="E51" s="216">
        <f>'CUMPLIMIENTO '!E51</f>
        <v>3</v>
      </c>
      <c r="F51" s="217">
        <f>'CUMPLIMIENTO '!G51</f>
        <v>0.28287037037037033</v>
      </c>
      <c r="G51" s="218">
        <f>'CUMPLIMIENTO '!H51</f>
        <v>0.45833333333333331</v>
      </c>
    </row>
    <row r="52" spans="1:7" ht="15.75" hidden="1" x14ac:dyDescent="0.25">
      <c r="A52" s="198" t="str">
        <f>'CUMPLIMIENTO '!A52</f>
        <v>PROGRAMA</v>
      </c>
      <c r="B52" s="106" t="str">
        <f>'CUMPLIMIENTO '!B52</f>
        <v>2.4.1</v>
      </c>
      <c r="C52" s="111" t="str">
        <f>'CUMPLIMIENTO '!C52</f>
        <v>2.4.1.	Promoción del Departamento para la competitividad</v>
      </c>
      <c r="D52" s="199">
        <f>'CUMPLIMIENTO '!D52</f>
        <v>4</v>
      </c>
      <c r="E52" s="199">
        <f>'CUMPLIMIENTO '!E52</f>
        <v>2</v>
      </c>
      <c r="F52" s="61">
        <f>'CUMPLIMIENTO '!G52</f>
        <v>0.19166666666666665</v>
      </c>
      <c r="G52" s="61">
        <f>'CUMPLIMIENTO '!H52</f>
        <v>0.25</v>
      </c>
    </row>
    <row r="53" spans="1:7" ht="15.75" hidden="1" x14ac:dyDescent="0.25">
      <c r="A53" s="198" t="str">
        <f>'CUMPLIMIENTO '!A53</f>
        <v>PROGRAMA</v>
      </c>
      <c r="B53" s="106" t="str">
        <f>'CUMPLIMIENTO '!B53</f>
        <v>2.4.2</v>
      </c>
      <c r="C53" s="111" t="str">
        <f>'CUMPLIMIENTO '!C53</f>
        <v>Bolivar Primero en emprendimiento y encadenamientos productivos</v>
      </c>
      <c r="D53" s="199">
        <f>'CUMPLIMIENTO '!D53</f>
        <v>3</v>
      </c>
      <c r="E53" s="199">
        <f>'CUMPLIMIENTO '!E53</f>
        <v>1</v>
      </c>
      <c r="F53" s="61">
        <f>'CUMPLIMIENTO '!G53</f>
        <v>0.37407407407407406</v>
      </c>
      <c r="G53" s="61">
        <f>'CUMPLIMIENTO '!H53</f>
        <v>0.66666666666666663</v>
      </c>
    </row>
    <row r="54" spans="1:7" ht="15.75" hidden="1" x14ac:dyDescent="0.25">
      <c r="A54" s="202" t="str">
        <f>'CUMPLIMIENTO '!A54</f>
        <v>LINEA</v>
      </c>
      <c r="B54" s="203" t="str">
        <f>'CUMPLIMIENTO '!B54</f>
        <v>2.5</v>
      </c>
      <c r="C54" s="202" t="str">
        <f>'CUMPLIMIENTO '!C54</f>
        <v>BOLÍVAR PRIMERO EN AGRICULTURA, EXPLOTACIONES PECUARIAS, PESCA FORESTAL Y SEGURIDAD ALIMENTARIA</v>
      </c>
      <c r="D54" s="216">
        <f>'CUMPLIMIENTO '!D54</f>
        <v>8</v>
      </c>
      <c r="E54" s="216">
        <f>'CUMPLIMIENTO '!E54</f>
        <v>6</v>
      </c>
      <c r="F54" s="217">
        <f>'CUMPLIMIENTO '!G54</f>
        <v>0.26021690090122751</v>
      </c>
      <c r="G54" s="218">
        <f>'CUMPLIMIENTO '!H54</f>
        <v>0.37503049785364378</v>
      </c>
    </row>
    <row r="55" spans="1:7" ht="15.75" hidden="1" x14ac:dyDescent="0.25">
      <c r="A55" s="198" t="str">
        <f>'CUMPLIMIENTO '!A55</f>
        <v>PROGRAMA</v>
      </c>
      <c r="B55" s="106" t="str">
        <f>'CUMPLIMIENTO '!B55</f>
        <v>2.5.1</v>
      </c>
      <c r="C55" s="111" t="str">
        <f>'CUMPLIMIENTO '!C55</f>
        <v>Tecnología al campo</v>
      </c>
      <c r="D55" s="199">
        <f>'CUMPLIMIENTO '!D55</f>
        <v>1</v>
      </c>
      <c r="E55" s="199">
        <f>'CUMPLIMIENTO '!E55</f>
        <v>1</v>
      </c>
      <c r="F55" s="61">
        <f>'CUMPLIMIENTO '!G55</f>
        <v>2.032520325203252E-2</v>
      </c>
      <c r="G55" s="61">
        <f>'CUMPLIMIENTO '!H55</f>
        <v>0.1360544217687075</v>
      </c>
    </row>
    <row r="56" spans="1:7" ht="15.75" hidden="1" x14ac:dyDescent="0.25">
      <c r="A56" s="198" t="str">
        <f>'CUMPLIMIENTO '!A56</f>
        <v>PROGRAMA</v>
      </c>
      <c r="B56" s="106" t="str">
        <f>'CUMPLIMIENTO '!B56</f>
        <v>2.5.2</v>
      </c>
      <c r="C56" s="111" t="str">
        <f>'CUMPLIMIENTO '!C56</f>
        <v>Bolívar fomenta la agroindustria</v>
      </c>
      <c r="D56" s="199">
        <f>'CUMPLIMIENTO '!D56</f>
        <v>1</v>
      </c>
      <c r="E56" s="199">
        <f>'CUMPLIMIENTO '!E56</f>
        <v>1</v>
      </c>
      <c r="F56" s="61">
        <f>'CUMPLIMIENTO '!G56</f>
        <v>6.6559999999999994E-2</v>
      </c>
      <c r="G56" s="61">
        <f>'CUMPLIMIENTO '!H56</f>
        <v>2.8307508939213348E-2</v>
      </c>
    </row>
    <row r="57" spans="1:7" ht="15.75" hidden="1" x14ac:dyDescent="0.25">
      <c r="A57" s="198" t="str">
        <f>'CUMPLIMIENTO '!A57</f>
        <v>PROGRAMA</v>
      </c>
      <c r="B57" s="106" t="str">
        <f>'CUMPLIMIENTO '!B57</f>
        <v>2.5.3</v>
      </c>
      <c r="C57" s="111" t="str">
        <f>'CUMPLIMIENTO '!C57</f>
        <v>Del campo al mercado</v>
      </c>
      <c r="D57" s="199">
        <f>'CUMPLIMIENTO '!D57</f>
        <v>3</v>
      </c>
      <c r="E57" s="199">
        <f>'CUMPLIMIENTO '!E57</f>
        <v>2</v>
      </c>
      <c r="F57" s="61">
        <f>'CUMPLIMIENTO '!G57</f>
        <v>0.10006837606837608</v>
      </c>
      <c r="G57" s="61">
        <f>'CUMPLIMIENTO '!H57</f>
        <v>0.54842975206611566</v>
      </c>
    </row>
    <row r="58" spans="1:7" ht="15.75" hidden="1" x14ac:dyDescent="0.25">
      <c r="A58" s="198" t="str">
        <f>'CUMPLIMIENTO '!A58</f>
        <v>PROGRAMA</v>
      </c>
      <c r="B58" s="106" t="str">
        <f>'CUMPLIMIENTO '!B58</f>
        <v>2.5.4</v>
      </c>
      <c r="C58" s="111" t="str">
        <f>'CUMPLIMIENTO '!C58</f>
        <v>Apoyo a los municipios en el ordenamiento social de la propiedad.</v>
      </c>
      <c r="D58" s="199">
        <f>'CUMPLIMIENTO '!D58</f>
        <v>1</v>
      </c>
      <c r="E58" s="199">
        <f>'CUMPLIMIENTO '!E58</f>
        <v>1</v>
      </c>
      <c r="F58" s="61">
        <f>'CUMPLIMIENTO '!G58</f>
        <v>0.30434782608695654</v>
      </c>
      <c r="G58" s="61">
        <f>'CUMPLIMIENTO '!H58</f>
        <v>0.21739130434782608</v>
      </c>
    </row>
    <row r="59" spans="1:7" ht="15.75" hidden="1" x14ac:dyDescent="0.25">
      <c r="A59" s="198" t="str">
        <f>'CUMPLIMIENTO '!A59</f>
        <v>PROGRAMA</v>
      </c>
      <c r="B59" s="106" t="str">
        <f>'CUMPLIMIENTO '!B59</f>
        <v xml:space="preserve">2.5.5 </v>
      </c>
      <c r="C59" s="111" t="str">
        <f>'CUMPLIMIENTO '!C59</f>
        <v xml:space="preserve">Bancarización </v>
      </c>
      <c r="D59" s="199">
        <f>'CUMPLIMIENTO '!D59</f>
        <v>1</v>
      </c>
      <c r="E59" s="199">
        <f>'CUMPLIMIENTO '!E59</f>
        <v>1</v>
      </c>
      <c r="F59" s="61">
        <f>'CUMPLIMIENTO '!G59</f>
        <v>7.0000000000000007E-2</v>
      </c>
      <c r="G59" s="61">
        <f>'CUMPLIMIENTO '!H59</f>
        <v>0.32</v>
      </c>
    </row>
    <row r="60" spans="1:7" ht="15.75" hidden="1" x14ac:dyDescent="0.25">
      <c r="A60" s="198" t="str">
        <f>'CUMPLIMIENTO '!A60</f>
        <v>PROGRAMA</v>
      </c>
      <c r="B60" s="106" t="str">
        <f>'CUMPLIMIENTO '!B60</f>
        <v>2.5.6</v>
      </c>
      <c r="C60" s="111" t="str">
        <f>'CUMPLIMIENTO '!C60</f>
        <v xml:space="preserve">Seguridad alimentaria </v>
      </c>
      <c r="D60" s="199">
        <f>'CUMPLIMIENTO '!D60</f>
        <v>1</v>
      </c>
      <c r="E60" s="199" t="str">
        <f>'CUMPLIMIENTO '!E60</f>
        <v>NP</v>
      </c>
      <c r="F60" s="61">
        <f>'CUMPLIMIENTO '!G60</f>
        <v>1</v>
      </c>
      <c r="G60" s="61">
        <f>'CUMPLIMIENTO '!H60</f>
        <v>1</v>
      </c>
    </row>
    <row r="61" spans="1:7" ht="15.75" hidden="1" x14ac:dyDescent="0.25">
      <c r="A61" s="202" t="str">
        <f>'CUMPLIMIENTO '!A61</f>
        <v>LINEA</v>
      </c>
      <c r="B61" s="203" t="str">
        <f>'CUMPLIMIENTO '!B61</f>
        <v>2.6</v>
      </c>
      <c r="C61" s="202" t="str">
        <f>'CUMPLIMIENTO '!C61</f>
        <v>BOLIVAR PRIMERO EN PRODUCTIVIDAD Y COMPETITIVIDAD MINERO ENERGÉTICA</v>
      </c>
      <c r="D61" s="216">
        <f>'CUMPLIMIENTO '!D61</f>
        <v>18</v>
      </c>
      <c r="E61" s="216">
        <f>'CUMPLIMIENTO '!E61</f>
        <v>6</v>
      </c>
      <c r="F61" s="217">
        <f>'CUMPLIMIENTO '!G61</f>
        <v>0.14849206349206351</v>
      </c>
      <c r="G61" s="218">
        <f>'CUMPLIMIENTO '!H61</f>
        <v>0.23641470737153236</v>
      </c>
    </row>
    <row r="62" spans="1:7" ht="15.75" hidden="1" x14ac:dyDescent="0.25">
      <c r="A62" s="198" t="str">
        <f>'CUMPLIMIENTO '!A62</f>
        <v>PROGRAMA</v>
      </c>
      <c r="B62" s="106" t="str">
        <f>'CUMPLIMIENTO '!B62</f>
        <v>2.6.1</v>
      </c>
      <c r="C62" s="111" t="str">
        <f>'CUMPLIMIENTO '!C62</f>
        <v>Minería responsable y segura</v>
      </c>
      <c r="D62" s="199">
        <f>'CUMPLIMIENTO '!D62</f>
        <v>3</v>
      </c>
      <c r="E62" s="199" t="str">
        <f>'CUMPLIMIENTO '!E62</f>
        <v>NP</v>
      </c>
      <c r="F62" s="61">
        <f>'CUMPLIMIENTO '!G62</f>
        <v>5.5555555555555552E-2</v>
      </c>
      <c r="G62" s="61">
        <f>'CUMPLIMIENTO '!H62</f>
        <v>0.16666666666666666</v>
      </c>
    </row>
    <row r="63" spans="1:7" ht="15.75" hidden="1" x14ac:dyDescent="0.25">
      <c r="A63" s="198" t="str">
        <f>'CUMPLIMIENTO '!A63</f>
        <v>PROGRAMA</v>
      </c>
      <c r="B63" s="106" t="str">
        <f>'CUMPLIMIENTO '!B63</f>
        <v>2.6.2</v>
      </c>
      <c r="C63" s="111" t="str">
        <f>'CUMPLIMIENTO '!C63</f>
        <v xml:space="preserve">Minería productiva y competitiva. </v>
      </c>
      <c r="D63" s="199">
        <f>'CUMPLIMIENTO '!D63</f>
        <v>4</v>
      </c>
      <c r="E63" s="199">
        <f>'CUMPLIMIENTO '!E63</f>
        <v>3</v>
      </c>
      <c r="F63" s="61">
        <f>'CUMPLIMIENTO '!G63</f>
        <v>0.17857142857142858</v>
      </c>
      <c r="G63" s="61">
        <f>'CUMPLIMIENTO '!H63</f>
        <v>0.2</v>
      </c>
    </row>
    <row r="64" spans="1:7" ht="15.75" hidden="1" x14ac:dyDescent="0.25">
      <c r="A64" s="198" t="str">
        <f>'CUMPLIMIENTO '!A64</f>
        <v>PROGRAMA</v>
      </c>
      <c r="B64" s="106" t="str">
        <f>'CUMPLIMIENTO '!B64</f>
        <v>2.6.3</v>
      </c>
      <c r="C64" s="111" t="str">
        <f>'CUMPLIMIENTO '!C64</f>
        <v>Ambiente y Minería de la mano, bajo el marco de la legalidad.</v>
      </c>
      <c r="D64" s="199">
        <f>'CUMPLIMIENTO '!D64</f>
        <v>5</v>
      </c>
      <c r="E64" s="199">
        <f>'CUMPLIMIENTO '!E64</f>
        <v>1</v>
      </c>
      <c r="F64" s="61">
        <f>'CUMPLIMIENTO '!G64</f>
        <v>0.155</v>
      </c>
      <c r="G64" s="61">
        <f>'CUMPLIMIENTO '!H64</f>
        <v>0.2298008095849346</v>
      </c>
    </row>
    <row r="65" spans="1:12" ht="15.75" hidden="1" x14ac:dyDescent="0.25">
      <c r="A65" s="198" t="str">
        <f>'CUMPLIMIENTO '!A65</f>
        <v>PROGRAMA</v>
      </c>
      <c r="B65" s="106" t="str">
        <f>'CUMPLIMIENTO '!B65</f>
        <v>2.6.4</v>
      </c>
      <c r="C65" s="111" t="str">
        <f>'CUMPLIMIENTO '!C65</f>
        <v xml:space="preserve">Minería y el desarrollo social participativo </v>
      </c>
      <c r="D65" s="199">
        <f>'CUMPLIMIENTO '!D65</f>
        <v>3</v>
      </c>
      <c r="E65" s="199">
        <f>'CUMPLIMIENTO '!E65</f>
        <v>1</v>
      </c>
      <c r="F65" s="61">
        <f>'CUMPLIMIENTO '!G65</f>
        <v>8.111111111111112E-2</v>
      </c>
      <c r="G65" s="61">
        <f>'CUMPLIMIENTO '!H65</f>
        <v>6.0606060606060608E-2</v>
      </c>
    </row>
    <row r="66" spans="1:12" ht="15.75" hidden="1" x14ac:dyDescent="0.25">
      <c r="A66" s="198" t="str">
        <f>'CUMPLIMIENTO '!A66</f>
        <v>PROGRAMA</v>
      </c>
      <c r="B66" s="106" t="str">
        <f>'CUMPLIMIENTO '!B66</f>
        <v>2.6.5</v>
      </c>
      <c r="C66" s="111" t="str">
        <f>'CUMPLIMIENTO '!C66</f>
        <v xml:space="preserve">Bolívar primero en gas y energía para todos </v>
      </c>
      <c r="D66" s="199">
        <f>'CUMPLIMIENTO '!D66</f>
        <v>3</v>
      </c>
      <c r="E66" s="199">
        <f>'CUMPLIMIENTO '!E66</f>
        <v>1</v>
      </c>
      <c r="F66" s="61">
        <f>'CUMPLIMIENTO '!G66</f>
        <v>0.2722222222222222</v>
      </c>
      <c r="G66" s="61">
        <f>'CUMPLIMIENTO '!H66</f>
        <v>0.52500000000000002</v>
      </c>
    </row>
    <row r="67" spans="1:12" ht="15.75" hidden="1" x14ac:dyDescent="0.25">
      <c r="A67" s="202" t="str">
        <f>'CUMPLIMIENTO '!A67</f>
        <v>LINEA</v>
      </c>
      <c r="B67" s="203" t="str">
        <f>'CUMPLIMIENTO '!B67</f>
        <v>2.7</v>
      </c>
      <c r="C67" s="202" t="str">
        <f>'CUMPLIMIENTO '!C67</f>
        <v>BOLIVAR PRIMERO EN TURISMO</v>
      </c>
      <c r="D67" s="216">
        <f>'CUMPLIMIENTO '!D67</f>
        <v>15</v>
      </c>
      <c r="E67" s="216">
        <f>'CUMPLIMIENTO '!E67</f>
        <v>11</v>
      </c>
      <c r="F67" s="217">
        <f>'CUMPLIMIENTO '!G67</f>
        <v>0.40225641025641029</v>
      </c>
      <c r="G67" s="218">
        <f>'CUMPLIMIENTO '!H67</f>
        <v>0.47361111111111104</v>
      </c>
    </row>
    <row r="68" spans="1:12" ht="15.75" hidden="1" x14ac:dyDescent="0.25">
      <c r="A68" s="198" t="str">
        <f>'CUMPLIMIENTO '!A68</f>
        <v>PROGRAMA</v>
      </c>
      <c r="B68" s="106" t="str">
        <f>'CUMPLIMIENTO '!B68</f>
        <v xml:space="preserve">2.7.1 </v>
      </c>
      <c r="C68" s="111" t="str">
        <f>'CUMPLIMIENTO '!C68</f>
        <v>Bolívar primero en turismo, destinos mágicos</v>
      </c>
      <c r="D68" s="199">
        <f>'CUMPLIMIENTO '!D68</f>
        <v>15</v>
      </c>
      <c r="E68" s="199">
        <f>'CUMPLIMIENTO '!E68</f>
        <v>11</v>
      </c>
      <c r="F68" s="61">
        <f>'CUMPLIMIENTO '!G68</f>
        <v>0.40225641025641029</v>
      </c>
      <c r="G68" s="61">
        <f>'CUMPLIMIENTO '!H68</f>
        <v>0.47361111111111104</v>
      </c>
    </row>
    <row r="69" spans="1:12" ht="15.75" hidden="1" x14ac:dyDescent="0.25">
      <c r="A69" s="202" t="str">
        <f>'CUMPLIMIENTO '!A69</f>
        <v>LINEA</v>
      </c>
      <c r="B69" s="203" t="str">
        <f>'CUMPLIMIENTO '!B69</f>
        <v>2.8</v>
      </c>
      <c r="C69" s="202" t="str">
        <f>'CUMPLIMIENTO '!C69</f>
        <v>TRABAJO DECENTE Y SOSTENIBILIDAD DEL EMPLEO EN ESCENARIOS DE AMENAZAS</v>
      </c>
      <c r="D69" s="216">
        <f>'CUMPLIMIENTO '!D69</f>
        <v>4</v>
      </c>
      <c r="E69" s="216" t="str">
        <f>'CUMPLIMIENTO '!E69</f>
        <v>NP</v>
      </c>
      <c r="F69" s="217">
        <f>'CUMPLIMIENTO '!G69</f>
        <v>8.3333333333333343E-2</v>
      </c>
      <c r="G69" s="218">
        <f>'CUMPLIMIENTO '!H69</f>
        <v>0.19642857142857142</v>
      </c>
    </row>
    <row r="70" spans="1:12" ht="15.75" hidden="1" x14ac:dyDescent="0.25">
      <c r="A70" s="198" t="str">
        <f>'CUMPLIMIENTO '!A70</f>
        <v>PROGRAMA</v>
      </c>
      <c r="B70" s="106" t="str">
        <f>'CUMPLIMIENTO '!B70</f>
        <v xml:space="preserve">2.8.1 </v>
      </c>
      <c r="C70" s="111" t="str">
        <f>'CUMPLIMIENTO '!C70</f>
        <v>Empleo y trabajo decente</v>
      </c>
      <c r="D70" s="199">
        <f>'CUMPLIMIENTO '!D70</f>
        <v>3</v>
      </c>
      <c r="E70" s="199" t="str">
        <f>'CUMPLIMIENTO '!E70</f>
        <v>NP</v>
      </c>
      <c r="F70" s="61">
        <f>'CUMPLIMIENTO '!G70</f>
        <v>6.6666666666666666E-2</v>
      </c>
      <c r="G70" s="61">
        <f>'CUMPLIMIENTO '!H70</f>
        <v>0.14285714285714285</v>
      </c>
    </row>
    <row r="71" spans="1:12" ht="15.75" hidden="1" x14ac:dyDescent="0.25">
      <c r="A71" s="198" t="str">
        <f>'CUMPLIMIENTO '!A71</f>
        <v>PROGRAMA</v>
      </c>
      <c r="B71" s="106" t="str">
        <f>'CUMPLIMIENTO '!B71</f>
        <v>2.8.2</v>
      </c>
      <c r="C71" s="111" t="str">
        <f>'CUMPLIMIENTO '!C71</f>
        <v>Bolívar Primero en beneficios BEPS y desempleo</v>
      </c>
      <c r="D71" s="199">
        <f>'CUMPLIMIENTO '!D71</f>
        <v>1</v>
      </c>
      <c r="E71" s="199" t="str">
        <f>'CUMPLIMIENTO '!E71</f>
        <v>NP</v>
      </c>
      <c r="F71" s="61">
        <f>'CUMPLIMIENTO '!G71</f>
        <v>0.1</v>
      </c>
      <c r="G71" s="61">
        <f>'CUMPLIMIENTO '!H71</f>
        <v>0.25</v>
      </c>
    </row>
    <row r="72" spans="1:12" ht="15.75" hidden="1" x14ac:dyDescent="0.25">
      <c r="A72" s="202" t="str">
        <f>'CUMPLIMIENTO '!A72</f>
        <v>LINEA</v>
      </c>
      <c r="B72" s="203" t="str">
        <f>'CUMPLIMIENTO '!B72</f>
        <v>2.9</v>
      </c>
      <c r="C72" s="202" t="str">
        <f>'CUMPLIMIENTO '!C72</f>
        <v>BOLIVAR PRIMERO EN CIENCIA TECNOLOGÍA E INNOVACIÓN</v>
      </c>
      <c r="D72" s="216">
        <f>'CUMPLIMIENTO '!D72</f>
        <v>11</v>
      </c>
      <c r="E72" s="216">
        <f>'CUMPLIMIENTO '!E72</f>
        <v>11</v>
      </c>
      <c r="F72" s="217">
        <f>'CUMPLIMIENTO '!G72</f>
        <v>0.17891369047619049</v>
      </c>
      <c r="G72" s="218">
        <f>'CUMPLIMIENTO '!H72</f>
        <v>0.50321428571428573</v>
      </c>
    </row>
    <row r="73" spans="1:12" ht="15.75" hidden="1" x14ac:dyDescent="0.25">
      <c r="A73" s="198" t="str">
        <f>'CUMPLIMIENTO '!A73</f>
        <v>PROGRAMA</v>
      </c>
      <c r="B73" s="106" t="str">
        <f>'CUMPLIMIENTO '!B73</f>
        <v>2.9.1</v>
      </c>
      <c r="C73" s="111" t="str">
        <f>'CUMPLIMIENTO '!C73</f>
        <v>Fortalecimiento del sistema territorial del CTI.</v>
      </c>
      <c r="D73" s="199">
        <f>'CUMPLIMIENTO '!D73</f>
        <v>2</v>
      </c>
      <c r="E73" s="199">
        <f>'CUMPLIMIENTO '!E73</f>
        <v>2</v>
      </c>
      <c r="F73" s="61">
        <f>'CUMPLIMIENTO '!G73</f>
        <v>0.37500000000000006</v>
      </c>
      <c r="G73" s="61">
        <f>'CUMPLIMIENTO '!H73</f>
        <v>1</v>
      </c>
    </row>
    <row r="74" spans="1:12" ht="30" hidden="1" x14ac:dyDescent="0.25">
      <c r="A74" s="198" t="str">
        <f>'CUMPLIMIENTO '!A74</f>
        <v>PROGRAMA</v>
      </c>
      <c r="B74" s="106" t="str">
        <f>'CUMPLIMIENTO '!B74</f>
        <v>2.9.2</v>
      </c>
      <c r="C74" s="111" t="str">
        <f>'CUMPLIMIENTO '!C74</f>
        <v>Apropiación social del CTEI y vocaciones para la consolidación de una sociedad del conocimiento.</v>
      </c>
      <c r="D74" s="199">
        <f>'CUMPLIMIENTO '!D74</f>
        <v>6</v>
      </c>
      <c r="E74" s="199">
        <f>'CUMPLIMIENTO '!E74</f>
        <v>6</v>
      </c>
      <c r="F74" s="61">
        <f>'CUMPLIMIENTO '!G74</f>
        <v>0.13208333333333333</v>
      </c>
      <c r="G74" s="61">
        <f>'CUMPLIMIENTO '!H74</f>
        <v>0.41285714285714292</v>
      </c>
    </row>
    <row r="75" spans="1:12" ht="15.75" hidden="1" x14ac:dyDescent="0.25">
      <c r="A75" s="198" t="str">
        <f>'CUMPLIMIENTO '!A75</f>
        <v>PROGRAMA</v>
      </c>
      <c r="B75" s="106" t="str">
        <f>'CUMPLIMIENTO '!B75</f>
        <v>2.9.3</v>
      </c>
      <c r="C75" s="111" t="str">
        <f>'CUMPLIMIENTO '!C75</f>
        <v>Formación del capital humano de alto nivel del CTEI</v>
      </c>
      <c r="D75" s="199">
        <f>'CUMPLIMIENTO '!D75</f>
        <v>2</v>
      </c>
      <c r="E75" s="199">
        <f>'CUMPLIMIENTO '!E75</f>
        <v>2</v>
      </c>
      <c r="F75" s="61">
        <f>'CUMPLIMIENTO '!G75</f>
        <v>0.17857142857142858</v>
      </c>
      <c r="G75" s="61">
        <f>'CUMPLIMIENTO '!H75</f>
        <v>0.5</v>
      </c>
    </row>
    <row r="76" spans="1:12" ht="15.75" hidden="1" x14ac:dyDescent="0.25">
      <c r="A76" s="198" t="str">
        <f>'CUMPLIMIENTO '!A76</f>
        <v>PROGRAMA</v>
      </c>
      <c r="B76" s="106" t="str">
        <f>'CUMPLIMIENTO '!B76</f>
        <v>2.9.4</v>
      </c>
      <c r="C76" s="111" t="str">
        <f>'CUMPLIMIENTO '!C76</f>
        <v>Innovación para el desarrollo sostenible</v>
      </c>
      <c r="D76" s="199">
        <f>'CUMPLIMIENTO '!D76</f>
        <v>1</v>
      </c>
      <c r="E76" s="199">
        <f>'CUMPLIMIENTO '!E76</f>
        <v>1</v>
      </c>
      <c r="F76" s="61">
        <f>'CUMPLIMIENTO '!G76</f>
        <v>0.03</v>
      </c>
      <c r="G76" s="61">
        <f>'CUMPLIMIENTO '!H76</f>
        <v>0.1</v>
      </c>
    </row>
    <row r="77" spans="1:12" ht="15.75" hidden="1" x14ac:dyDescent="0.25">
      <c r="A77" s="202" t="str">
        <f>'CUMPLIMIENTO '!A77</f>
        <v>LINEA</v>
      </c>
      <c r="B77" s="203" t="str">
        <f>'CUMPLIMIENTO '!B77</f>
        <v>2.10</v>
      </c>
      <c r="C77" s="202" t="str">
        <f>'CUMPLIMIENTO '!C77</f>
        <v>FORMACIÓN PARA EL TRABAJO</v>
      </c>
      <c r="D77" s="216">
        <f>'CUMPLIMIENTO '!D77</f>
        <v>4</v>
      </c>
      <c r="E77" s="216" t="str">
        <f>'CUMPLIMIENTO '!E77</f>
        <v>NP</v>
      </c>
      <c r="F77" s="217">
        <f>'CUMPLIMIENTO '!G77</f>
        <v>0</v>
      </c>
      <c r="G77" s="218" t="str">
        <f>'CUMPLIMIENTO '!H77</f>
        <v>NP</v>
      </c>
    </row>
    <row r="78" spans="1:12" ht="30" hidden="1" x14ac:dyDescent="0.25">
      <c r="A78" s="198" t="str">
        <f>'CUMPLIMIENTO '!A78</f>
        <v>PROGRAMA</v>
      </c>
      <c r="B78" s="106" t="str">
        <f>'CUMPLIMIENTO '!B78</f>
        <v>2.10.1</v>
      </c>
      <c r="C78" s="111" t="str">
        <f>'CUMPLIMIENTO '!C78</f>
        <v>Bolívar primero facilita el acceso a la educación superior, la educación para el trabajo y el desarrollo humano</v>
      </c>
      <c r="D78" s="199">
        <f>'CUMPLIMIENTO '!D78</f>
        <v>4</v>
      </c>
      <c r="E78" s="199" t="str">
        <f>'CUMPLIMIENTO '!E78</f>
        <v>NP</v>
      </c>
      <c r="F78" s="61">
        <f>'CUMPLIMIENTO '!G78</f>
        <v>0</v>
      </c>
      <c r="G78" s="61" t="str">
        <f>'CUMPLIMIENTO '!H78</f>
        <v>NP</v>
      </c>
    </row>
    <row r="79" spans="1:12" ht="18.75" x14ac:dyDescent="0.25">
      <c r="A79" s="227" t="str">
        <f>'CUMPLIMIENTO '!A79</f>
        <v>EJE ESTRATEGICO</v>
      </c>
      <c r="B79" s="226">
        <f>'CUMPLIMIENTO '!B79</f>
        <v>3</v>
      </c>
      <c r="C79" s="227" t="str">
        <f>'CUMPLIMIENTO '!C79</f>
        <v xml:space="preserve">GESTIÓN AMBIENTAL Y ORDENAMIENTO TERRITORIAL
</v>
      </c>
      <c r="D79" s="187">
        <f>'CUMPLIMIENTO '!D79</f>
        <v>23</v>
      </c>
      <c r="E79" s="187">
        <f>'CUMPLIMIENTO '!F79</f>
        <v>17</v>
      </c>
      <c r="F79" s="188">
        <f>'CUMPLIMIENTO '!G79</f>
        <v>0.22340166188027338</v>
      </c>
      <c r="G79" s="188">
        <f>'CUMPLIMIENTO '!H79</f>
        <v>0.28496980676328504</v>
      </c>
      <c r="J79" s="513"/>
      <c r="K79" t="s">
        <v>2036</v>
      </c>
      <c r="L79" t="s">
        <v>2038</v>
      </c>
    </row>
    <row r="80" spans="1:12" ht="15.75" hidden="1" x14ac:dyDescent="0.25">
      <c r="A80" s="202" t="str">
        <f>'CUMPLIMIENTO '!A80</f>
        <v>LINEA</v>
      </c>
      <c r="B80" s="203" t="str">
        <f>'CUMPLIMIENTO '!B80</f>
        <v>3.1</v>
      </c>
      <c r="C80" s="202" t="str">
        <f>'CUMPLIMIENTO '!C80</f>
        <v>BOLIVAR PRIMERO GESTIÓN AMBIENTAL Y DESARROLLO TERRITORIAL</v>
      </c>
      <c r="D80" s="216">
        <f>'CUMPLIMIENTO '!D80</f>
        <v>5</v>
      </c>
      <c r="E80" s="216">
        <f>'CUMPLIMIENTO '!E80</f>
        <v>2</v>
      </c>
      <c r="F80" s="217">
        <f>'CUMPLIMIENTO '!G80</f>
        <v>0.2</v>
      </c>
      <c r="G80" s="218">
        <f>'CUMPLIMIENTO '!H80</f>
        <v>0.5</v>
      </c>
    </row>
    <row r="81" spans="1:12" ht="15.75" hidden="1" x14ac:dyDescent="0.25">
      <c r="A81" s="198" t="str">
        <f>'CUMPLIMIENTO '!A81</f>
        <v>PROGRAMA</v>
      </c>
      <c r="B81" s="106" t="str">
        <f>'CUMPLIMIENTO '!B81</f>
        <v xml:space="preserve">3.1.1 </v>
      </c>
      <c r="C81" s="111" t="str">
        <f>'CUMPLIMIENTO '!C81</f>
        <v>Ordenamiento territorial y para un bolívar primero en institucionalidad</v>
      </c>
      <c r="D81" s="199">
        <f>'CUMPLIMIENTO '!D81</f>
        <v>5</v>
      </c>
      <c r="E81" s="199">
        <f>'CUMPLIMIENTO '!E81</f>
        <v>2</v>
      </c>
      <c r="F81" s="61">
        <f>'CUMPLIMIENTO '!G81</f>
        <v>0.2</v>
      </c>
      <c r="G81" s="61">
        <f>'CUMPLIMIENTO '!H81</f>
        <v>0.5</v>
      </c>
    </row>
    <row r="82" spans="1:12" ht="15.75" hidden="1" x14ac:dyDescent="0.25">
      <c r="A82" s="202" t="str">
        <f>'CUMPLIMIENTO '!A82</f>
        <v>LINEA</v>
      </c>
      <c r="B82" s="203" t="str">
        <f>'CUMPLIMIENTO '!B82</f>
        <v>3.2</v>
      </c>
      <c r="C82" s="202" t="str">
        <f>'CUMPLIMIENTO '!C82</f>
        <v>BOLÍVAR PRIMERO EN CONSERVACIÓN AMBIENTAL</v>
      </c>
      <c r="D82" s="216">
        <f>'CUMPLIMIENTO '!D82</f>
        <v>5</v>
      </c>
      <c r="E82" s="216">
        <f>'CUMPLIMIENTO '!E82</f>
        <v>4</v>
      </c>
      <c r="F82" s="217">
        <f>'CUMPLIMIENTO '!G82</f>
        <v>0.23333333333333334</v>
      </c>
      <c r="G82" s="218">
        <f>'CUMPLIMIENTO '!H82</f>
        <v>0.25</v>
      </c>
    </row>
    <row r="83" spans="1:12" ht="15.75" hidden="1" x14ac:dyDescent="0.25">
      <c r="A83" s="198" t="str">
        <f>'CUMPLIMIENTO '!A83</f>
        <v>PROGRAMA</v>
      </c>
      <c r="B83" s="106" t="str">
        <f>'CUMPLIMIENTO '!B83</f>
        <v>3.2.1</v>
      </c>
      <c r="C83" s="111" t="str">
        <f>'CUMPLIMIENTO '!C83</f>
        <v>Ambiente por un Bolívar primero en conservación</v>
      </c>
      <c r="D83" s="199">
        <f>'CUMPLIMIENTO '!D83</f>
        <v>5</v>
      </c>
      <c r="E83" s="199">
        <f>'CUMPLIMIENTO '!E83</f>
        <v>4</v>
      </c>
      <c r="F83" s="61">
        <f>'CUMPLIMIENTO '!G83</f>
        <v>0.23333333333333334</v>
      </c>
      <c r="G83" s="61">
        <f>'CUMPLIMIENTO '!H83</f>
        <v>0.25</v>
      </c>
    </row>
    <row r="84" spans="1:12" ht="15.75" hidden="1" x14ac:dyDescent="0.25">
      <c r="A84" s="202" t="str">
        <f>'CUMPLIMIENTO '!A84</f>
        <v>LINEA</v>
      </c>
      <c r="B84" s="203" t="str">
        <f>'CUMPLIMIENTO '!B84</f>
        <v>3.3</v>
      </c>
      <c r="C84" s="202" t="str">
        <f>'CUMPLIMIENTO '!C84</f>
        <v>BOLIVAR PRIMERO EN ADAPTACIÓN Y MITIGACIÓN DEL CAMBIO CLIMÁTICO</v>
      </c>
      <c r="D84" s="216">
        <f>'CUMPLIMIENTO '!D84</f>
        <v>2</v>
      </c>
      <c r="E84" s="216">
        <f>'CUMPLIMIENTO '!E84</f>
        <v>1</v>
      </c>
      <c r="F84" s="217">
        <f>'CUMPLIMIENTO '!G84</f>
        <v>2.5000000000000001E-2</v>
      </c>
      <c r="G84" s="218">
        <f>'CUMPLIMIENTO '!H84</f>
        <v>0.05</v>
      </c>
    </row>
    <row r="85" spans="1:12" ht="15.75" hidden="1" x14ac:dyDescent="0.25">
      <c r="A85" s="198" t="str">
        <f>'CUMPLIMIENTO '!A85</f>
        <v>PROGRAMA</v>
      </c>
      <c r="B85" s="106" t="str">
        <f>'CUMPLIMIENTO '!B85</f>
        <v>3.3.1</v>
      </c>
      <c r="C85" s="111" t="str">
        <f>'CUMPLIMIENTO '!C85</f>
        <v>Cambio Climatico</v>
      </c>
      <c r="D85" s="199">
        <f>'CUMPLIMIENTO '!D85</f>
        <v>2</v>
      </c>
      <c r="E85" s="199" t="str">
        <f>'CUMPLIMIENTO '!E85</f>
        <v>NP</v>
      </c>
      <c r="F85" s="61">
        <f>'CUMPLIMIENTO '!G85</f>
        <v>2.5000000000000001E-2</v>
      </c>
      <c r="G85" s="61">
        <f>'CUMPLIMIENTO '!H85</f>
        <v>0.05</v>
      </c>
    </row>
    <row r="86" spans="1:12" ht="15.75" hidden="1" x14ac:dyDescent="0.25">
      <c r="A86" s="202" t="str">
        <f>'CUMPLIMIENTO '!A86</f>
        <v>LINEA</v>
      </c>
      <c r="B86" s="203" t="str">
        <f>'CUMPLIMIENTO '!B86</f>
        <v>3.4</v>
      </c>
      <c r="C86" s="202" t="str">
        <f>'CUMPLIMIENTO '!C86</f>
        <v>GESTIÓN DEL RIESGO</v>
      </c>
      <c r="D86" s="216">
        <f>'CUMPLIMIENTO '!D86</f>
        <v>11</v>
      </c>
      <c r="E86" s="216">
        <f>'CUMPLIMIENTO '!E86</f>
        <v>7</v>
      </c>
      <c r="F86" s="217">
        <f>'CUMPLIMIENTO '!G86</f>
        <v>0.43527331418776022</v>
      </c>
      <c r="G86" s="218">
        <f>'CUMPLIMIENTO '!H86</f>
        <v>0.33987922705314011</v>
      </c>
    </row>
    <row r="87" spans="1:12" ht="15.75" hidden="1" x14ac:dyDescent="0.25">
      <c r="A87" s="198" t="str">
        <f>'CUMPLIMIENTO '!A87</f>
        <v>PROGRAMA</v>
      </c>
      <c r="B87" s="106" t="str">
        <f>'CUMPLIMIENTO '!B87</f>
        <v xml:space="preserve">3.4.1 </v>
      </c>
      <c r="C87" s="111" t="str">
        <f>'CUMPLIMIENTO '!C87</f>
        <v>Conocimiento del Riesgo</v>
      </c>
      <c r="D87" s="199">
        <f>'CUMPLIMIENTO '!D87</f>
        <v>3</v>
      </c>
      <c r="E87" s="199">
        <f>'CUMPLIMIENTO '!E87</f>
        <v>1</v>
      </c>
      <c r="F87" s="61">
        <f>'CUMPLIMIENTO '!G87</f>
        <v>0.28354037267080745</v>
      </c>
      <c r="G87" s="61">
        <f>'CUMPLIMIENTO '!H87</f>
        <v>0.52463768115942022</v>
      </c>
    </row>
    <row r="88" spans="1:12" ht="15.75" hidden="1" x14ac:dyDescent="0.25">
      <c r="A88" s="198" t="str">
        <f>'CUMPLIMIENTO '!A88</f>
        <v>PROGRAMA</v>
      </c>
      <c r="B88" s="106" t="str">
        <f>'CUMPLIMIENTO '!B88</f>
        <v xml:space="preserve">3.4.2 </v>
      </c>
      <c r="C88" s="111" t="str">
        <f>'CUMPLIMIENTO '!C88</f>
        <v>Disminución y/o Elimicación del Riesgo</v>
      </c>
      <c r="D88" s="199">
        <f>'CUMPLIMIENTO '!D88</f>
        <v>3</v>
      </c>
      <c r="E88" s="199">
        <f>'CUMPLIMIENTO '!E88</f>
        <v>3</v>
      </c>
      <c r="F88" s="61">
        <f>'CUMPLIMIENTO '!G88</f>
        <v>0.55161290322580647</v>
      </c>
      <c r="G88" s="61">
        <f>'CUMPLIMIENTO '!H88</f>
        <v>7.4999999999999997E-2</v>
      </c>
    </row>
    <row r="89" spans="1:12" ht="15.75" hidden="1" x14ac:dyDescent="0.25">
      <c r="A89" s="198" t="str">
        <f>'CUMPLIMIENTO '!A89</f>
        <v>PROGRAMA</v>
      </c>
      <c r="B89" s="106" t="str">
        <f>'CUMPLIMIENTO '!B89</f>
        <v>3.4.3</v>
      </c>
      <c r="C89" s="111" t="str">
        <f>'CUMPLIMIENTO '!C89</f>
        <v>Atencion de Desastre</v>
      </c>
      <c r="D89" s="199">
        <f>'CUMPLIMIENTO '!D89</f>
        <v>5</v>
      </c>
      <c r="E89" s="199">
        <f>'CUMPLIMIENTO '!E89</f>
        <v>3</v>
      </c>
      <c r="F89" s="61">
        <f>'CUMPLIMIENTO '!G89</f>
        <v>0.47066666666666668</v>
      </c>
      <c r="G89" s="61">
        <f>'CUMPLIMIENTO '!H89</f>
        <v>0.42000000000000004</v>
      </c>
    </row>
    <row r="90" spans="1:12" ht="18.75" x14ac:dyDescent="0.25">
      <c r="A90" s="230" t="str">
        <f>'CUMPLIMIENTO '!A90</f>
        <v>EJE ESTRATEGICO</v>
      </c>
      <c r="B90" s="303">
        <f>'CUMPLIMIENTO '!B90</f>
        <v>4</v>
      </c>
      <c r="C90" s="304" t="str">
        <f>'CUMPLIMIENTO '!C90</f>
        <v>BOLÍVAR PRIMERO EN FORTALECIMIENTO INSTITUCIONAL Y SEGURIDAD EFECTIVA PARA TODOS</v>
      </c>
      <c r="D90" s="305">
        <f>'CUMPLIMIENTO '!D90</f>
        <v>68</v>
      </c>
      <c r="E90" s="305">
        <f>'CUMPLIMIENTO '!F90</f>
        <v>62</v>
      </c>
      <c r="F90" s="306">
        <f>'CUMPLIMIENTO '!G90</f>
        <v>0.21518996587883446</v>
      </c>
      <c r="G90" s="306">
        <f>'CUMPLIMIENTO '!H90</f>
        <v>0.20474983465608465</v>
      </c>
      <c r="J90" s="514"/>
      <c r="K90" t="s">
        <v>2040</v>
      </c>
      <c r="L90" t="s">
        <v>2039</v>
      </c>
    </row>
    <row r="91" spans="1:12" ht="15.75" hidden="1" x14ac:dyDescent="0.25">
      <c r="A91" s="202" t="str">
        <f>'CUMPLIMIENTO '!A91</f>
        <v>LINEA</v>
      </c>
      <c r="B91" s="203" t="str">
        <f>'CUMPLIMIENTO '!B91</f>
        <v>4.1</v>
      </c>
      <c r="C91" s="202" t="str">
        <f>'CUMPLIMIENTO '!C91</f>
        <v>BOLÍVAR SEGURO</v>
      </c>
      <c r="D91" s="216">
        <f>'CUMPLIMIENTO '!D91</f>
        <v>4</v>
      </c>
      <c r="E91" s="216">
        <f>'CUMPLIMIENTO '!E91</f>
        <v>2</v>
      </c>
      <c r="F91" s="217">
        <f>'CUMPLIMIENTO '!G91</f>
        <v>5.9583333333333335E-2</v>
      </c>
      <c r="G91" s="218">
        <f>'CUMPLIMIENTO '!H91</f>
        <v>0.25</v>
      </c>
    </row>
    <row r="92" spans="1:12" ht="15.75" hidden="1" x14ac:dyDescent="0.25">
      <c r="A92" s="198" t="str">
        <f>'CUMPLIMIENTO '!A92</f>
        <v>PROGRAMA</v>
      </c>
      <c r="B92" s="106" t="str">
        <f>'CUMPLIMIENTO '!B92</f>
        <v>4.1.1</v>
      </c>
      <c r="C92" s="111" t="str">
        <f>'CUMPLIMIENTO '!C92</f>
        <v>Fortalecimiento integral de la seguridad y convivencia</v>
      </c>
      <c r="D92" s="199">
        <f>'CUMPLIMIENTO '!D92</f>
        <v>4</v>
      </c>
      <c r="E92" s="199">
        <f>'CUMPLIMIENTO '!E92</f>
        <v>2</v>
      </c>
      <c r="F92" s="61">
        <f>'CUMPLIMIENTO '!G92</f>
        <v>5.9583333333333335E-2</v>
      </c>
      <c r="G92" s="61">
        <f>'CUMPLIMIENTO '!H92</f>
        <v>0.25</v>
      </c>
    </row>
    <row r="93" spans="1:12" ht="15.75" hidden="1" x14ac:dyDescent="0.25">
      <c r="A93" s="202" t="str">
        <f>'CUMPLIMIENTO '!A93</f>
        <v>LINEA</v>
      </c>
      <c r="B93" s="203" t="str">
        <f>'CUMPLIMIENTO '!B93</f>
        <v>4.2</v>
      </c>
      <c r="C93" s="202" t="str">
        <f>'CUMPLIMIENTO '!C93</f>
        <v>BOLÍVAR PRIMERO EN DERECHOS HUMANOS</v>
      </c>
      <c r="D93" s="216">
        <f>'CUMPLIMIENTO '!D93</f>
        <v>7</v>
      </c>
      <c r="E93" s="216">
        <f>'CUMPLIMIENTO '!E93</f>
        <v>7</v>
      </c>
      <c r="F93" s="217">
        <f>'CUMPLIMIENTO '!G93</f>
        <v>0.3392857142857143</v>
      </c>
      <c r="G93" s="218">
        <f>'CUMPLIMIENTO '!H93</f>
        <v>0.51904761904761909</v>
      </c>
    </row>
    <row r="94" spans="1:12" ht="15.75" hidden="1" x14ac:dyDescent="0.25">
      <c r="A94" s="198" t="str">
        <f>'CUMPLIMIENTO '!A94</f>
        <v>PROGRAMA</v>
      </c>
      <c r="B94" s="106" t="str">
        <f>'CUMPLIMIENTO '!B94</f>
        <v>4.2.1</v>
      </c>
      <c r="C94" s="111" t="str">
        <f>'CUMPLIMIENTO '!C94</f>
        <v>Garantía integral de los derechos humanos.</v>
      </c>
      <c r="D94" s="199">
        <f>'CUMPLIMIENTO '!D94</f>
        <v>7</v>
      </c>
      <c r="E94" s="199">
        <f>'CUMPLIMIENTO '!E94</f>
        <v>7</v>
      </c>
      <c r="F94" s="61">
        <f>'CUMPLIMIENTO '!G94</f>
        <v>0.3392857142857143</v>
      </c>
      <c r="G94" s="61">
        <f>'CUMPLIMIENTO '!H94</f>
        <v>0.51904761904761909</v>
      </c>
    </row>
    <row r="95" spans="1:12" ht="15.75" hidden="1" x14ac:dyDescent="0.25">
      <c r="A95" s="202" t="str">
        <f>'CUMPLIMIENTO '!A95</f>
        <v>LINEA</v>
      </c>
      <c r="B95" s="203" t="str">
        <f>'CUMPLIMIENTO '!B95</f>
        <v>4.3</v>
      </c>
      <c r="C95" s="202" t="str">
        <f>'CUMPLIMIENTO '!C95</f>
        <v>BOLÍVAR CON SISTEMA INTEGRAL DE PLANIFICACION DEPARTAMENTAL</v>
      </c>
      <c r="D95" s="216">
        <f>'CUMPLIMIENTO '!D95</f>
        <v>13</v>
      </c>
      <c r="E95" s="216">
        <f>'CUMPLIMIENTO '!E95</f>
        <v>10</v>
      </c>
      <c r="F95" s="217">
        <f>'CUMPLIMIENTO '!G95</f>
        <v>0.3098710317460317</v>
      </c>
      <c r="G95" s="218">
        <f>'CUMPLIMIENTO '!H95</f>
        <v>0.30888888888888888</v>
      </c>
    </row>
    <row r="96" spans="1:12" ht="15.75" hidden="1" x14ac:dyDescent="0.25">
      <c r="A96" s="198" t="str">
        <f>'CUMPLIMIENTO '!A96</f>
        <v>PROGRAMA</v>
      </c>
      <c r="B96" s="106" t="str">
        <f>'CUMPLIMIENTO '!B96</f>
        <v>4.3.1</v>
      </c>
      <c r="C96" s="111" t="str">
        <f>'CUMPLIMIENTO '!C96</f>
        <v>Fortalecimiento al sistema de Planeación departamental.</v>
      </c>
      <c r="D96" s="199">
        <f>'CUMPLIMIENTO '!D96</f>
        <v>8</v>
      </c>
      <c r="E96" s="199">
        <f>'CUMPLIMIENTO '!E96</f>
        <v>7</v>
      </c>
      <c r="F96" s="61">
        <f>'CUMPLIMIENTO '!G96</f>
        <v>0.39196428571428565</v>
      </c>
      <c r="G96" s="61">
        <f>'CUMPLIMIENTO '!H96</f>
        <v>0.33333333333333331</v>
      </c>
    </row>
    <row r="97" spans="1:7" ht="15.75" hidden="1" x14ac:dyDescent="0.25">
      <c r="A97" s="198" t="str">
        <f>'CUMPLIMIENTO '!A97</f>
        <v>PROGRAMA</v>
      </c>
      <c r="B97" s="106" t="str">
        <f>'CUMPLIMIENTO '!B97</f>
        <v>4.3.2</v>
      </c>
      <c r="C97" s="111" t="str">
        <f>'CUMPLIMIENTO '!C97</f>
        <v>Programa Descentralización y planeación territorial</v>
      </c>
      <c r="D97" s="199">
        <f>'CUMPLIMIENTO '!D97</f>
        <v>5</v>
      </c>
      <c r="E97" s="199">
        <f>'CUMPLIMIENTO '!E97</f>
        <v>3</v>
      </c>
      <c r="F97" s="61">
        <f>'CUMPLIMIENTO '!G97</f>
        <v>0.22777777777777777</v>
      </c>
      <c r="G97" s="61">
        <f>'CUMPLIMIENTO '!H97</f>
        <v>0.28444444444444444</v>
      </c>
    </row>
    <row r="98" spans="1:7" ht="15.75" hidden="1" x14ac:dyDescent="0.25">
      <c r="A98" s="202" t="str">
        <f>'CUMPLIMIENTO '!A98</f>
        <v>LINEA</v>
      </c>
      <c r="B98" s="203" t="str">
        <f>'CUMPLIMIENTO '!B98</f>
        <v>4.4</v>
      </c>
      <c r="C98" s="202" t="str">
        <f>'CUMPLIMIENTO '!C98</f>
        <v xml:space="preserve">BOLÍVAR CON INSTITUCIONALIDAD AL SERVICIO DE LA CIUDADANÍA. </v>
      </c>
      <c r="D98" s="216">
        <f>'CUMPLIMIENTO '!D98</f>
        <v>26</v>
      </c>
      <c r="E98" s="216">
        <f>'CUMPLIMIENTO '!E98</f>
        <v>21</v>
      </c>
      <c r="F98" s="217">
        <f>'CUMPLIMIENTO '!G98</f>
        <v>0.34112987463808625</v>
      </c>
      <c r="G98" s="218">
        <f>'CUMPLIMIENTO '!H98</f>
        <v>0.12556249999999999</v>
      </c>
    </row>
    <row r="99" spans="1:7" ht="15.75" hidden="1" x14ac:dyDescent="0.25">
      <c r="A99" s="198" t="str">
        <f>'CUMPLIMIENTO '!A99</f>
        <v>PROGRAMA</v>
      </c>
      <c r="B99" s="106" t="str">
        <f>'CUMPLIMIENTO '!B99</f>
        <v>4.4.1</v>
      </c>
      <c r="C99" s="111" t="str">
        <f>'CUMPLIMIENTO '!C99</f>
        <v>Atención y servicios al ciudadano de calidad al alcance de todos.</v>
      </c>
      <c r="D99" s="199">
        <f>'CUMPLIMIENTO '!D99</f>
        <v>5</v>
      </c>
      <c r="E99" s="199">
        <f>'CUMPLIMIENTO '!E99</f>
        <v>2</v>
      </c>
      <c r="F99" s="61">
        <f>'CUMPLIMIENTO '!G99</f>
        <v>0.167625</v>
      </c>
      <c r="G99" s="61">
        <f>'CUMPLIMIENTO '!H99</f>
        <v>1.5000000000000001E-2</v>
      </c>
    </row>
    <row r="100" spans="1:7" ht="15.75" hidden="1" x14ac:dyDescent="0.25">
      <c r="A100" s="198" t="str">
        <f>'CUMPLIMIENTO '!A100</f>
        <v>PROGRAMA</v>
      </c>
      <c r="B100" s="106" t="str">
        <f>'CUMPLIMIENTO '!B100</f>
        <v>4.4.2</v>
      </c>
      <c r="C100" s="111" t="str">
        <f>'CUMPLIMIENTO '!C100</f>
        <v>Gestión Documental</v>
      </c>
      <c r="D100" s="199">
        <f>'CUMPLIMIENTO '!D100</f>
        <v>4</v>
      </c>
      <c r="E100" s="199">
        <f>'CUMPLIMIENTO '!E100</f>
        <v>2</v>
      </c>
      <c r="F100" s="61">
        <f>'CUMPLIMIENTO '!G100</f>
        <v>0.21513888888888891</v>
      </c>
      <c r="G100" s="61">
        <f>'CUMPLIMIENTO '!H100</f>
        <v>0.16999999999999998</v>
      </c>
    </row>
    <row r="101" spans="1:7" ht="15.75" hidden="1" x14ac:dyDescent="0.25">
      <c r="A101" s="198" t="str">
        <f>'CUMPLIMIENTO '!A101</f>
        <v>PROGRAMA</v>
      </c>
      <c r="B101" s="106" t="str">
        <f>'CUMPLIMIENTO '!B101</f>
        <v>4.4.3</v>
      </c>
      <c r="C101" s="111" t="str">
        <f>'CUMPLIMIENTO '!C101</f>
        <v>Gobierno Digital</v>
      </c>
      <c r="D101" s="199">
        <f>'CUMPLIMIENTO '!D101</f>
        <v>8</v>
      </c>
      <c r="E101" s="199">
        <f>'CUMPLIMIENTO '!E101</f>
        <v>8</v>
      </c>
      <c r="F101" s="61">
        <f>'CUMPLIMIENTO '!G101</f>
        <v>0.72017489035087723</v>
      </c>
      <c r="G101" s="61">
        <f>'CUMPLIMIENTO '!H101</f>
        <v>0.13200000000000001</v>
      </c>
    </row>
    <row r="102" spans="1:7" ht="15.75" hidden="1" x14ac:dyDescent="0.25">
      <c r="A102" s="198" t="str">
        <f>'CUMPLIMIENTO '!A102</f>
        <v>PROGRAMA</v>
      </c>
      <c r="B102" s="106" t="str">
        <f>'CUMPLIMIENTO '!B102</f>
        <v>4.4.4</v>
      </c>
      <c r="C102" s="111" t="str">
        <f>'CUMPLIMIENTO '!C102</f>
        <v>Infraestructura física para todos</v>
      </c>
      <c r="D102" s="199">
        <f>'CUMPLIMIENTO '!D102</f>
        <v>3</v>
      </c>
      <c r="E102" s="199">
        <f>'CUMPLIMIENTO '!E102</f>
        <v>3</v>
      </c>
      <c r="F102" s="61">
        <f>'CUMPLIMIENTO '!G102</f>
        <v>0.77276688453159048</v>
      </c>
      <c r="G102" s="61">
        <f>'CUMPLIMIENTO '!H102</f>
        <v>8.3333333333333329E-2</v>
      </c>
    </row>
    <row r="103" spans="1:7" ht="15.75" hidden="1" x14ac:dyDescent="0.25">
      <c r="A103" s="198" t="str">
        <f>'CUMPLIMIENTO '!A103</f>
        <v>PROGRAMA</v>
      </c>
      <c r="B103" s="106" t="str">
        <f>'CUMPLIMIENTO '!B103</f>
        <v>4.4.5</v>
      </c>
      <c r="C103" s="111" t="str">
        <f>'CUMPLIMIENTO '!C103</f>
        <v>Asistencia Municipal</v>
      </c>
      <c r="D103" s="199">
        <f>'CUMPLIMIENTO '!D103</f>
        <v>1</v>
      </c>
      <c r="E103" s="199">
        <f>'CUMPLIMIENTO '!E103</f>
        <v>1</v>
      </c>
      <c r="F103" s="61">
        <f>'CUMPLIMIENTO '!G103</f>
        <v>0.2</v>
      </c>
      <c r="G103" s="61">
        <f>'CUMPLIMIENTO '!H103</f>
        <v>0.25</v>
      </c>
    </row>
    <row r="104" spans="1:7" ht="15.75" hidden="1" x14ac:dyDescent="0.25">
      <c r="A104" s="198" t="str">
        <f>'CUMPLIMIENTO '!A104</f>
        <v>PROGRAMA</v>
      </c>
      <c r="B104" s="106" t="str">
        <f>'CUMPLIMIENTO '!B104</f>
        <v>4.4.6</v>
      </c>
      <c r="C104" s="111" t="str">
        <f>'CUMPLIMIENTO '!C104</f>
        <v>Programa: Cuerpos Bomberos</v>
      </c>
      <c r="D104" s="199">
        <f>'CUMPLIMIENTO '!D104</f>
        <v>1</v>
      </c>
      <c r="E104" s="199">
        <f>'CUMPLIMIENTO '!E104</f>
        <v>1</v>
      </c>
      <c r="F104" s="61">
        <f>'CUMPLIMIENTO '!G104</f>
        <v>0.12</v>
      </c>
      <c r="G104" s="61">
        <f>'CUMPLIMIENTO '!H104</f>
        <v>0.25</v>
      </c>
    </row>
    <row r="105" spans="1:7" ht="15.75" hidden="1" x14ac:dyDescent="0.25">
      <c r="A105" s="198" t="str">
        <f>'CUMPLIMIENTO '!A105</f>
        <v>PROGRAMA</v>
      </c>
      <c r="B105" s="106" t="str">
        <f>'CUMPLIMIENTO '!B105</f>
        <v>4.4.7</v>
      </c>
      <c r="C105" s="111" t="str">
        <f>'CUMPLIMIENTO '!C105</f>
        <v>Mejores funcionarios, mejor gobierno</v>
      </c>
      <c r="D105" s="199">
        <f>'CUMPLIMIENTO '!D105</f>
        <v>1</v>
      </c>
      <c r="E105" s="199">
        <f>'CUMPLIMIENTO '!E105</f>
        <v>1</v>
      </c>
      <c r="F105" s="61">
        <f>'CUMPLIMIENTO '!G105</f>
        <v>0.5</v>
      </c>
      <c r="G105" s="61">
        <f>'CUMPLIMIENTO '!H105</f>
        <v>0</v>
      </c>
    </row>
    <row r="106" spans="1:7" ht="15.75" hidden="1" x14ac:dyDescent="0.25">
      <c r="A106" s="198" t="str">
        <f>'CUMPLIMIENTO '!A106</f>
        <v>PROGRAMA</v>
      </c>
      <c r="B106" s="106" t="str">
        <f>'CUMPLIMIENTO '!B106</f>
        <v>4.4.8</v>
      </c>
      <c r="C106" s="111" t="str">
        <f>'CUMPLIMIENTO '!C106</f>
        <v>Bolívar primero en el territorio: diálogo y acción</v>
      </c>
      <c r="D106" s="199">
        <f>'CUMPLIMIENTO '!D106</f>
        <v>3</v>
      </c>
      <c r="E106" s="199">
        <f>'CUMPLIMIENTO '!E106</f>
        <v>3</v>
      </c>
      <c r="F106" s="61">
        <f>'CUMPLIMIENTO '!G106</f>
        <v>3.3333333333333333E-2</v>
      </c>
      <c r="G106" s="61">
        <f>'CUMPLIMIENTO '!H106</f>
        <v>0.10416666666666667</v>
      </c>
    </row>
    <row r="107" spans="1:7" ht="15.75" hidden="1" x14ac:dyDescent="0.25">
      <c r="A107" s="202" t="str">
        <f>'CUMPLIMIENTO '!A107</f>
        <v>LINEA</v>
      </c>
      <c r="B107" s="203" t="str">
        <f>'CUMPLIMIENTO '!B107</f>
        <v>4.5</v>
      </c>
      <c r="C107" s="202" t="str">
        <f>'CUMPLIMIENTO '!C107</f>
        <v xml:space="preserve">BOLÍVAR CONTROLA LAS FINANZAS PÚBLICAS. </v>
      </c>
      <c r="D107" s="216">
        <f>'CUMPLIMIENTO '!D107</f>
        <v>7</v>
      </c>
      <c r="E107" s="216">
        <f>'CUMPLIMIENTO '!E107</f>
        <v>2</v>
      </c>
      <c r="F107" s="217">
        <f>'CUMPLIMIENTO '!G107</f>
        <v>3.5714285714285712E-2</v>
      </c>
      <c r="G107" s="218">
        <f>'CUMPLIMIENTO '!H107</f>
        <v>0</v>
      </c>
    </row>
    <row r="108" spans="1:7" ht="24.6" hidden="1" customHeight="1" x14ac:dyDescent="0.25">
      <c r="A108" s="198" t="str">
        <f>'CUMPLIMIENTO '!A108</f>
        <v>PROGRAMA</v>
      </c>
      <c r="B108" s="106" t="str">
        <f>'CUMPLIMIENTO '!B108</f>
        <v>4.5.1</v>
      </c>
      <c r="C108" s="111" t="str">
        <f>'CUMPLIMIENTO '!C108</f>
        <v xml:space="preserve">Fortalecimiento financiero administrativo y fiscal de la secretaria de hacienda </v>
      </c>
      <c r="D108" s="199">
        <f>'CUMPLIMIENTO '!D108</f>
        <v>7</v>
      </c>
      <c r="E108" s="199">
        <f>'CUMPLIMIENTO '!E108</f>
        <v>2</v>
      </c>
      <c r="F108" s="61">
        <f>'CUMPLIMIENTO '!G108</f>
        <v>3.5714285714285712E-2</v>
      </c>
      <c r="G108" s="61">
        <f>'CUMPLIMIENTO '!H108</f>
        <v>0</v>
      </c>
    </row>
    <row r="109" spans="1:7" ht="15.75" hidden="1" x14ac:dyDescent="0.25">
      <c r="A109" s="202" t="str">
        <f>'CUMPLIMIENTO '!A109</f>
        <v>LINEA</v>
      </c>
      <c r="B109" s="203" t="str">
        <f>'CUMPLIMIENTO '!B109</f>
        <v>4.6</v>
      </c>
      <c r="C109" s="202" t="str">
        <f>'CUMPLIMIENTO '!C109</f>
        <v>BOLÍVAR PRIMERO PROPICIA LA PARTICIPACIÓN CIUDADANA.</v>
      </c>
      <c r="D109" s="216">
        <f>'CUMPLIMIENTO '!D109</f>
        <v>11</v>
      </c>
      <c r="E109" s="216">
        <f>'CUMPLIMIENTO '!E109</f>
        <v>5</v>
      </c>
      <c r="F109" s="217">
        <f>'CUMPLIMIENTO '!G109</f>
        <v>0.20555555555555557</v>
      </c>
      <c r="G109" s="218">
        <f>'CUMPLIMIENTO '!H109</f>
        <v>2.5000000000000001E-2</v>
      </c>
    </row>
    <row r="110" spans="1:7" ht="15.75" hidden="1" x14ac:dyDescent="0.25">
      <c r="A110" s="198" t="str">
        <f>'CUMPLIMIENTO '!A110</f>
        <v>PROGRAMA</v>
      </c>
      <c r="B110" s="106" t="str">
        <f>'CUMPLIMIENTO '!B110</f>
        <v>4.6.1</v>
      </c>
      <c r="C110" s="111" t="str">
        <f>'CUMPLIMIENTO '!C110</f>
        <v>Participación Ciudadana</v>
      </c>
      <c r="D110" s="199">
        <f>'CUMPLIMIENTO '!D110</f>
        <v>4</v>
      </c>
      <c r="E110" s="199">
        <f>'CUMPLIMIENTO '!E110</f>
        <v>2</v>
      </c>
      <c r="F110" s="61">
        <f>'CUMPLIMIENTO '!G110</f>
        <v>0.140625</v>
      </c>
      <c r="G110" s="61">
        <f>'CUMPLIMIENTO '!H110</f>
        <v>0.05</v>
      </c>
    </row>
    <row r="111" spans="1:7" ht="15.75" hidden="1" x14ac:dyDescent="0.25">
      <c r="A111" s="198" t="str">
        <f>'CUMPLIMIENTO '!A111</f>
        <v>PROGRAMA</v>
      </c>
      <c r="B111" s="106" t="str">
        <f>'CUMPLIMIENTO '!B111</f>
        <v xml:space="preserve">4.6.2 </v>
      </c>
      <c r="C111" s="111" t="str">
        <f>'CUMPLIMIENTO '!C111</f>
        <v>Organismos comunales</v>
      </c>
      <c r="D111" s="199">
        <f>'CUMPLIMIENTO '!D111</f>
        <v>3</v>
      </c>
      <c r="E111" s="199">
        <f>'CUMPLIMIENTO '!E111</f>
        <v>2</v>
      </c>
      <c r="F111" s="61">
        <f>'CUMPLIMIENTO '!G111</f>
        <v>0.11666666666666665</v>
      </c>
      <c r="G111" s="61">
        <f>'CUMPLIMIENTO '!H111</f>
        <v>0</v>
      </c>
    </row>
    <row r="112" spans="1:7" ht="15.75" hidden="1" x14ac:dyDescent="0.25">
      <c r="A112" s="198" t="str">
        <f>'CUMPLIMIENTO '!A112</f>
        <v>PROGRAMA</v>
      </c>
      <c r="B112" s="106" t="str">
        <f>'CUMPLIMIENTO '!B112</f>
        <v>4.6.3</v>
      </c>
      <c r="C112" s="111" t="str">
        <f>'CUMPLIMIENTO '!C112</f>
        <v>Procesos electorales</v>
      </c>
      <c r="D112" s="199">
        <f>'CUMPLIMIENTO '!D112</f>
        <v>1</v>
      </c>
      <c r="E112" s="199">
        <f>'CUMPLIMIENTO '!E112</f>
        <v>1</v>
      </c>
      <c r="F112" s="61">
        <f>'CUMPLIMIENTO '!G112</f>
        <v>0.5</v>
      </c>
      <c r="G112" s="61" t="str">
        <f>'CUMPLIMIENTO '!H112</f>
        <v>NP</v>
      </c>
    </row>
    <row r="113" spans="1:7" ht="15.75" hidden="1" x14ac:dyDescent="0.25">
      <c r="A113" s="198" t="str">
        <f>'CUMPLIMIENTO '!A113</f>
        <v>PROGRAMA</v>
      </c>
      <c r="B113" s="106" t="str">
        <f>'CUMPLIMIENTO '!B113</f>
        <v>4.6.4</v>
      </c>
      <c r="C113" s="111" t="str">
        <f>'CUMPLIMIENTO '!C113</f>
        <v>Construcción de Cultura Ciudadana</v>
      </c>
      <c r="D113" s="199">
        <f>'CUMPLIMIENTO '!D113</f>
        <v>3</v>
      </c>
      <c r="E113" s="199" t="str">
        <f>'CUMPLIMIENTO '!E113</f>
        <v>NP</v>
      </c>
      <c r="F113" s="61">
        <f>'CUMPLIMIENTO '!G113</f>
        <v>0</v>
      </c>
      <c r="G113" s="61" t="str">
        <f>'CUMPLIMIENTO '!H113</f>
        <v>NP</v>
      </c>
    </row>
    <row r="114" spans="1:7" ht="18.75" x14ac:dyDescent="0.25">
      <c r="A114" s="227" t="str">
        <f>'CUMPLIMIENTO '!A114</f>
        <v>EJE ESTRATEGICO</v>
      </c>
      <c r="B114" s="226">
        <f>'CUMPLIMIENTO '!B114</f>
        <v>5</v>
      </c>
      <c r="C114" s="227" t="str">
        <f>'CUMPLIMIENTO '!C114</f>
        <v>BOLÍVAR PRIMERO EN RURALIDAD</v>
      </c>
      <c r="D114" s="187">
        <f>'CUMPLIMIENTO '!D114</f>
        <v>34</v>
      </c>
      <c r="E114" s="187">
        <f>'CUMPLIMIENTO '!F114</f>
        <v>24</v>
      </c>
      <c r="F114" s="188">
        <f>'CUMPLIMIENTO '!G114</f>
        <v>0.31751547831253712</v>
      </c>
      <c r="G114" s="188">
        <f>'CUMPLIMIENTO '!H114</f>
        <v>0.37496305418719206</v>
      </c>
    </row>
    <row r="115" spans="1:7" ht="15.75" hidden="1" x14ac:dyDescent="0.25">
      <c r="A115" s="202" t="str">
        <f>'CUMPLIMIENTO '!A115</f>
        <v>LINEA</v>
      </c>
      <c r="B115" s="203" t="str">
        <f>'CUMPLIMIENTO '!B115</f>
        <v>5.1</v>
      </c>
      <c r="C115" s="202" t="str">
        <f>'CUMPLIMIENTO '!C115</f>
        <v>BOLÍVAR AL CAMPO: PLAN DE ATENCIÓN RURAL INTEGRAL Y PRIORITARIA - PARIP</v>
      </c>
      <c r="D115" s="216">
        <f>'CUMPLIMIENTO '!D115</f>
        <v>34</v>
      </c>
      <c r="E115" s="216">
        <f>'CUMPLIMIENTO '!E115</f>
        <v>11</v>
      </c>
      <c r="F115" s="217">
        <f>'CUMPLIMIENTO '!G115</f>
        <v>0.31751547831253712</v>
      </c>
      <c r="G115" s="218">
        <f>'CUMPLIMIENTO '!H115</f>
        <v>0.37496305418719206</v>
      </c>
    </row>
    <row r="116" spans="1:7" ht="15.75" hidden="1" x14ac:dyDescent="0.25">
      <c r="A116" s="198" t="str">
        <f>'CUMPLIMIENTO '!A116</f>
        <v>PROGRAMA</v>
      </c>
      <c r="B116" s="106" t="str">
        <f>'CUMPLIMIENTO '!B116</f>
        <v>5.1.1</v>
      </c>
      <c r="C116" s="111" t="str">
        <f>'CUMPLIMIENTO '!C116</f>
        <v xml:space="preserve">Bolívar garantiza derechos sociales en el campo.  </v>
      </c>
      <c r="D116" s="199">
        <f>'CUMPLIMIENTO '!D116</f>
        <v>9</v>
      </c>
      <c r="E116" s="199" t="str">
        <f>'CUMPLIMIENTO '!E116</f>
        <v>NP</v>
      </c>
      <c r="F116" s="61">
        <f>'CUMPLIMIENTO '!G116</f>
        <v>1.9166666666666665E-2</v>
      </c>
      <c r="G116" s="61">
        <f>'CUMPLIMIENTO '!H116</f>
        <v>0.12023809523809523</v>
      </c>
    </row>
    <row r="117" spans="1:7" ht="15.75" hidden="1" x14ac:dyDescent="0.25">
      <c r="A117" s="198" t="str">
        <f>'CUMPLIMIENTO '!A117</f>
        <v>PROGRAMA</v>
      </c>
      <c r="B117" s="106" t="str">
        <f>'CUMPLIMIENTO '!B117</f>
        <v>5.1.2</v>
      </c>
      <c r="C117" s="111" t="str">
        <f>'CUMPLIMIENTO '!C117</f>
        <v>Bolívar Educa en el campo</v>
      </c>
      <c r="D117" s="199">
        <f>'CUMPLIMIENTO '!D117</f>
        <v>4</v>
      </c>
      <c r="E117" s="199" t="str">
        <f>'CUMPLIMIENTO '!E117</f>
        <v>NP</v>
      </c>
      <c r="F117" s="61">
        <f>'CUMPLIMIENTO '!G117</f>
        <v>0.36909090909090914</v>
      </c>
      <c r="G117" s="61">
        <f>'CUMPLIMIENTO '!H117</f>
        <v>0.69620689655172407</v>
      </c>
    </row>
    <row r="118" spans="1:7" ht="15.75" hidden="1" x14ac:dyDescent="0.25">
      <c r="A118" s="198" t="str">
        <f>'CUMPLIMIENTO '!A118</f>
        <v>PROGRAMA</v>
      </c>
      <c r="B118" s="106" t="str">
        <f>'CUMPLIMIENTO '!B118</f>
        <v>5.1.3</v>
      </c>
      <c r="C118" s="111" t="str">
        <f>'CUMPLIMIENTO '!C118</f>
        <v>Bolívar lleva Servicios Públicos al campo.</v>
      </c>
      <c r="D118" s="199">
        <f>'CUMPLIMIENTO '!D118</f>
        <v>3</v>
      </c>
      <c r="E118" s="199">
        <f>'CUMPLIMIENTO '!E118</f>
        <v>1</v>
      </c>
      <c r="F118" s="61">
        <f>'CUMPLIMIENTO '!G118</f>
        <v>0.48</v>
      </c>
      <c r="G118" s="61">
        <f>'CUMPLIMIENTO '!H118</f>
        <v>0.375</v>
      </c>
    </row>
    <row r="119" spans="1:7" ht="15.75" hidden="1" x14ac:dyDescent="0.25">
      <c r="A119" s="198" t="str">
        <f>'CUMPLIMIENTO '!A119</f>
        <v>PROGRAMA</v>
      </c>
      <c r="B119" s="106" t="str">
        <f>'CUMPLIMIENTO '!B119</f>
        <v>5.1.4</v>
      </c>
      <c r="C119" s="111" t="str">
        <f>'CUMPLIMIENTO '!C119</f>
        <v xml:space="preserve">Ingreso, trabajo y productividad en el campo. </v>
      </c>
      <c r="D119" s="199">
        <f>'CUMPLIMIENTO '!D119</f>
        <v>10</v>
      </c>
      <c r="E119" s="199">
        <f>'CUMPLIMIENTO '!E119</f>
        <v>7</v>
      </c>
      <c r="F119" s="61">
        <f>'CUMPLIMIENTO '!G119</f>
        <v>0.28860000000000002</v>
      </c>
      <c r="G119" s="61">
        <f>'CUMPLIMIENTO '!H119</f>
        <v>5.5555555555555552E-2</v>
      </c>
    </row>
    <row r="120" spans="1:7" ht="15.75" hidden="1" x14ac:dyDescent="0.25">
      <c r="A120" s="198" t="str">
        <f>'CUMPLIMIENTO '!A120</f>
        <v>PROGRAMA</v>
      </c>
      <c r="B120" s="106" t="str">
        <f>'CUMPLIMIENTO '!B120</f>
        <v>5.1.5</v>
      </c>
      <c r="C120" s="111" t="str">
        <f>'CUMPLIMIENTO '!C120</f>
        <v>Infraestructura rural.</v>
      </c>
      <c r="D120" s="199">
        <f>'CUMPLIMIENTO '!D120</f>
        <v>2</v>
      </c>
      <c r="E120" s="199">
        <f>'CUMPLIMIENTO '!E120</f>
        <v>2</v>
      </c>
      <c r="F120" s="61">
        <f>'CUMPLIMIENTO '!G120</f>
        <v>0.71323529411764697</v>
      </c>
      <c r="G120" s="61">
        <f>'CUMPLIMIENTO '!H120</f>
        <v>0.85</v>
      </c>
    </row>
    <row r="121" spans="1:7" ht="15.75" hidden="1" x14ac:dyDescent="0.25">
      <c r="A121" s="198" t="str">
        <f>'CUMPLIMIENTO '!A121</f>
        <v>PROGRAMA</v>
      </c>
      <c r="B121" s="106" t="str">
        <f>'CUMPLIMIENTO '!B121</f>
        <v>5.1.6</v>
      </c>
      <c r="C121" s="111" t="str">
        <f>'CUMPLIMIENTO '!C121</f>
        <v>Cultura, deporte y recreación en el campo.</v>
      </c>
      <c r="D121" s="199">
        <f>'CUMPLIMIENTO '!D121</f>
        <v>6</v>
      </c>
      <c r="E121" s="199">
        <f>'CUMPLIMIENTO '!E121</f>
        <v>1</v>
      </c>
      <c r="F121" s="61">
        <f>'CUMPLIMIENTO '!G121</f>
        <v>3.5000000000000003E-2</v>
      </c>
      <c r="G121" s="61">
        <f>'CUMPLIMIENTO '!H121</f>
        <v>0.15277777777777776</v>
      </c>
    </row>
    <row r="122" spans="1:7" ht="18.75" x14ac:dyDescent="0.25">
      <c r="A122" s="230" t="str">
        <f>'CUMPLIMIENTO '!A122</f>
        <v>EJE ESTRATEGICO</v>
      </c>
      <c r="B122" s="303">
        <f>'CUMPLIMIENTO '!B122</f>
        <v>6</v>
      </c>
      <c r="C122" s="304" t="str">
        <f>'CUMPLIMIENTO '!C122</f>
        <v>GRUPOS POBLACIONALES</v>
      </c>
      <c r="D122" s="305">
        <f>'CUMPLIMIENTO '!D122</f>
        <v>128</v>
      </c>
      <c r="E122" s="305">
        <f>'CUMPLIMIENTO '!F122</f>
        <v>111</v>
      </c>
      <c r="F122" s="306">
        <f>'CUMPLIMIENTO '!G122</f>
        <v>0.29743627103134557</v>
      </c>
      <c r="G122" s="306">
        <f>'CUMPLIMIENTO '!H122</f>
        <v>0.18931768927175735</v>
      </c>
    </row>
    <row r="123" spans="1:7" ht="31.5" hidden="1" x14ac:dyDescent="0.25">
      <c r="A123" s="202" t="str">
        <f>'CUMPLIMIENTO '!A123</f>
        <v>LINEA</v>
      </c>
      <c r="B123" s="203" t="str">
        <f>'CUMPLIMIENTO '!B123</f>
        <v>6.1</v>
      </c>
      <c r="C123" s="221" t="str">
        <f>'CUMPLIMIENTO '!C123</f>
        <v xml:space="preserve">CAPITULO ATENCIÓN A VÍCTIMAS, CONSTRUCCIÓN DE PAZ Y RECONCILIACIÓN </v>
      </c>
      <c r="D123" s="216">
        <f>'CUMPLIMIENTO '!D123</f>
        <v>52</v>
      </c>
      <c r="E123" s="216">
        <f>'CUMPLIMIENTO '!E123</f>
        <v>38</v>
      </c>
      <c r="F123" s="217">
        <f>'CUMPLIMIENTO '!G123</f>
        <v>0.22420701145984015</v>
      </c>
      <c r="G123" s="218">
        <f>'CUMPLIMIENTO '!H123</f>
        <v>0.27793974732750243</v>
      </c>
    </row>
    <row r="124" spans="1:7" ht="15.75" hidden="1" x14ac:dyDescent="0.25">
      <c r="A124" s="198" t="str">
        <f>'CUMPLIMIENTO '!A124</f>
        <v>PROGRAMA</v>
      </c>
      <c r="B124" s="106" t="str">
        <f>'CUMPLIMIENTO '!B124</f>
        <v>6.1.1</v>
      </c>
      <c r="C124" s="111" t="str">
        <f>'CUMPLIMIENTO '!C124</f>
        <v>Atención y Asistencia</v>
      </c>
      <c r="D124" s="199">
        <f>'CUMPLIMIENTO '!D124</f>
        <v>16</v>
      </c>
      <c r="E124" s="199">
        <f>'CUMPLIMIENTO '!E124</f>
        <v>9</v>
      </c>
      <c r="F124" s="61">
        <f>'CUMPLIMIENTO '!G124</f>
        <v>0.25437813283208016</v>
      </c>
      <c r="G124" s="61">
        <f>'CUMPLIMIENTO '!H124</f>
        <v>0.29777777777777775</v>
      </c>
    </row>
    <row r="125" spans="1:7" ht="15.75" hidden="1" x14ac:dyDescent="0.25">
      <c r="A125" s="198" t="str">
        <f>'CUMPLIMIENTO '!A125</f>
        <v>PROGRAMA</v>
      </c>
      <c r="B125" s="106" t="str">
        <f>'CUMPLIMIENTO '!B125</f>
        <v>6.1.2</v>
      </c>
      <c r="C125" s="111" t="str">
        <f>'CUMPLIMIENTO '!C125</f>
        <v>Prevención y Protección</v>
      </c>
      <c r="D125" s="199">
        <f>'CUMPLIMIENTO '!D125</f>
        <v>5</v>
      </c>
      <c r="E125" s="199">
        <f>'CUMPLIMIENTO '!E125</f>
        <v>5</v>
      </c>
      <c r="F125" s="61">
        <f>'CUMPLIMIENTO '!G125</f>
        <v>0.16250000000000001</v>
      </c>
      <c r="G125" s="61">
        <f>'CUMPLIMIENTO '!H125</f>
        <v>0.2</v>
      </c>
    </row>
    <row r="126" spans="1:7" ht="15.75" hidden="1" x14ac:dyDescent="0.25">
      <c r="A126" s="198" t="str">
        <f>'CUMPLIMIENTO '!A126</f>
        <v>PROGRAMA</v>
      </c>
      <c r="B126" s="106" t="str">
        <f>'CUMPLIMIENTO '!B126</f>
        <v xml:space="preserve">6.1.3 </v>
      </c>
      <c r="C126" s="111" t="str">
        <f>'CUMPLIMIENTO '!C126</f>
        <v xml:space="preserve">Reparación Colectiva, retornos y reubicaciones </v>
      </c>
      <c r="D126" s="199">
        <f>'CUMPLIMIENTO '!D126</f>
        <v>3</v>
      </c>
      <c r="E126" s="199">
        <f>'CUMPLIMIENTO '!E126</f>
        <v>3</v>
      </c>
      <c r="F126" s="61">
        <f>'CUMPLIMIENTO '!G126</f>
        <v>0.16250000000000001</v>
      </c>
      <c r="G126" s="61">
        <f>'CUMPLIMIENTO '!H126</f>
        <v>0.12222222222222223</v>
      </c>
    </row>
    <row r="127" spans="1:7" ht="15.75" hidden="1" x14ac:dyDescent="0.25">
      <c r="A127" s="198" t="str">
        <f>'CUMPLIMIENTO '!A127</f>
        <v>PROGRAMA</v>
      </c>
      <c r="B127" s="106" t="str">
        <f>'CUMPLIMIENTO '!B127</f>
        <v xml:space="preserve">6.1.4 </v>
      </c>
      <c r="C127" s="111" t="str">
        <f>'CUMPLIMIENTO '!C127</f>
        <v>Participación efectiva</v>
      </c>
      <c r="D127" s="199">
        <f>'CUMPLIMIENTO '!D127</f>
        <v>5</v>
      </c>
      <c r="E127" s="199">
        <f>'CUMPLIMIENTO '!E127</f>
        <v>4</v>
      </c>
      <c r="F127" s="61">
        <f>'CUMPLIMIENTO '!G127</f>
        <v>0.10482336956521739</v>
      </c>
      <c r="G127" s="61">
        <f>'CUMPLIMIENTO '!H127</f>
        <v>0.10500000000000001</v>
      </c>
    </row>
    <row r="128" spans="1:7" ht="15.75" hidden="1" x14ac:dyDescent="0.25">
      <c r="A128" s="198" t="str">
        <f>'CUMPLIMIENTO '!A128</f>
        <v>PROGRAMA</v>
      </c>
      <c r="B128" s="106" t="str">
        <f>'CUMPLIMIENTO '!B128</f>
        <v xml:space="preserve">6.1.5 </v>
      </c>
      <c r="C128" s="111" t="str">
        <f>'CUMPLIMIENTO '!C128</f>
        <v xml:space="preserve">Fortalecimiento para la Gestión institucional y Sistemas de Información </v>
      </c>
      <c r="D128" s="199">
        <f>'CUMPLIMIENTO '!D128</f>
        <v>11</v>
      </c>
      <c r="E128" s="199">
        <f>'CUMPLIMIENTO '!E128</f>
        <v>10</v>
      </c>
      <c r="F128" s="61">
        <f>'CUMPLIMIENTO '!G128</f>
        <v>0.35759313766714318</v>
      </c>
      <c r="G128" s="61">
        <f>'CUMPLIMIENTO '!H128</f>
        <v>0.21224489795918369</v>
      </c>
    </row>
    <row r="129" spans="1:11" ht="15.75" hidden="1" x14ac:dyDescent="0.25">
      <c r="A129" s="198" t="str">
        <f>'CUMPLIMIENTO '!A129</f>
        <v>PROGRAMA</v>
      </c>
      <c r="B129" s="106" t="str">
        <f>'CUMPLIMIENTO '!B129</f>
        <v>6.1.6</v>
      </c>
      <c r="C129" s="111" t="str">
        <f>'CUMPLIMIENTO '!C129</f>
        <v>Restitución de tierras</v>
      </c>
      <c r="D129" s="199">
        <f>'CUMPLIMIENTO '!D129</f>
        <v>4</v>
      </c>
      <c r="E129" s="199">
        <f>'CUMPLIMIENTO '!E129</f>
        <v>4</v>
      </c>
      <c r="F129" s="61">
        <f>'CUMPLIMIENTO '!G129</f>
        <v>0.38063063063063063</v>
      </c>
      <c r="G129" s="61">
        <f>'CUMPLIMIENTO '!H129</f>
        <v>0.8</v>
      </c>
    </row>
    <row r="130" spans="1:11" ht="30" hidden="1" x14ac:dyDescent="0.25">
      <c r="A130" s="198" t="str">
        <f>'CUMPLIMIENTO '!A130</f>
        <v>PROGRAMA</v>
      </c>
      <c r="B130" s="106" t="str">
        <f>'CUMPLIMIENTO '!B130</f>
        <v>6.1.7</v>
      </c>
      <c r="C130" s="111" t="str">
        <f>'CUMPLIMIENTO '!C130</f>
        <v>Programa: Inclusión y reincorporación comunitaria para la consolidación de la paz</v>
      </c>
      <c r="D130" s="199">
        <f>'CUMPLIMIENTO '!D130</f>
        <v>8</v>
      </c>
      <c r="E130" s="199">
        <f>'CUMPLIMIENTO '!E130</f>
        <v>3</v>
      </c>
      <c r="F130" s="61">
        <f>'CUMPLIMIENTO '!G130</f>
        <v>0.14702380952380953</v>
      </c>
      <c r="G130" s="61">
        <f>'CUMPLIMIENTO '!H130</f>
        <v>0.20833333333333331</v>
      </c>
    </row>
    <row r="131" spans="1:11" ht="15.75" hidden="1" x14ac:dyDescent="0.25">
      <c r="A131" s="202" t="str">
        <f>'CUMPLIMIENTO '!A131</f>
        <v>LINEA</v>
      </c>
      <c r="B131" s="203" t="str">
        <f>'CUMPLIMIENTO '!B131</f>
        <v>6.2</v>
      </c>
      <c r="C131" s="202" t="str">
        <f>'CUMPLIMIENTO '!C131</f>
        <v>CAPITULO DE MINORÍAS ÉTNICAS.</v>
      </c>
      <c r="D131" s="216">
        <f>'CUMPLIMIENTO '!D131</f>
        <v>37</v>
      </c>
      <c r="E131" s="216">
        <f>'CUMPLIMIENTO '!E131</f>
        <v>10</v>
      </c>
      <c r="F131" s="217">
        <f>'CUMPLIMIENTO '!G131</f>
        <v>0.12273065476190476</v>
      </c>
      <c r="G131" s="218">
        <f>'CUMPLIMIENTO '!H131</f>
        <v>0.12968749999999998</v>
      </c>
    </row>
    <row r="132" spans="1:11" ht="15.75" hidden="1" x14ac:dyDescent="0.25">
      <c r="A132" s="198" t="str">
        <f>'CUMPLIMIENTO '!A132</f>
        <v>PROGRAMA</v>
      </c>
      <c r="B132" s="106" t="str">
        <f>'CUMPLIMIENTO '!B132</f>
        <v>6.2.1</v>
      </c>
      <c r="C132" s="111" t="str">
        <f>'CUMPLIMIENTO '!C132</f>
        <v xml:space="preserve">Fortalecimiento de los procesos organizacionales de la población NARP. </v>
      </c>
      <c r="D132" s="199">
        <f>'CUMPLIMIENTO '!D132</f>
        <v>4</v>
      </c>
      <c r="E132" s="199">
        <f>'CUMPLIMIENTO '!E132</f>
        <v>4</v>
      </c>
      <c r="F132" s="61">
        <f>'CUMPLIMIENTO '!G132</f>
        <v>0.453125</v>
      </c>
      <c r="G132" s="61">
        <f>'CUMPLIMIENTO '!H132</f>
        <v>0.4375</v>
      </c>
    </row>
    <row r="133" spans="1:11" ht="30" hidden="1" x14ac:dyDescent="0.25">
      <c r="A133" s="198" t="str">
        <f>'CUMPLIMIENTO '!A133</f>
        <v>PROGRAMA</v>
      </c>
      <c r="B133" s="106" t="str">
        <f>'CUMPLIMIENTO '!B133</f>
        <v>6.2.2</v>
      </c>
      <c r="C133" s="111" t="str">
        <f>'CUMPLIMIENTO '!C133</f>
        <v>Mujer y género en población negra, afrocolombiana, raizal, palenquera, indígena y rom</v>
      </c>
      <c r="D133" s="199">
        <f>'CUMPLIMIENTO '!D133</f>
        <v>4</v>
      </c>
      <c r="E133" s="199">
        <f>'CUMPLIMIENTO '!E133</f>
        <v>2</v>
      </c>
      <c r="F133" s="61">
        <f>'CUMPLIMIENTO '!G133</f>
        <v>4.0625000000000001E-2</v>
      </c>
      <c r="G133" s="61">
        <f>'CUMPLIMIENTO '!H133</f>
        <v>0.1</v>
      </c>
    </row>
    <row r="134" spans="1:11" ht="15.75" hidden="1" x14ac:dyDescent="0.25">
      <c r="A134" s="198" t="str">
        <f>'CUMPLIMIENTO '!A134</f>
        <v>PROGRAMA</v>
      </c>
      <c r="B134" s="106" t="str">
        <f>'CUMPLIMIENTO '!B134</f>
        <v>6.2.3</v>
      </c>
      <c r="C134" s="111" t="str">
        <f>'CUMPLIMIENTO '!C134</f>
        <v>Arte, cultura y patrimonio</v>
      </c>
      <c r="D134" s="199">
        <f>'CUMPLIMIENTO '!D134</f>
        <v>7</v>
      </c>
      <c r="E134" s="199" t="str">
        <f>'CUMPLIMIENTO '!E134</f>
        <v>NP</v>
      </c>
      <c r="F134" s="61">
        <f>'CUMPLIMIENTO '!G134</f>
        <v>0</v>
      </c>
      <c r="G134" s="61">
        <f>'CUMPLIMIENTO '!H134</f>
        <v>0</v>
      </c>
    </row>
    <row r="135" spans="1:11" ht="15.75" hidden="1" x14ac:dyDescent="0.25">
      <c r="A135" s="198" t="str">
        <f>'CUMPLIMIENTO '!A135</f>
        <v>PROGRAMA</v>
      </c>
      <c r="B135" s="106" t="str">
        <f>'CUMPLIMIENTO '!B135</f>
        <v>6,2,4</v>
      </c>
      <c r="C135" s="111" t="str">
        <f>'CUMPLIMIENTO '!C135</f>
        <v>Recreación y deporte.</v>
      </c>
      <c r="D135" s="199">
        <f>'CUMPLIMIENTO '!D135</f>
        <v>1</v>
      </c>
      <c r="E135" s="199" t="str">
        <f>'CUMPLIMIENTO '!E135</f>
        <v>NP</v>
      </c>
      <c r="F135" s="61">
        <f>'CUMPLIMIENTO '!G135</f>
        <v>0</v>
      </c>
      <c r="G135" s="61">
        <f>'CUMPLIMIENTO '!H135</f>
        <v>0</v>
      </c>
    </row>
    <row r="136" spans="1:11" ht="15.75" hidden="1" x14ac:dyDescent="0.25">
      <c r="A136" s="198" t="str">
        <f>'CUMPLIMIENTO '!A136</f>
        <v>PROGRAMA</v>
      </c>
      <c r="B136" s="106" t="str">
        <f>'CUMPLIMIENTO '!B136</f>
        <v>6,2,5</v>
      </c>
      <c r="C136" s="111" t="str">
        <f>'CUMPLIMIENTO '!C136</f>
        <v>Desarrollo económico</v>
      </c>
      <c r="D136" s="199">
        <f>'CUMPLIMIENTO '!D136</f>
        <v>7</v>
      </c>
      <c r="E136" s="199">
        <f>'CUMPLIMIENTO '!E136</f>
        <v>1</v>
      </c>
      <c r="F136" s="61">
        <f>'CUMPLIMIENTO '!G136</f>
        <v>7.1428571428571425E-2</v>
      </c>
      <c r="G136" s="61">
        <f>'CUMPLIMIENTO '!H136</f>
        <v>0.16666666666666666</v>
      </c>
    </row>
    <row r="137" spans="1:11" ht="15.75" hidden="1" x14ac:dyDescent="0.25">
      <c r="A137" s="198" t="str">
        <f>'CUMPLIMIENTO '!A137</f>
        <v>PROGRAMA</v>
      </c>
      <c r="B137" s="106" t="str">
        <f>'CUMPLIMIENTO '!B137</f>
        <v>6.2.6</v>
      </c>
      <c r="C137" s="111" t="str">
        <f>'CUMPLIMIENTO '!C137</f>
        <v>Educación</v>
      </c>
      <c r="D137" s="199">
        <f>'CUMPLIMIENTO '!D137</f>
        <v>6</v>
      </c>
      <c r="E137" s="199" t="str">
        <f>'CUMPLIMIENTO '!E137</f>
        <v>NP</v>
      </c>
      <c r="F137" s="61">
        <f>'CUMPLIMIENTO '!G137</f>
        <v>0</v>
      </c>
      <c r="G137" s="61">
        <f>'CUMPLIMIENTO '!H137</f>
        <v>0</v>
      </c>
    </row>
    <row r="138" spans="1:11" ht="15.75" hidden="1" x14ac:dyDescent="0.25">
      <c r="A138" s="198" t="str">
        <f>'CUMPLIMIENTO '!A138</f>
        <v>PROGRAMA</v>
      </c>
      <c r="B138" s="106" t="str">
        <f>'CUMPLIMIENTO '!B138</f>
        <v>6.2.7</v>
      </c>
      <c r="C138" s="111" t="str">
        <f>'CUMPLIMIENTO '!C138</f>
        <v>Derechos Humanos</v>
      </c>
      <c r="D138" s="199">
        <f>'CUMPLIMIENTO '!D138</f>
        <v>3</v>
      </c>
      <c r="E138" s="199">
        <f>'CUMPLIMIENTO '!E138</f>
        <v>1</v>
      </c>
      <c r="F138" s="61">
        <f>'CUMPLIMIENTO '!G138</f>
        <v>0.16666666666666666</v>
      </c>
      <c r="G138" s="61">
        <f>'CUMPLIMIENTO '!H138</f>
        <v>0</v>
      </c>
    </row>
    <row r="139" spans="1:11" ht="15.75" hidden="1" x14ac:dyDescent="0.25">
      <c r="A139" s="198" t="str">
        <f>'CUMPLIMIENTO '!A139</f>
        <v>PROGRAMA</v>
      </c>
      <c r="B139" s="106" t="str">
        <f>'CUMPLIMIENTO '!B139</f>
        <v>6.2.8</v>
      </c>
      <c r="C139" s="111" t="str">
        <f>'CUMPLIMIENTO '!C139</f>
        <v>Atención a población indígena.</v>
      </c>
      <c r="D139" s="199">
        <f>'CUMPLIMIENTO '!D139</f>
        <v>5</v>
      </c>
      <c r="E139" s="199">
        <f>'CUMPLIMIENTO '!E139</f>
        <v>2</v>
      </c>
      <c r="F139" s="61">
        <f>'CUMPLIMIENTO '!G139</f>
        <v>0.25</v>
      </c>
      <c r="G139" s="61">
        <f>'CUMPLIMIENTO '!H139</f>
        <v>0.33333333333333331</v>
      </c>
      <c r="H139" s="62"/>
    </row>
    <row r="140" spans="1:11" ht="31.5" hidden="1" x14ac:dyDescent="0.25">
      <c r="A140" s="202" t="str">
        <f>'CUMPLIMIENTO '!A140</f>
        <v>LINEA</v>
      </c>
      <c r="B140" s="203" t="str">
        <f>'CUMPLIMIENTO '!B140</f>
        <v>6.3</v>
      </c>
      <c r="C140" s="221" t="str">
        <f>'CUMPLIMIENTO '!C140</f>
        <v>CAPITULO NIÑOS Y NIÑAS EN SU PRIMERA INFANCIA, INFANCIA Y ADOLESCENCIA.</v>
      </c>
      <c r="D140" s="216">
        <f>'CUMPLIMIENTO '!D140</f>
        <v>9</v>
      </c>
      <c r="E140" s="216">
        <f>'CUMPLIMIENTO '!E140</f>
        <v>7</v>
      </c>
      <c r="F140" s="217">
        <f>'CUMPLIMIENTO '!G140</f>
        <v>0.53456790123456799</v>
      </c>
      <c r="G140" s="218">
        <f>'CUMPLIMIENTO '!H140</f>
        <v>0.25</v>
      </c>
    </row>
    <row r="141" spans="1:11" ht="15.75" hidden="1" x14ac:dyDescent="0.25">
      <c r="A141" s="198" t="str">
        <f>'CUMPLIMIENTO '!A141</f>
        <v>PROGRAMA</v>
      </c>
      <c r="B141" s="106" t="str">
        <f>'CUMPLIMIENTO '!B141</f>
        <v>6.3.1</v>
      </c>
      <c r="C141" s="111" t="str">
        <f>'CUMPLIMIENTO '!C141</f>
        <v>Niños y niñas en su primera infancia, infancia y adolescencia</v>
      </c>
      <c r="D141" s="199">
        <f>'CUMPLIMIENTO '!D141</f>
        <v>9</v>
      </c>
      <c r="E141" s="199">
        <f>'CUMPLIMIENTO '!E141</f>
        <v>7</v>
      </c>
      <c r="F141" s="61">
        <f>'CUMPLIMIENTO '!G141</f>
        <v>0.53456790123456799</v>
      </c>
      <c r="G141" s="61">
        <f>'CUMPLIMIENTO '!H141</f>
        <v>0.25</v>
      </c>
    </row>
    <row r="142" spans="1:11" ht="15.75" hidden="1" x14ac:dyDescent="0.25">
      <c r="A142" s="202" t="str">
        <f>'CUMPLIMIENTO '!A142</f>
        <v>LINEA</v>
      </c>
      <c r="B142" s="203" t="str">
        <f>'CUMPLIMIENTO '!B142</f>
        <v>6.4</v>
      </c>
      <c r="C142" s="202" t="str">
        <f>'CUMPLIMIENTO '!C142</f>
        <v>JUVENTUD</v>
      </c>
      <c r="D142" s="216">
        <f>'CUMPLIMIENTO '!D142</f>
        <v>4</v>
      </c>
      <c r="E142" s="216">
        <f>'CUMPLIMIENTO '!E142</f>
        <v>4</v>
      </c>
      <c r="F142" s="217">
        <f>'CUMPLIMIENTO '!G142</f>
        <v>0.44374999999999998</v>
      </c>
      <c r="G142" s="218">
        <f>'CUMPLIMIENTO '!H142</f>
        <v>0.35638297872340424</v>
      </c>
      <c r="J142" s="77"/>
      <c r="K142" s="77"/>
    </row>
    <row r="143" spans="1:11" ht="15.75" hidden="1" x14ac:dyDescent="0.25">
      <c r="A143" s="198" t="str">
        <f>'CUMPLIMIENTO '!A143</f>
        <v>PROGRAMA</v>
      </c>
      <c r="B143" s="106" t="str">
        <f>'CUMPLIMIENTO '!B143</f>
        <v>6.4.1</v>
      </c>
      <c r="C143" s="111" t="str">
        <f>'CUMPLIMIENTO '!C143</f>
        <v>Juventud</v>
      </c>
      <c r="D143" s="199">
        <f>'CUMPLIMIENTO '!D143</f>
        <v>4</v>
      </c>
      <c r="E143" s="199">
        <f>'CUMPLIMIENTO '!E143</f>
        <v>4</v>
      </c>
      <c r="F143" s="61">
        <f>'CUMPLIMIENTO '!G143</f>
        <v>0.44374999999999998</v>
      </c>
      <c r="G143" s="61">
        <f>'CUMPLIMIENTO '!H143</f>
        <v>0.35638297872340424</v>
      </c>
      <c r="J143" s="77"/>
      <c r="K143" s="77"/>
    </row>
    <row r="144" spans="1:11" ht="30" hidden="1" x14ac:dyDescent="0.25">
      <c r="A144" s="202" t="str">
        <f>'CUMPLIMIENTO '!A144</f>
        <v>LINEA</v>
      </c>
      <c r="B144" s="203" t="str">
        <f>'CUMPLIMIENTO '!B144</f>
        <v>6.5</v>
      </c>
      <c r="C144" s="213" t="str">
        <f>'CUMPLIMIENTO '!C144</f>
        <v xml:space="preserve">BOLÍVAR GARANTIZA DERECHOS Y CUBRE LAS NECESIDADES DE ENVEJECIMIENTO Y VEJEZ. </v>
      </c>
      <c r="D144" s="216">
        <f>'CUMPLIMIENTO '!D144</f>
        <v>7</v>
      </c>
      <c r="E144" s="216">
        <f>'CUMPLIMIENTO '!E144</f>
        <v>6</v>
      </c>
      <c r="F144" s="217">
        <f>'CUMPLIMIENTO '!G144</f>
        <v>0.38174603174603178</v>
      </c>
      <c r="G144" s="218">
        <f>'CUMPLIMIENTO '!H144</f>
        <v>0</v>
      </c>
      <c r="J144" s="77"/>
      <c r="K144" s="77"/>
    </row>
    <row r="145" spans="1:11" ht="30" hidden="1" x14ac:dyDescent="0.25">
      <c r="A145" s="198" t="str">
        <f>'CUMPLIMIENTO '!A145</f>
        <v>PROGRAMA</v>
      </c>
      <c r="B145" s="106" t="str">
        <f>'CUMPLIMIENTO '!B145</f>
        <v>6.5.1</v>
      </c>
      <c r="C145" s="111" t="str">
        <f>'CUMPLIMIENTO '!C145</f>
        <v>Bolívar garantiza derechos y cubre las necesidades de envejecimiento y vejez.</v>
      </c>
      <c r="D145" s="199">
        <f>'CUMPLIMIENTO '!D145</f>
        <v>7</v>
      </c>
      <c r="E145" s="199">
        <f>'CUMPLIMIENTO '!E145</f>
        <v>6</v>
      </c>
      <c r="F145" s="61">
        <f>'CUMPLIMIENTO '!G145</f>
        <v>0.38174603174603178</v>
      </c>
      <c r="G145" s="61">
        <f>'CUMPLIMIENTO '!H145</f>
        <v>0</v>
      </c>
      <c r="J145" s="77"/>
      <c r="K145" s="77"/>
    </row>
    <row r="146" spans="1:11" ht="30" hidden="1" x14ac:dyDescent="0.25">
      <c r="A146" s="202" t="str">
        <f>'CUMPLIMIENTO '!A146</f>
        <v>LINEA</v>
      </c>
      <c r="B146" s="203" t="str">
        <f>'CUMPLIMIENTO '!B146</f>
        <v>6.6</v>
      </c>
      <c r="C146" s="213" t="str">
        <f>'CUMPLIMIENTO '!C146</f>
        <v>BOLÍVAR PRIMERO GARANTIZA LA EQUIDAD DE GÉNERO Y LA AUTONOMÍA DE LA MUJER BOLIVARENSE.</v>
      </c>
      <c r="D146" s="216">
        <f>'CUMPLIMIENTO '!D146</f>
        <v>9</v>
      </c>
      <c r="E146" s="216">
        <f>'CUMPLIMIENTO '!E146</f>
        <v>8</v>
      </c>
      <c r="F146" s="217">
        <f>'CUMPLIMIENTO '!G146</f>
        <v>0.44444444444444442</v>
      </c>
      <c r="G146" s="218">
        <f>'CUMPLIMIENTO '!H146</f>
        <v>0.25</v>
      </c>
      <c r="J146" s="77"/>
      <c r="K146" s="77"/>
    </row>
    <row r="147" spans="1:11" ht="15.75" hidden="1" x14ac:dyDescent="0.25">
      <c r="A147" s="198" t="str">
        <f>'CUMPLIMIENTO '!A147</f>
        <v>PROGRAMA</v>
      </c>
      <c r="B147" s="106" t="str">
        <f>'CUMPLIMIENTO '!B147</f>
        <v>6.6.1</v>
      </c>
      <c r="C147" s="111" t="str">
        <f>'CUMPLIMIENTO '!C147</f>
        <v>Mujer Bolivarense</v>
      </c>
      <c r="D147" s="199">
        <f>'CUMPLIMIENTO '!D147</f>
        <v>9</v>
      </c>
      <c r="E147" s="199">
        <f>'CUMPLIMIENTO '!E147</f>
        <v>8</v>
      </c>
      <c r="F147" s="61">
        <f>'CUMPLIMIENTO '!G147</f>
        <v>0.44444444444444442</v>
      </c>
      <c r="G147" s="61">
        <f>'CUMPLIMIENTO '!H147</f>
        <v>0.25</v>
      </c>
      <c r="J147" s="77"/>
      <c r="K147" s="77"/>
    </row>
    <row r="148" spans="1:11" ht="15.75" hidden="1" x14ac:dyDescent="0.25">
      <c r="A148" s="202" t="str">
        <f>'CUMPLIMIENTO '!A148</f>
        <v>LINEA</v>
      </c>
      <c r="B148" s="203" t="str">
        <f>'CUMPLIMIENTO '!B148</f>
        <v>6.7</v>
      </c>
      <c r="C148" s="202" t="str">
        <f>'CUMPLIMIENTO '!C148</f>
        <v>CAPITULO LGTBIQ</v>
      </c>
      <c r="D148" s="216">
        <f>'CUMPLIMIENTO '!D148</f>
        <v>4</v>
      </c>
      <c r="E148" s="216">
        <f>'CUMPLIMIENTO '!E148</f>
        <v>4</v>
      </c>
      <c r="F148" s="217">
        <f>'CUMPLIMIENTO '!G148</f>
        <v>0.47291666666666665</v>
      </c>
      <c r="G148" s="218">
        <f>'CUMPLIMIENTO '!H148</f>
        <v>0.14583333333333331</v>
      </c>
      <c r="J148" s="150"/>
      <c r="K148" s="150"/>
    </row>
    <row r="149" spans="1:11" ht="15.75" hidden="1" x14ac:dyDescent="0.25">
      <c r="A149" s="198" t="str">
        <f>'CUMPLIMIENTO '!A149</f>
        <v>PROGRAMA</v>
      </c>
      <c r="B149" s="106" t="str">
        <f>'CUMPLIMIENTO '!B149</f>
        <v>6.7.1</v>
      </c>
      <c r="C149" s="111" t="str">
        <f>'CUMPLIMIENTO '!C149</f>
        <v>LGTBIQ</v>
      </c>
      <c r="D149" s="199">
        <f>'CUMPLIMIENTO '!D149</f>
        <v>4</v>
      </c>
      <c r="E149" s="199">
        <f>'CUMPLIMIENTO '!E149</f>
        <v>4</v>
      </c>
      <c r="F149" s="61">
        <f>'CUMPLIMIENTO '!G149</f>
        <v>0.47291666666666665</v>
      </c>
      <c r="G149" s="61">
        <f>'CUMPLIMIENTO '!H149</f>
        <v>0.14583333333333331</v>
      </c>
    </row>
    <row r="150" spans="1:11" ht="15.75" hidden="1" x14ac:dyDescent="0.25">
      <c r="A150" s="202" t="str">
        <f>'CUMPLIMIENTO '!A150</f>
        <v>LINEA</v>
      </c>
      <c r="B150" s="203" t="str">
        <f>'CUMPLIMIENTO '!B150</f>
        <v>6.8</v>
      </c>
      <c r="C150" s="202" t="str">
        <f>'CUMPLIMIENTO '!C150</f>
        <v>CAPITULO POBLACIÓN EN SITUACIÓN DE DISCAPACIDAD</v>
      </c>
      <c r="D150" s="216">
        <f>'CUMPLIMIENTO '!D150</f>
        <v>2</v>
      </c>
      <c r="E150" s="216">
        <f>'CUMPLIMIENTO '!E150</f>
        <v>2</v>
      </c>
      <c r="F150" s="217">
        <f>'CUMPLIMIENTO '!G150</f>
        <v>0.2</v>
      </c>
      <c r="G150" s="218">
        <f>'CUMPLIMIENTO '!H150</f>
        <v>0.31666666666666665</v>
      </c>
    </row>
    <row r="151" spans="1:11" ht="15.75" hidden="1" x14ac:dyDescent="0.25">
      <c r="A151" s="198" t="str">
        <f>'CUMPLIMIENTO '!A151</f>
        <v>PROGRAMA</v>
      </c>
      <c r="B151" s="106" t="str">
        <f>'CUMPLIMIENTO '!B151</f>
        <v>6.8.1</v>
      </c>
      <c r="C151" s="111" t="str">
        <f>'CUMPLIMIENTO '!C151</f>
        <v>Población en situación de discapacidad</v>
      </c>
      <c r="D151" s="199">
        <f>'CUMPLIMIENTO '!D151</f>
        <v>2</v>
      </c>
      <c r="E151" s="199">
        <f>'CUMPLIMIENTO '!E151</f>
        <v>2</v>
      </c>
      <c r="F151" s="61">
        <f>'CUMPLIMIENTO '!G151</f>
        <v>0.2</v>
      </c>
      <c r="G151" s="61">
        <f>'CUMPLIMIENTO '!H151</f>
        <v>0.31666666666666665</v>
      </c>
    </row>
    <row r="152" spans="1:11" ht="15.75" hidden="1" x14ac:dyDescent="0.25">
      <c r="A152" s="202" t="str">
        <f>'CUMPLIMIENTO '!A152</f>
        <v>LINEA</v>
      </c>
      <c r="B152" s="203" t="str">
        <f>'CUMPLIMIENTO '!B152</f>
        <v>6.9</v>
      </c>
      <c r="C152" s="202" t="str">
        <f>'CUMPLIMIENTO '!C152</f>
        <v>ASUNTOS RELIGIOSOS</v>
      </c>
      <c r="D152" s="216">
        <f>'CUMPLIMIENTO '!D152</f>
        <v>2</v>
      </c>
      <c r="E152" s="216">
        <f>'CUMPLIMIENTO '!E152</f>
        <v>2</v>
      </c>
      <c r="F152" s="217">
        <f>'CUMPLIMIENTO '!G152</f>
        <v>0.15</v>
      </c>
      <c r="G152" s="218">
        <f>'CUMPLIMIENTO '!H152</f>
        <v>0.16666666666666666</v>
      </c>
    </row>
    <row r="153" spans="1:11" ht="15.75" hidden="1" x14ac:dyDescent="0.25">
      <c r="A153" s="198" t="str">
        <f>'CUMPLIMIENTO '!A153</f>
        <v>PROGRAMA</v>
      </c>
      <c r="B153" s="106" t="str">
        <f>'CUMPLIMIENTO '!B153</f>
        <v>6.9.1</v>
      </c>
      <c r="C153" s="111" t="str">
        <f>'CUMPLIMIENTO '!C153</f>
        <v>Asuntos religiosos</v>
      </c>
      <c r="D153" s="199">
        <f>'CUMPLIMIENTO '!D153</f>
        <v>2</v>
      </c>
      <c r="E153" s="199">
        <f>'CUMPLIMIENTO '!E153</f>
        <v>2</v>
      </c>
      <c r="F153" s="61">
        <f>'CUMPLIMIENTO '!G153</f>
        <v>0.15</v>
      </c>
      <c r="G153" s="61">
        <f>'CUMPLIMIENTO '!H153</f>
        <v>0.16666666666666666</v>
      </c>
    </row>
    <row r="154" spans="1:11" ht="15.75" hidden="1" x14ac:dyDescent="0.25">
      <c r="A154" s="202" t="str">
        <f>'CUMPLIMIENTO '!A154</f>
        <v>LINEA</v>
      </c>
      <c r="B154" s="203" t="str">
        <f>'CUMPLIMIENTO '!B154</f>
        <v>6.10</v>
      </c>
      <c r="C154" s="202" t="str">
        <f>'CUMPLIMIENTO '!C154</f>
        <v>SISTEMA PENITENCIARIO</v>
      </c>
      <c r="D154" s="216">
        <f>'CUMPLIMIENTO '!D154</f>
        <v>2</v>
      </c>
      <c r="E154" s="216">
        <f>'CUMPLIMIENTO '!E154</f>
        <v>2</v>
      </c>
      <c r="F154" s="217">
        <f>'CUMPLIMIENTO '!G154</f>
        <v>0</v>
      </c>
      <c r="G154" s="218">
        <f>'CUMPLIMIENTO '!H154</f>
        <v>0</v>
      </c>
    </row>
    <row r="155" spans="1:11" ht="15.75" hidden="1" x14ac:dyDescent="0.25">
      <c r="A155" s="198" t="str">
        <f>'CUMPLIMIENTO '!A155</f>
        <v>PROGRAMA</v>
      </c>
      <c r="B155" s="106" t="str">
        <f>'CUMPLIMIENTO '!B155</f>
        <v>6.10.1</v>
      </c>
      <c r="C155" s="111" t="str">
        <f>'CUMPLIMIENTO '!C155</f>
        <v>Sistema Penitenciario</v>
      </c>
      <c r="D155" s="199">
        <f>'CUMPLIMIENTO '!D155</f>
        <v>2</v>
      </c>
      <c r="E155" s="199">
        <f>'CUMPLIMIENTO '!E155</f>
        <v>2</v>
      </c>
      <c r="F155" s="61">
        <f>'CUMPLIMIENTO '!G155</f>
        <v>0</v>
      </c>
      <c r="G155" s="61">
        <f>'CUMPLIMIENTO '!H155</f>
        <v>0</v>
      </c>
    </row>
    <row r="180" spans="3:5" ht="63" x14ac:dyDescent="0.25">
      <c r="C180" s="468" t="s">
        <v>1835</v>
      </c>
      <c r="D180" s="496" t="s">
        <v>1811</v>
      </c>
      <c r="E180" s="497" t="s">
        <v>2030</v>
      </c>
    </row>
    <row r="181" spans="3:5" ht="21" x14ac:dyDescent="0.25">
      <c r="C181" s="473" t="s">
        <v>1828</v>
      </c>
      <c r="D181" s="285">
        <f>F10</f>
        <v>0.26338387305792299</v>
      </c>
      <c r="E181" s="285">
        <f>G10</f>
        <v>0.28726565544596755</v>
      </c>
    </row>
    <row r="182" spans="3:5" ht="18.75" x14ac:dyDescent="0.25">
      <c r="C182" s="469" t="s">
        <v>2024</v>
      </c>
      <c r="D182" s="470">
        <f>F122</f>
        <v>0.29743627103134557</v>
      </c>
      <c r="E182" s="470">
        <f>G122</f>
        <v>0.18931768927175735</v>
      </c>
    </row>
    <row r="183" spans="3:5" ht="18.75" x14ac:dyDescent="0.25">
      <c r="C183" s="471" t="s">
        <v>2025</v>
      </c>
      <c r="D183" s="472">
        <f>F114</f>
        <v>0.31751547831253712</v>
      </c>
      <c r="E183" s="472">
        <f>G114</f>
        <v>0.37496305418719206</v>
      </c>
    </row>
    <row r="184" spans="3:5" ht="37.5" x14ac:dyDescent="0.25">
      <c r="C184" s="464" t="s">
        <v>2026</v>
      </c>
      <c r="D184" s="470">
        <f>F90</f>
        <v>0.21518996587883446</v>
      </c>
      <c r="E184" s="470">
        <f>G90</f>
        <v>0.20474983465608465</v>
      </c>
    </row>
    <row r="185" spans="3:5" ht="18.75" x14ac:dyDescent="0.25">
      <c r="C185" s="476" t="s">
        <v>2027</v>
      </c>
      <c r="D185" s="472">
        <f>F79</f>
        <v>0.22340166188027338</v>
      </c>
      <c r="E185" s="472">
        <f>G79</f>
        <v>0.28496980676328504</v>
      </c>
    </row>
    <row r="186" spans="3:5" ht="18.75" x14ac:dyDescent="0.25">
      <c r="C186" s="474" t="s">
        <v>2028</v>
      </c>
      <c r="D186" s="475">
        <f>F42</f>
        <v>0.24329478481946754</v>
      </c>
      <c r="E186" s="475">
        <f>G42</f>
        <v>0.32985855013965804</v>
      </c>
    </row>
    <row r="187" spans="3:5" ht="18.75" x14ac:dyDescent="0.25">
      <c r="C187" s="471" t="s">
        <v>2029</v>
      </c>
      <c r="D187" s="472">
        <f>F11</f>
        <v>0.28346507642507995</v>
      </c>
      <c r="E187" s="472">
        <f>G11</f>
        <v>0.33973499765782816</v>
      </c>
    </row>
  </sheetData>
  <autoFilter ref="A9:G155" xr:uid="{A9C5D684-4882-4199-835C-A4262CB1F79C}">
    <filterColumn colId="0">
      <filters>
        <filter val="EJE ESTRATEGICO"/>
        <filter val="PDD"/>
      </filters>
    </filterColumn>
  </autoFilter>
  <mergeCells count="1">
    <mergeCell ref="A3:D6"/>
  </mergeCells>
  <pageMargins left="0.70866141732283472" right="0.70866141732283472" top="0.74803149606299213" bottom="0.74803149606299213" header="0.31496062992125984" footer="0.31496062992125984"/>
  <pageSetup scale="7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25F9F-A8C0-4A05-A3E3-3078295DB152}">
  <sheetPr codeName="Hoja7" filterMode="1">
    <pageSetUpPr fitToPage="1"/>
  </sheetPr>
  <dimension ref="A3:K189"/>
  <sheetViews>
    <sheetView showGridLines="0" topLeftCell="A7" zoomScale="80" zoomScaleNormal="80" workbookViewId="0">
      <selection activeCell="C184" sqref="C184"/>
    </sheetView>
  </sheetViews>
  <sheetFormatPr baseColWidth="10" defaultRowHeight="15" x14ac:dyDescent="0.25"/>
  <cols>
    <col min="1" max="1" width="21.7109375" customWidth="1"/>
    <col min="2" max="2" width="8.28515625" style="214" customWidth="1"/>
    <col min="3" max="3" width="73.7109375" style="109" customWidth="1"/>
    <col min="4" max="6" width="14.7109375" customWidth="1"/>
    <col min="7" max="7" width="15.28515625" customWidth="1"/>
    <col min="9" max="9" width="7.7109375" bestFit="1" customWidth="1"/>
    <col min="10" max="10" width="15.5703125" customWidth="1"/>
    <col min="11" max="11" width="16.42578125" customWidth="1"/>
  </cols>
  <sheetData>
    <row r="3" spans="1:9" x14ac:dyDescent="0.25">
      <c r="A3" s="623" t="s">
        <v>2023</v>
      </c>
      <c r="B3" s="624"/>
      <c r="C3" s="624"/>
      <c r="D3" s="624"/>
    </row>
    <row r="4" spans="1:9" x14ac:dyDescent="0.25">
      <c r="A4" s="624"/>
      <c r="B4" s="624"/>
      <c r="C4" s="624"/>
      <c r="D4" s="624"/>
    </row>
    <row r="5" spans="1:9" x14ac:dyDescent="0.25">
      <c r="A5" s="624"/>
      <c r="B5" s="624"/>
      <c r="C5" s="624"/>
      <c r="D5" s="624"/>
    </row>
    <row r="6" spans="1:9" x14ac:dyDescent="0.25">
      <c r="A6" s="624"/>
      <c r="B6" s="624"/>
      <c r="C6" s="624"/>
      <c r="D6" s="624"/>
    </row>
    <row r="7" spans="1:9" x14ac:dyDescent="0.25">
      <c r="A7" t="s">
        <v>1836</v>
      </c>
      <c r="B7" s="214" t="s">
        <v>2022</v>
      </c>
    </row>
    <row r="8" spans="1:9" x14ac:dyDescent="0.25">
      <c r="A8" t="s">
        <v>1837</v>
      </c>
      <c r="B8" s="214" t="s">
        <v>1838</v>
      </c>
    </row>
    <row r="9" spans="1:9" ht="63" x14ac:dyDescent="0.25">
      <c r="A9" s="201" t="s">
        <v>1834</v>
      </c>
      <c r="B9" s="201" t="s">
        <v>1833</v>
      </c>
      <c r="C9" s="201" t="s">
        <v>1835</v>
      </c>
      <c r="D9" s="201" t="s">
        <v>1813</v>
      </c>
      <c r="E9" s="201" t="s">
        <v>1974</v>
      </c>
      <c r="F9" s="496" t="s">
        <v>1811</v>
      </c>
      <c r="G9" s="497" t="s">
        <v>2030</v>
      </c>
    </row>
    <row r="10" spans="1:9" ht="21" hidden="1" x14ac:dyDescent="0.35">
      <c r="A10" s="192" t="str">
        <f>'CUMPLIMIENTO '!A10</f>
        <v>PDD</v>
      </c>
      <c r="B10" s="215">
        <f>'CUMPLIMIENTO '!B10</f>
        <v>0</v>
      </c>
      <c r="C10" s="193" t="str">
        <f>'CUMPLIMIENTO '!C10</f>
        <v>BOLIVAR PRIMERO 2020 - 2023</v>
      </c>
      <c r="D10" s="219">
        <f>'CUMPLIMIENTO '!D10</f>
        <v>554</v>
      </c>
      <c r="E10" s="219">
        <f>'CUMPLIMIENTO '!E10</f>
        <v>388</v>
      </c>
      <c r="F10" s="220">
        <f>'CUMPLIMIENTO '!G10</f>
        <v>0.26338387305792299</v>
      </c>
      <c r="G10" s="220">
        <f>'CUMPLIMIENTO '!H10</f>
        <v>0.28726565544596755</v>
      </c>
    </row>
    <row r="11" spans="1:9" ht="18.75" x14ac:dyDescent="0.25">
      <c r="A11" s="222" t="str">
        <f>'CUMPLIMIENTO '!A11</f>
        <v>EJE ESTRATEGICO</v>
      </c>
      <c r="B11" s="223">
        <f>'CUMPLIMIENTO '!B11</f>
        <v>1</v>
      </c>
      <c r="C11" s="222" t="str">
        <f>'CUMPLIMIENTO '!C11</f>
        <v>BOLIVAR PROGRESA, SUPERACIÓN DE LA POBREZA</v>
      </c>
      <c r="D11" s="224">
        <f>'CUMPLIMIENTO '!D11</f>
        <v>219</v>
      </c>
      <c r="E11" s="224">
        <f>'CUMPLIMIENTO '!F11</f>
        <v>196</v>
      </c>
      <c r="F11" s="225">
        <f>'CUMPLIMIENTO '!G11</f>
        <v>0.28346507642507995</v>
      </c>
      <c r="G11" s="225">
        <f>'CUMPLIMIENTO '!H11</f>
        <v>0.33973499765782816</v>
      </c>
    </row>
    <row r="12" spans="1:9" s="110" customFormat="1" ht="31.5" x14ac:dyDescent="0.25">
      <c r="A12" s="202" t="str">
        <f>'CUMPLIMIENTO '!A12</f>
        <v>LINEA</v>
      </c>
      <c r="B12" s="203" t="str">
        <f>'CUMPLIMIENTO '!B12</f>
        <v xml:space="preserve">1.1 </v>
      </c>
      <c r="C12" s="221" t="str">
        <f>'CUMPLIMIENTO '!C12</f>
        <v>PLAN DEPARTAMENTAL DE EMERGENCIA SOCIAL PARA LA IGUALDAD Y LA INCLUSIÓN</v>
      </c>
      <c r="D12" s="216">
        <f>'CUMPLIMIENTO '!D12</f>
        <v>14</v>
      </c>
      <c r="E12" s="216">
        <f>'CUMPLIMIENTO '!F12</f>
        <v>6</v>
      </c>
      <c r="F12" s="217">
        <f>'CUMPLIMIENTO '!G12</f>
        <v>0.10410714285714286</v>
      </c>
      <c r="G12" s="218">
        <f>'CUMPLIMIENTO '!H12</f>
        <v>0.33333333333333331</v>
      </c>
      <c r="I12"/>
    </row>
    <row r="13" spans="1:9" s="110" customFormat="1" ht="15.75" hidden="1" x14ac:dyDescent="0.25">
      <c r="A13" s="208" t="str">
        <f>'CUMPLIMIENTO '!A13</f>
        <v>PROGRAMA</v>
      </c>
      <c r="B13" s="209" t="str">
        <f>'CUMPLIMIENTO '!B13</f>
        <v>1.1.1</v>
      </c>
      <c r="C13" s="210" t="str">
        <f>'CUMPLIMIENTO '!C13</f>
        <v>Plan departamental de emergencia social para la igualdad y la inclusión PLADES.</v>
      </c>
      <c r="D13" s="211">
        <f>'CUMPLIMIENTO '!D13</f>
        <v>14</v>
      </c>
      <c r="E13" s="211">
        <f>'CUMPLIMIENTO '!E13</f>
        <v>6</v>
      </c>
      <c r="F13" s="212">
        <f>'CUMPLIMIENTO '!G13</f>
        <v>0.10410714285714286</v>
      </c>
      <c r="G13" s="212">
        <f>'CUMPLIMIENTO '!H13</f>
        <v>0.33333333333333331</v>
      </c>
      <c r="I13"/>
    </row>
    <row r="14" spans="1:9" ht="15.75" x14ac:dyDescent="0.25">
      <c r="A14" s="251" t="str">
        <f>'CUMPLIMIENTO '!A14</f>
        <v>LINEA</v>
      </c>
      <c r="B14" s="252" t="str">
        <f>'CUMPLIMIENTO '!B14</f>
        <v xml:space="preserve">1.2 </v>
      </c>
      <c r="C14" s="251" t="str">
        <f>'CUMPLIMIENTO '!C14</f>
        <v>BOLÍVAR PRIMERO EDUCA</v>
      </c>
      <c r="D14" s="253">
        <f>'CUMPLIMIENTO '!D14</f>
        <v>43</v>
      </c>
      <c r="E14" s="253">
        <f>'CUMPLIMIENTO '!F14</f>
        <v>41</v>
      </c>
      <c r="F14" s="254">
        <f>'CUMPLIMIENTO '!G14</f>
        <v>0.380217289810165</v>
      </c>
      <c r="G14" s="255">
        <f>'CUMPLIMIENTO '!H14</f>
        <v>0.35092007988259732</v>
      </c>
    </row>
    <row r="15" spans="1:9" ht="15.75" hidden="1" x14ac:dyDescent="0.25">
      <c r="A15" s="198" t="str">
        <f>'CUMPLIMIENTO '!A15</f>
        <v>PROGRAMA</v>
      </c>
      <c r="B15" s="106" t="str">
        <f>'CUMPLIMIENTO '!B15</f>
        <v>1.2.1</v>
      </c>
      <c r="C15" s="111" t="str">
        <f>'CUMPLIMIENTO '!C15</f>
        <v>Bolívar Primero en calidad educativa.</v>
      </c>
      <c r="D15" s="199">
        <f>'CUMPLIMIENTO '!D15</f>
        <v>21</v>
      </c>
      <c r="E15" s="199">
        <f>'CUMPLIMIENTO '!E15</f>
        <v>15</v>
      </c>
      <c r="F15" s="61">
        <f>'CUMPLIMIENTO '!G15</f>
        <v>0.34098599173680866</v>
      </c>
      <c r="G15" s="61">
        <f>'CUMPLIMIENTO '!H15</f>
        <v>0.12839000155255395</v>
      </c>
    </row>
    <row r="16" spans="1:9" ht="15.75" hidden="1" x14ac:dyDescent="0.25">
      <c r="A16" s="198" t="str">
        <f>'CUMPLIMIENTO '!A16</f>
        <v>PROGRAMA</v>
      </c>
      <c r="B16" s="106" t="str">
        <f>'CUMPLIMIENTO '!B16</f>
        <v>1.2.2</v>
      </c>
      <c r="C16" s="111" t="str">
        <f>'CUMPLIMIENTO '!C16</f>
        <v>Bolívar primero en cobertura.</v>
      </c>
      <c r="D16" s="199">
        <f>'CUMPLIMIENTO '!D16</f>
        <v>8</v>
      </c>
      <c r="E16" s="199">
        <f>'CUMPLIMIENTO '!E16</f>
        <v>7</v>
      </c>
      <c r="F16" s="61">
        <f>'CUMPLIMIENTO '!G16</f>
        <v>0.38777812259164557</v>
      </c>
      <c r="G16" s="61">
        <f>'CUMPLIMIENTO '!H16</f>
        <v>0.40960833333333335</v>
      </c>
    </row>
    <row r="17" spans="1:7" ht="15.75" hidden="1" x14ac:dyDescent="0.25">
      <c r="A17" s="198" t="str">
        <f>'CUMPLIMIENTO '!A17</f>
        <v>PROGRAMA</v>
      </c>
      <c r="B17" s="106" t="str">
        <f>'CUMPLIMIENTO '!B17</f>
        <v>1.2.3</v>
      </c>
      <c r="C17" s="111" t="str">
        <f>'CUMPLIMIENTO '!C17</f>
        <v>Bolívar primero en eficiencia y fortalecimiento institucional de la educación</v>
      </c>
      <c r="D17" s="199">
        <f>'CUMPLIMIENTO '!D17</f>
        <v>14</v>
      </c>
      <c r="E17" s="199">
        <f>'CUMPLIMIENTO '!E17</f>
        <v>12</v>
      </c>
      <c r="F17" s="61">
        <f>'CUMPLIMIENTO '!G17</f>
        <v>0.41188775510204084</v>
      </c>
      <c r="G17" s="61">
        <f>'CUMPLIMIENTO '!H17</f>
        <v>0.51476190476190475</v>
      </c>
    </row>
    <row r="18" spans="1:7" ht="15.75" x14ac:dyDescent="0.25">
      <c r="A18" s="202" t="str">
        <f>'CUMPLIMIENTO '!A18</f>
        <v>LINEA</v>
      </c>
      <c r="B18" s="203" t="str">
        <f>'CUMPLIMIENTO '!B18</f>
        <v>1.3</v>
      </c>
      <c r="C18" s="202" t="str">
        <f>'CUMPLIMIENTO '!C18</f>
        <v>BOLIVAR PRIMERO EN SALUD</v>
      </c>
      <c r="D18" s="216">
        <f>'CUMPLIMIENTO '!D18</f>
        <v>100</v>
      </c>
      <c r="E18" s="216">
        <f>'CUMPLIMIENTO '!F18</f>
        <v>97</v>
      </c>
      <c r="F18" s="217">
        <f>'CUMPLIMIENTO '!G18</f>
        <v>0.28725768020702352</v>
      </c>
      <c r="G18" s="218">
        <f>'CUMPLIMIENTO '!H18</f>
        <v>0.12644126449682005</v>
      </c>
    </row>
    <row r="19" spans="1:7" ht="15.75" hidden="1" x14ac:dyDescent="0.25">
      <c r="A19" s="198" t="str">
        <f>'CUMPLIMIENTO '!A19</f>
        <v>PROGRAMA</v>
      </c>
      <c r="B19" s="106" t="str">
        <f>'CUMPLIMIENTO '!B19</f>
        <v xml:space="preserve">1.3.1 </v>
      </c>
      <c r="C19" s="111" t="str">
        <f>'CUMPLIMIENTO '!C19</f>
        <v>Salud Ambiental</v>
      </c>
      <c r="D19" s="199">
        <f>'CUMPLIMIENTO '!D19</f>
        <v>6</v>
      </c>
      <c r="E19" s="199">
        <f>'CUMPLIMIENTO '!E19</f>
        <v>6</v>
      </c>
      <c r="F19" s="61">
        <f>'CUMPLIMIENTO '!G19</f>
        <v>0.30396365309408785</v>
      </c>
      <c r="G19" s="61">
        <f>'CUMPLIMIENTO '!H19</f>
        <v>8.8888888888888889E-3</v>
      </c>
    </row>
    <row r="20" spans="1:7" ht="15.75" hidden="1" x14ac:dyDescent="0.25">
      <c r="A20" s="198" t="str">
        <f>'CUMPLIMIENTO '!A20</f>
        <v>PROGRAMA</v>
      </c>
      <c r="B20" s="106" t="str">
        <f>'CUMPLIMIENTO '!B20</f>
        <v>1.3.2</v>
      </c>
      <c r="C20" s="111" t="str">
        <f>'CUMPLIMIENTO '!C20</f>
        <v>Vida Saludables y Condiciones no Transmisibles</v>
      </c>
      <c r="D20" s="199">
        <f>'CUMPLIMIENTO '!D20</f>
        <v>6</v>
      </c>
      <c r="E20" s="199">
        <f>'CUMPLIMIENTO '!E20</f>
        <v>6</v>
      </c>
      <c r="F20" s="61">
        <f>'CUMPLIMIENTO '!G20</f>
        <v>0.17453703703703705</v>
      </c>
      <c r="G20" s="61">
        <f>'CUMPLIMIENTO '!H20</f>
        <v>0</v>
      </c>
    </row>
    <row r="21" spans="1:7" ht="15.75" hidden="1" x14ac:dyDescent="0.25">
      <c r="A21" s="198" t="str">
        <f>'CUMPLIMIENTO '!A21</f>
        <v>PROGRAMA</v>
      </c>
      <c r="B21" s="106" t="str">
        <f>'CUMPLIMIENTO '!B21</f>
        <v>1.3.3</v>
      </c>
      <c r="C21" s="111" t="str">
        <f>'CUMPLIMIENTO '!C21</f>
        <v xml:space="preserve">Convivencia Social y Salud Mental </v>
      </c>
      <c r="D21" s="199">
        <f>'CUMPLIMIENTO '!D21</f>
        <v>4</v>
      </c>
      <c r="E21" s="199">
        <f>'CUMPLIMIENTO '!E21</f>
        <v>4</v>
      </c>
      <c r="F21" s="61">
        <f>'CUMPLIMIENTO '!G21</f>
        <v>0.22361111111111109</v>
      </c>
      <c r="G21" s="61">
        <f>'CUMPLIMIENTO '!H21</f>
        <v>6.1111111111111109E-2</v>
      </c>
    </row>
    <row r="22" spans="1:7" ht="15.75" hidden="1" x14ac:dyDescent="0.25">
      <c r="A22" s="198" t="str">
        <f>'CUMPLIMIENTO '!A22</f>
        <v>PROGRAMA</v>
      </c>
      <c r="B22" s="106" t="str">
        <f>'CUMPLIMIENTO '!B22</f>
        <v>1.3.4</v>
      </c>
      <c r="C22" s="111" t="str">
        <f>'CUMPLIMIENTO '!C22</f>
        <v>Seguridad Alimentaria y Nutricional</v>
      </c>
      <c r="D22" s="199">
        <f>'CUMPLIMIENTO '!D22</f>
        <v>9</v>
      </c>
      <c r="E22" s="199">
        <f>'CUMPLIMIENTO '!E22</f>
        <v>8</v>
      </c>
      <c r="F22" s="61">
        <f>'CUMPLIMIENTO '!G22</f>
        <v>0.16396604938271606</v>
      </c>
      <c r="G22" s="61">
        <f>'CUMPLIMIENTO '!H22</f>
        <v>7.407407407407407E-2</v>
      </c>
    </row>
    <row r="23" spans="1:7" ht="15.75" hidden="1" x14ac:dyDescent="0.25">
      <c r="A23" s="198" t="str">
        <f>'CUMPLIMIENTO '!A23</f>
        <v>PROGRAMA</v>
      </c>
      <c r="B23" s="106" t="str">
        <f>'CUMPLIMIENTO '!B23</f>
        <v>1.3.5</v>
      </c>
      <c r="C23" s="111" t="str">
        <f>'CUMPLIMIENTO '!C23</f>
        <v>Sexualidad, Derechos Sexuales y Reproductivos</v>
      </c>
      <c r="D23" s="199">
        <f>'CUMPLIMIENTO '!D23</f>
        <v>6</v>
      </c>
      <c r="E23" s="199">
        <f>'CUMPLIMIENTO '!E23</f>
        <v>6</v>
      </c>
      <c r="F23" s="61">
        <f>'CUMPLIMIENTO '!G23</f>
        <v>0.61435185185185182</v>
      </c>
      <c r="G23" s="61">
        <f>'CUMPLIMIENTO '!H23</f>
        <v>0.11851851851851848</v>
      </c>
    </row>
    <row r="24" spans="1:7" ht="15.75" hidden="1" x14ac:dyDescent="0.25">
      <c r="A24" s="198" t="str">
        <f>'CUMPLIMIENTO '!A24</f>
        <v>PROGRAMA</v>
      </c>
      <c r="B24" s="106" t="str">
        <f>'CUMPLIMIENTO '!B24</f>
        <v>1.3.6</v>
      </c>
      <c r="C24" s="111" t="str">
        <f>'CUMPLIMIENTO '!C24</f>
        <v>Vida Saludable y Enfermedades transmisibles</v>
      </c>
      <c r="D24" s="199">
        <f>'CUMPLIMIENTO '!D24</f>
        <v>10</v>
      </c>
      <c r="E24" s="199">
        <f>'CUMPLIMIENTO '!E24</f>
        <v>11</v>
      </c>
      <c r="F24" s="61">
        <f>'CUMPLIMIENTO '!G24</f>
        <v>0.38444444444444448</v>
      </c>
      <c r="G24" s="61">
        <f>'CUMPLIMIENTO '!H24</f>
        <v>0.35833333333333334</v>
      </c>
    </row>
    <row r="25" spans="1:7" ht="15.75" hidden="1" x14ac:dyDescent="0.25">
      <c r="A25" s="198" t="str">
        <f>'CUMPLIMIENTO '!A25</f>
        <v>PROGRAMA</v>
      </c>
      <c r="B25" s="106" t="str">
        <f>'CUMPLIMIENTO '!B25</f>
        <v>1.3.7</v>
      </c>
      <c r="C25" s="111" t="str">
        <f>'CUMPLIMIENTO '!C25</f>
        <v>Salud Publica en Emergencias y Desastres</v>
      </c>
      <c r="D25" s="199">
        <f>'CUMPLIMIENTO '!D25</f>
        <v>5</v>
      </c>
      <c r="E25" s="199">
        <f>'CUMPLIMIENTO '!E25</f>
        <v>4</v>
      </c>
      <c r="F25" s="61">
        <f>'CUMPLIMIENTO '!G25</f>
        <v>0.27913043478260868</v>
      </c>
      <c r="G25" s="61">
        <f>'CUMPLIMIENTO '!H25</f>
        <v>0.25</v>
      </c>
    </row>
    <row r="26" spans="1:7" ht="15.75" hidden="1" x14ac:dyDescent="0.25">
      <c r="A26" s="198" t="str">
        <f>'CUMPLIMIENTO '!A26</f>
        <v>PROGRAMA</v>
      </c>
      <c r="B26" s="106" t="str">
        <f>'CUMPLIMIENTO '!B26</f>
        <v>1.3.8</v>
      </c>
      <c r="C26" s="111" t="str">
        <f>'CUMPLIMIENTO '!C26</f>
        <v>Salud y Ambito Laboral</v>
      </c>
      <c r="D26" s="199">
        <f>'CUMPLIMIENTO '!D26</f>
        <v>4</v>
      </c>
      <c r="E26" s="199">
        <f>'CUMPLIMIENTO '!E26</f>
        <v>4</v>
      </c>
      <c r="F26" s="61">
        <f>'CUMPLIMIENTO '!G26</f>
        <v>0.21906565656565657</v>
      </c>
      <c r="G26" s="61">
        <f>'CUMPLIMIENTO '!H26</f>
        <v>0.25</v>
      </c>
    </row>
    <row r="27" spans="1:7" ht="15.75" hidden="1" x14ac:dyDescent="0.25">
      <c r="A27" s="198" t="str">
        <f>'CUMPLIMIENTO '!A27</f>
        <v>PROGRAMA</v>
      </c>
      <c r="B27" s="106" t="str">
        <f>'CUMPLIMIENTO '!B27</f>
        <v>1.3.9</v>
      </c>
      <c r="C27" s="111" t="str">
        <f>'CUMPLIMIENTO '!C27</f>
        <v>Gestión Diferencial de las Poblaciones Vulnerables</v>
      </c>
      <c r="D27" s="199">
        <f>'CUMPLIMIENTO '!D27</f>
        <v>22</v>
      </c>
      <c r="E27" s="199">
        <f>'CUMPLIMIENTO '!E27</f>
        <v>22</v>
      </c>
      <c r="F27" s="61">
        <f>'CUMPLIMIENTO '!G27</f>
        <v>0.22224888359369785</v>
      </c>
      <c r="G27" s="61">
        <f>'CUMPLIMIENTO '!H27</f>
        <v>1.7045454545454544E-2</v>
      </c>
    </row>
    <row r="28" spans="1:7" ht="15.75" hidden="1" x14ac:dyDescent="0.25">
      <c r="A28" s="198" t="str">
        <f>'CUMPLIMIENTO '!A28</f>
        <v>PROGRAMA</v>
      </c>
      <c r="B28" s="106" t="str">
        <f>'CUMPLIMIENTO '!B28</f>
        <v>1.3.10</v>
      </c>
      <c r="C28" s="111" t="str">
        <f>'CUMPLIMIENTO '!C28</f>
        <v>Fortalecimiento de la Autoridad Sanitaria en Salud</v>
      </c>
      <c r="D28" s="199">
        <f>'CUMPLIMIENTO '!D28</f>
        <v>28</v>
      </c>
      <c r="E28" s="200">
        <f>'CUMPLIMIENTO '!E28</f>
        <v>29</v>
      </c>
      <c r="F28" s="61">
        <f>'CUMPLIMIENTO '!G28</f>
        <v>0.29796334722086598</v>
      </c>
      <c r="G28" s="61">
        <f>'CUMPLIMIENTO '!H28</f>
        <v>0.29579782790309106</v>
      </c>
    </row>
    <row r="29" spans="1:7" ht="15.75" x14ac:dyDescent="0.25">
      <c r="A29" s="251" t="str">
        <f>'CUMPLIMIENTO '!A29</f>
        <v>LINEA</v>
      </c>
      <c r="B29" s="252" t="str">
        <f>'CUMPLIMIENTO '!B29</f>
        <v>1.4</v>
      </c>
      <c r="C29" s="251" t="str">
        <f>'CUMPLIMIENTO '!C29</f>
        <v>HÁBITAT</v>
      </c>
      <c r="D29" s="253">
        <f>'CUMPLIMIENTO '!D29</f>
        <v>8</v>
      </c>
      <c r="E29" s="253">
        <f>'CUMPLIMIENTO '!F29</f>
        <v>6</v>
      </c>
      <c r="F29" s="254">
        <f>'CUMPLIMIENTO '!G29</f>
        <v>0.19584814814814816</v>
      </c>
      <c r="G29" s="255">
        <f>'CUMPLIMIENTO '!H29</f>
        <v>0.63424242424242427</v>
      </c>
    </row>
    <row r="30" spans="1:7" ht="15.75" hidden="1" x14ac:dyDescent="0.25">
      <c r="A30" s="198" t="str">
        <f>'CUMPLIMIENTO '!A30</f>
        <v>PROGRAMA</v>
      </c>
      <c r="B30" s="106" t="str">
        <f>'CUMPLIMIENTO '!B30</f>
        <v>1.4.1</v>
      </c>
      <c r="C30" s="111" t="str">
        <f>'CUMPLIMIENTO '!C30</f>
        <v>Primero la vivienda</v>
      </c>
      <c r="D30" s="199">
        <f>'CUMPLIMIENTO '!D30</f>
        <v>2</v>
      </c>
      <c r="E30" s="199" t="str">
        <f>'CUMPLIMIENTO '!E30</f>
        <v>NP</v>
      </c>
      <c r="F30" s="61">
        <f>'CUMPLIMIENTO '!G30</f>
        <v>0.15540000000000001</v>
      </c>
      <c r="G30" s="61">
        <f>'CUMPLIMIENTO '!H30</f>
        <v>0.94181818181818178</v>
      </c>
    </row>
    <row r="31" spans="1:7" ht="15.75" hidden="1" x14ac:dyDescent="0.25">
      <c r="A31" s="198" t="str">
        <f>'CUMPLIMIENTO '!A31</f>
        <v>PROGRAMA</v>
      </c>
      <c r="B31" s="106" t="str">
        <f>'CUMPLIMIENTO '!B31</f>
        <v>1.4.2</v>
      </c>
      <c r="C31" s="111" t="str">
        <f>'CUMPLIMIENTO '!C31</f>
        <v>Primero el Agua</v>
      </c>
      <c r="D31" s="199">
        <f>'CUMPLIMIENTO '!D31</f>
        <v>6</v>
      </c>
      <c r="E31" s="199">
        <f>'CUMPLIMIENTO '!E31</f>
        <v>5</v>
      </c>
      <c r="F31" s="61">
        <f>'CUMPLIMIENTO '!G31</f>
        <v>0.23629629629629631</v>
      </c>
      <c r="G31" s="61">
        <f>'CUMPLIMIENTO '!H31</f>
        <v>0.32666666666666666</v>
      </c>
    </row>
    <row r="32" spans="1:7" ht="15.75" x14ac:dyDescent="0.25">
      <c r="A32" s="202" t="str">
        <f>'CUMPLIMIENTO '!A32</f>
        <v>LINEA</v>
      </c>
      <c r="B32" s="203" t="str">
        <f>'CUMPLIMIENTO '!B32</f>
        <v>1.5</v>
      </c>
      <c r="C32" s="202" t="str">
        <f>'CUMPLIMIENTO '!C32</f>
        <v>BOLÍVAR PRIMERO EN RECREACIÓN Y DEPORTES</v>
      </c>
      <c r="D32" s="216">
        <f>'CUMPLIMIENTO '!D32</f>
        <v>36</v>
      </c>
      <c r="E32" s="216">
        <f>'CUMPLIMIENTO '!F32</f>
        <v>32</v>
      </c>
      <c r="F32" s="217">
        <f>'CUMPLIMIENTO '!G32</f>
        <v>0.36201956749579395</v>
      </c>
      <c r="G32" s="218">
        <f>'CUMPLIMIENTO '!H32</f>
        <v>9.3472883991794042E-2</v>
      </c>
    </row>
    <row r="33" spans="1:7" ht="15.75" hidden="1" x14ac:dyDescent="0.25">
      <c r="A33" s="198" t="str">
        <f>'CUMPLIMIENTO '!A33</f>
        <v>PROGRAMA</v>
      </c>
      <c r="B33" s="106" t="str">
        <f>'CUMPLIMIENTO '!B33</f>
        <v>1.5.1</v>
      </c>
      <c r="C33" s="111" t="str">
        <f>'CUMPLIMIENTO '!C33</f>
        <v>Infraestructura Deportiva</v>
      </c>
      <c r="D33" s="199">
        <f>'CUMPLIMIENTO '!D33</f>
        <v>4</v>
      </c>
      <c r="E33" s="199">
        <f>'CUMPLIMIENTO '!E33</f>
        <v>1</v>
      </c>
      <c r="F33" s="61">
        <f>'CUMPLIMIENTO '!G33</f>
        <v>1.2500000000000001E-2</v>
      </c>
      <c r="G33" s="61">
        <f>'CUMPLIMIENTO '!H33</f>
        <v>0</v>
      </c>
    </row>
    <row r="34" spans="1:7" ht="15.75" hidden="1" x14ac:dyDescent="0.25">
      <c r="A34" s="198" t="str">
        <f>'CUMPLIMIENTO '!A34</f>
        <v>PROGRAMA</v>
      </c>
      <c r="B34" s="106" t="str">
        <f>'CUMPLIMIENTO '!B34</f>
        <v>1.5.2</v>
      </c>
      <c r="C34" s="111" t="str">
        <f>'CUMPLIMIENTO '!C34</f>
        <v>Altos logros y liderazgo deportivo Bolívar en los juegos nacionales 2023</v>
      </c>
      <c r="D34" s="199">
        <f>'CUMPLIMIENTO '!D34</f>
        <v>13</v>
      </c>
      <c r="E34" s="199">
        <f>'CUMPLIMIENTO '!E34</f>
        <v>12</v>
      </c>
      <c r="F34" s="61">
        <f>'CUMPLIMIENTO '!G34</f>
        <v>0.57189542483660138</v>
      </c>
      <c r="G34" s="61">
        <f>'CUMPLIMIENTO '!H34</f>
        <v>0.39417063728409762</v>
      </c>
    </row>
    <row r="35" spans="1:7" ht="30" hidden="1" x14ac:dyDescent="0.25">
      <c r="A35" s="198" t="str">
        <f>'CUMPLIMIENTO '!A35</f>
        <v>PROGRAMA</v>
      </c>
      <c r="B35" s="106" t="str">
        <f>'CUMPLIMIENTO '!B35</f>
        <v>1.5.3</v>
      </c>
      <c r="C35" s="111" t="str">
        <f>'CUMPLIMIENTO '!C35</f>
        <v>Deporte formativo escuelas para todos  y  Deporte formativo supérate Intercolegiados</v>
      </c>
      <c r="D35" s="199">
        <f>'CUMPLIMIENTO '!D35</f>
        <v>4</v>
      </c>
      <c r="E35" s="199">
        <f>'CUMPLIMIENTO '!E35</f>
        <v>4</v>
      </c>
      <c r="F35" s="61">
        <f>'CUMPLIMIENTO '!G35</f>
        <v>0.4841583333333333</v>
      </c>
      <c r="G35" s="61">
        <f>'CUMPLIMIENTO '!H35</f>
        <v>0</v>
      </c>
    </row>
    <row r="36" spans="1:7" ht="15.75" hidden="1" x14ac:dyDescent="0.25">
      <c r="A36" s="198" t="str">
        <f>'CUMPLIMIENTO '!A36</f>
        <v>PROGRAMA</v>
      </c>
      <c r="B36" s="106" t="str">
        <f>'CUMPLIMIENTO '!B36</f>
        <v>1.5.4</v>
      </c>
      <c r="C36" s="111" t="str">
        <f>'CUMPLIMIENTO '!C36</f>
        <v>Deporte social Comunitario</v>
      </c>
      <c r="D36" s="199">
        <f>'CUMPLIMIENTO '!D36</f>
        <v>3</v>
      </c>
      <c r="E36" s="199">
        <f>'CUMPLIMIENTO '!E36</f>
        <v>3</v>
      </c>
      <c r="F36" s="61">
        <f>'CUMPLIMIENTO '!G36</f>
        <v>0.46812996031746029</v>
      </c>
      <c r="G36" s="61">
        <f>'CUMPLIMIENTO '!H36</f>
        <v>0</v>
      </c>
    </row>
    <row r="37" spans="1:7" ht="15.75" hidden="1" x14ac:dyDescent="0.25">
      <c r="A37" s="198" t="str">
        <f>'CUMPLIMIENTO '!A37</f>
        <v>PROGRAMA</v>
      </c>
      <c r="B37" s="106" t="str">
        <f>'CUMPLIMIENTO '!B37</f>
        <v>1.5.5</v>
      </c>
      <c r="C37" s="111" t="str">
        <f>'CUMPLIMIENTO '!C37</f>
        <v>Las escuelas recreativas…un espacio lúdico del Bolívar primero</v>
      </c>
      <c r="D37" s="199">
        <f>'CUMPLIMIENTO '!D37</f>
        <v>6</v>
      </c>
      <c r="E37" s="199">
        <f>'CUMPLIMIENTO '!E37</f>
        <v>6</v>
      </c>
      <c r="F37" s="61">
        <f>'CUMPLIMIENTO '!G37</f>
        <v>0.3675913461538462</v>
      </c>
      <c r="G37" s="61">
        <f>'CUMPLIMIENTO '!H37</f>
        <v>0</v>
      </c>
    </row>
    <row r="38" spans="1:7" ht="15.75" hidden="1" x14ac:dyDescent="0.25">
      <c r="A38" s="198" t="str">
        <f>'CUMPLIMIENTO '!A38</f>
        <v>PROGRAMA</v>
      </c>
      <c r="B38" s="106" t="str">
        <f>'CUMPLIMIENTO '!B38</f>
        <v>1.5.6</v>
      </c>
      <c r="C38" s="111" t="str">
        <f>'CUMPLIMIENTO '!C38</f>
        <v>Hábitos y estilos de vida saludable “Bolívar primero…por tú salud ponte pilas</v>
      </c>
      <c r="D38" s="199">
        <f>'CUMPLIMIENTO '!D38</f>
        <v>6</v>
      </c>
      <c r="E38" s="199">
        <f>'CUMPLIMIENTO '!E38</f>
        <v>5</v>
      </c>
      <c r="F38" s="61">
        <f>'CUMPLIMIENTO '!G38</f>
        <v>0.26784234033352255</v>
      </c>
      <c r="G38" s="61">
        <f>'CUMPLIMIENTO '!H38</f>
        <v>0.16666666666666666</v>
      </c>
    </row>
    <row r="39" spans="1:7" ht="15.75" x14ac:dyDescent="0.25">
      <c r="A39" s="251" t="str">
        <f>'CUMPLIMIENTO '!A39</f>
        <v>LINEA</v>
      </c>
      <c r="B39" s="252" t="str">
        <f>'CUMPLIMIENTO '!B39</f>
        <v>1.6</v>
      </c>
      <c r="C39" s="251" t="str">
        <f>'CUMPLIMIENTO '!C39</f>
        <v>BOLÍVAR PROMUEVE EL ARTE, LA CULTURA Y SALVAGUARDA SU PATRIMONIO</v>
      </c>
      <c r="D39" s="253">
        <f>'CUMPLIMIENTO '!D39</f>
        <v>18</v>
      </c>
      <c r="E39" s="253">
        <f>'CUMPLIMIENTO '!F39</f>
        <v>14</v>
      </c>
      <c r="F39" s="254">
        <f>'CUMPLIMIENTO '!G39</f>
        <v>0.37134063003220613</v>
      </c>
      <c r="G39" s="255">
        <f>'CUMPLIMIENTO '!H39</f>
        <v>0.5</v>
      </c>
    </row>
    <row r="40" spans="1:7" ht="15.75" hidden="1" x14ac:dyDescent="0.25">
      <c r="A40" s="198" t="str">
        <f>'CUMPLIMIENTO '!A40</f>
        <v>PROGRAMA</v>
      </c>
      <c r="B40" s="106" t="str">
        <f>'CUMPLIMIENTO '!B40</f>
        <v>1.6.1</v>
      </c>
      <c r="C40" s="111" t="str">
        <f>'CUMPLIMIENTO '!C40</f>
        <v>Bolívar primero en arte y patrimonio</v>
      </c>
      <c r="D40" s="199">
        <f>'CUMPLIMIENTO '!D40</f>
        <v>6</v>
      </c>
      <c r="E40" s="199">
        <f>'CUMPLIMIENTO '!E40</f>
        <v>4</v>
      </c>
      <c r="F40" s="61">
        <f>'CUMPLIMIENTO '!G40</f>
        <v>0.24822916666666664</v>
      </c>
      <c r="G40" s="61">
        <f>'CUMPLIMIENTO '!H40</f>
        <v>0.41</v>
      </c>
    </row>
    <row r="41" spans="1:7" ht="15.75" hidden="1" x14ac:dyDescent="0.25">
      <c r="A41" s="198" t="str">
        <f>'CUMPLIMIENTO '!A41</f>
        <v>PROGRAMA</v>
      </c>
      <c r="B41" s="106" t="str">
        <f>'CUMPLIMIENTO '!B41</f>
        <v>1.6.2</v>
      </c>
      <c r="C41" s="111" t="str">
        <f>'CUMPLIMIENTO '!C41</f>
        <v>Bolívar primero en cultura</v>
      </c>
      <c r="D41" s="199">
        <f>'CUMPLIMIENTO '!D41</f>
        <v>12</v>
      </c>
      <c r="E41" s="199">
        <f>'CUMPLIMIENTO '!E41</f>
        <v>8</v>
      </c>
      <c r="F41" s="61">
        <f>'CUMPLIMIENTO '!G41</f>
        <v>0.4944520933977456</v>
      </c>
      <c r="G41" s="61">
        <f>'CUMPLIMIENTO '!H41</f>
        <v>0.59000000000000008</v>
      </c>
    </row>
    <row r="42" spans="1:7" ht="18.75" hidden="1" x14ac:dyDescent="0.25">
      <c r="A42" s="228" t="str">
        <f>'CUMPLIMIENTO '!A42</f>
        <v>EJE ESTRATEGICO</v>
      </c>
      <c r="B42" s="229">
        <f>'CUMPLIMIENTO '!B42</f>
        <v>2</v>
      </c>
      <c r="C42" s="230" t="str">
        <f>'CUMPLIMIENTO '!C42</f>
        <v>BOLÍVAR COMPETITIVO PARA LA INCLUSIÓN SOCIAL</v>
      </c>
      <c r="D42" s="231">
        <f>'CUMPLIMIENTO '!D42</f>
        <v>82</v>
      </c>
      <c r="E42" s="231">
        <f>'CUMPLIMIENTO '!E42</f>
        <v>45</v>
      </c>
      <c r="F42" s="232">
        <f>'CUMPLIMIENTO '!G42</f>
        <v>0.24329478481946754</v>
      </c>
      <c r="G42" s="232">
        <f>'CUMPLIMIENTO '!H42</f>
        <v>0.32985855013965804</v>
      </c>
    </row>
    <row r="43" spans="1:7" ht="15.75" hidden="1" x14ac:dyDescent="0.25">
      <c r="A43" s="202" t="str">
        <f>'CUMPLIMIENTO '!A43</f>
        <v>LINEA</v>
      </c>
      <c r="B43" s="203" t="str">
        <f>'CUMPLIMIENTO '!B43</f>
        <v>2.1</v>
      </c>
      <c r="C43" s="202" t="str">
        <f>'CUMPLIMIENTO '!C43</f>
        <v>BOLÍVAR PRIMERO EN INFRAESTRUCTURA Y TRANSPORTE</v>
      </c>
      <c r="D43" s="216">
        <f>'CUMPLIMIENTO '!D43</f>
        <v>4</v>
      </c>
      <c r="E43" s="216">
        <f>'CUMPLIMIENTO '!E43</f>
        <v>4</v>
      </c>
      <c r="F43" s="217">
        <f>'CUMPLIMIENTO '!G43</f>
        <v>0.52222222222222225</v>
      </c>
      <c r="G43" s="218">
        <f>'CUMPLIMIENTO '!H43</f>
        <v>0.49444444444444446</v>
      </c>
    </row>
    <row r="44" spans="1:7" ht="15.75" hidden="1" x14ac:dyDescent="0.25">
      <c r="A44" s="198" t="str">
        <f>'CUMPLIMIENTO '!A44</f>
        <v>PROGRAMA</v>
      </c>
      <c r="B44" s="106" t="str">
        <f>'CUMPLIMIENTO '!B44</f>
        <v>2.1.1</v>
      </c>
      <c r="C44" s="111" t="str">
        <f>'CUMPLIMIENTO '!C44</f>
        <v>Plan de conectividad para Bolívar</v>
      </c>
      <c r="D44" s="199">
        <f>'CUMPLIMIENTO '!D44</f>
        <v>3</v>
      </c>
      <c r="E44" s="199">
        <f>'CUMPLIMIENTO '!E44</f>
        <v>3</v>
      </c>
      <c r="F44" s="61">
        <f>'CUMPLIMIENTO '!G44</f>
        <v>0.64444444444444449</v>
      </c>
      <c r="G44" s="61">
        <f>'CUMPLIMIENTO '!H44</f>
        <v>0.48888888888888893</v>
      </c>
    </row>
    <row r="45" spans="1:7" ht="15.75" hidden="1" x14ac:dyDescent="0.25">
      <c r="A45" s="198" t="str">
        <f>'CUMPLIMIENTO '!A45</f>
        <v>PROGRAMA</v>
      </c>
      <c r="B45" s="106" t="str">
        <f>'CUMPLIMIENTO '!B45</f>
        <v xml:space="preserve">2.1.2 </v>
      </c>
      <c r="C45" s="111" t="str">
        <f>'CUMPLIMIENTO '!C45</f>
        <v>Bolívar se desarrolla por el Río</v>
      </c>
      <c r="D45" s="199">
        <f>'CUMPLIMIENTO '!D45</f>
        <v>1</v>
      </c>
      <c r="E45" s="199">
        <f>'CUMPLIMIENTO '!E45</f>
        <v>1</v>
      </c>
      <c r="F45" s="61">
        <f>'CUMPLIMIENTO '!G45</f>
        <v>0.4</v>
      </c>
      <c r="G45" s="61">
        <f>'CUMPLIMIENTO '!H45</f>
        <v>0.5</v>
      </c>
    </row>
    <row r="46" spans="1:7" ht="15.75" hidden="1" x14ac:dyDescent="0.25">
      <c r="A46" s="202" t="str">
        <f>'CUMPLIMIENTO '!A46</f>
        <v>LINEA</v>
      </c>
      <c r="B46" s="203" t="str">
        <f>'CUMPLIMIENTO '!B46</f>
        <v>2.2</v>
      </c>
      <c r="C46" s="202" t="str">
        <f>'CUMPLIMIENTO '!C46</f>
        <v>BOLÍVAR PRIMERO EN MOVILIDAD</v>
      </c>
      <c r="D46" s="216">
        <f>'CUMPLIMIENTO '!D46</f>
        <v>7</v>
      </c>
      <c r="E46" s="216">
        <f>'CUMPLIMIENTO '!E46</f>
        <v>3</v>
      </c>
      <c r="F46" s="217">
        <f>'CUMPLIMIENTO '!G46</f>
        <v>0.21714285714285717</v>
      </c>
      <c r="G46" s="218">
        <f>'CUMPLIMIENTO '!H46</f>
        <v>0.125</v>
      </c>
    </row>
    <row r="47" spans="1:7" ht="15.75" hidden="1" x14ac:dyDescent="0.25">
      <c r="A47" s="198" t="str">
        <f>'CUMPLIMIENTO '!A47</f>
        <v>PROGRAMA</v>
      </c>
      <c r="B47" s="106" t="str">
        <f>'CUMPLIMIENTO '!B47</f>
        <v>2.2.1</v>
      </c>
      <c r="C47" s="111" t="str">
        <f>'CUMPLIMIENTO '!C47</f>
        <v>Bolívar Primero con Movilidad Segura.</v>
      </c>
      <c r="D47" s="199">
        <f>'CUMPLIMIENTO '!D47</f>
        <v>5</v>
      </c>
      <c r="E47" s="199">
        <f>'CUMPLIMIENTO '!E47</f>
        <v>3</v>
      </c>
      <c r="F47" s="61">
        <f>'CUMPLIMIENTO '!G47</f>
        <v>0.43428571428571433</v>
      </c>
      <c r="G47" s="61">
        <f>'CUMPLIMIENTO '!H47</f>
        <v>0.25</v>
      </c>
    </row>
    <row r="48" spans="1:7" ht="15.75" hidden="1" x14ac:dyDescent="0.25">
      <c r="A48" s="198" t="str">
        <f>'CUMPLIMIENTO '!A48</f>
        <v>PROGRAMA</v>
      </c>
      <c r="B48" s="106" t="str">
        <f>'CUMPLIMIENTO '!B48</f>
        <v xml:space="preserve">2.2.2 </v>
      </c>
      <c r="C48" s="111" t="str">
        <f>'CUMPLIMIENTO '!C48</f>
        <v>Bolívar Primero con Infraestructura y Transporte y Movilidad Activa</v>
      </c>
      <c r="D48" s="199">
        <f>'CUMPLIMIENTO '!D48</f>
        <v>2</v>
      </c>
      <c r="E48" s="199" t="str">
        <f>'CUMPLIMIENTO '!E48</f>
        <v>NP</v>
      </c>
      <c r="F48" s="61">
        <f>'CUMPLIMIENTO '!G48</f>
        <v>0</v>
      </c>
      <c r="G48" s="61">
        <f>'CUMPLIMIENTO '!H48</f>
        <v>0</v>
      </c>
    </row>
    <row r="49" spans="1:7" ht="15.75" hidden="1" x14ac:dyDescent="0.25">
      <c r="A49" s="202" t="str">
        <f>'CUMPLIMIENTO '!A49</f>
        <v>LINEA</v>
      </c>
      <c r="B49" s="203" t="str">
        <f>'CUMPLIMIENTO '!B49</f>
        <v>2.3</v>
      </c>
      <c r="C49" s="202" t="str">
        <f>'CUMPLIMIENTO '!C49</f>
        <v>BOLÍVAR PRIMERO EN TECNOLOGÍAS DE LA INFORMACIÓN Y LAS COMUNICACIONES</v>
      </c>
      <c r="D49" s="216">
        <f>'CUMPLIMIENTO '!D49</f>
        <v>4</v>
      </c>
      <c r="E49" s="216">
        <f>'CUMPLIMIENTO '!E49</f>
        <v>1</v>
      </c>
      <c r="F49" s="217">
        <f>'CUMPLIMIENTO '!G49</f>
        <v>0.33750000000000002</v>
      </c>
      <c r="G49" s="218">
        <f>'CUMPLIMIENTO '!H49</f>
        <v>0.10625000000000001</v>
      </c>
    </row>
    <row r="50" spans="1:7" ht="15.75" hidden="1" x14ac:dyDescent="0.25">
      <c r="A50" s="198" t="str">
        <f>'CUMPLIMIENTO '!A50</f>
        <v>PROGRAMA</v>
      </c>
      <c r="B50" s="106" t="str">
        <f>'CUMPLIMIENTO '!B50</f>
        <v>2.3.1</v>
      </c>
      <c r="C50" s="111" t="str">
        <f>'CUMPLIMIENTO '!C50</f>
        <v>TIC’s para la competitividad y la inclusión social</v>
      </c>
      <c r="D50" s="199">
        <f>'CUMPLIMIENTO '!D50</f>
        <v>4</v>
      </c>
      <c r="E50" s="199">
        <f>'CUMPLIMIENTO '!E50</f>
        <v>1</v>
      </c>
      <c r="F50" s="61">
        <f>'CUMPLIMIENTO '!G50</f>
        <v>0.33750000000000002</v>
      </c>
      <c r="G50" s="61">
        <f>'CUMPLIMIENTO '!H50</f>
        <v>0.10625000000000001</v>
      </c>
    </row>
    <row r="51" spans="1:7" ht="15.75" hidden="1" x14ac:dyDescent="0.25">
      <c r="A51" s="202" t="str">
        <f>'CUMPLIMIENTO '!A51</f>
        <v>LINEA</v>
      </c>
      <c r="B51" s="203" t="str">
        <f>'CUMPLIMIENTO '!B51</f>
        <v>2.4</v>
      </c>
      <c r="C51" s="202" t="str">
        <f>'CUMPLIMIENTO '!C51</f>
        <v>BOLÍVAR PRIMERO EN DESARROLLO ECONÓMICO</v>
      </c>
      <c r="D51" s="216">
        <f>'CUMPLIMIENTO '!D51</f>
        <v>7</v>
      </c>
      <c r="E51" s="216">
        <f>'CUMPLIMIENTO '!E51</f>
        <v>3</v>
      </c>
      <c r="F51" s="217">
        <f>'CUMPLIMIENTO '!G51</f>
        <v>0.28287037037037033</v>
      </c>
      <c r="G51" s="218">
        <f>'CUMPLIMIENTO '!H51</f>
        <v>0.45833333333333331</v>
      </c>
    </row>
    <row r="52" spans="1:7" ht="15.75" hidden="1" x14ac:dyDescent="0.25">
      <c r="A52" s="198" t="str">
        <f>'CUMPLIMIENTO '!A52</f>
        <v>PROGRAMA</v>
      </c>
      <c r="B52" s="106" t="str">
        <f>'CUMPLIMIENTO '!B52</f>
        <v>2.4.1</v>
      </c>
      <c r="C52" s="111" t="str">
        <f>'CUMPLIMIENTO '!C52</f>
        <v>2.4.1.	Promoción del Departamento para la competitividad</v>
      </c>
      <c r="D52" s="199">
        <f>'CUMPLIMIENTO '!D52</f>
        <v>4</v>
      </c>
      <c r="E52" s="199">
        <f>'CUMPLIMIENTO '!E52</f>
        <v>2</v>
      </c>
      <c r="F52" s="61">
        <f>'CUMPLIMIENTO '!G52</f>
        <v>0.19166666666666665</v>
      </c>
      <c r="G52" s="61">
        <f>'CUMPLIMIENTO '!H52</f>
        <v>0.25</v>
      </c>
    </row>
    <row r="53" spans="1:7" ht="15.75" hidden="1" x14ac:dyDescent="0.25">
      <c r="A53" s="198" t="str">
        <f>'CUMPLIMIENTO '!A53</f>
        <v>PROGRAMA</v>
      </c>
      <c r="B53" s="106" t="str">
        <f>'CUMPLIMIENTO '!B53</f>
        <v>2.4.2</v>
      </c>
      <c r="C53" s="111" t="str">
        <f>'CUMPLIMIENTO '!C53</f>
        <v>Bolivar Primero en emprendimiento y encadenamientos productivos</v>
      </c>
      <c r="D53" s="199">
        <f>'CUMPLIMIENTO '!D53</f>
        <v>3</v>
      </c>
      <c r="E53" s="199">
        <f>'CUMPLIMIENTO '!E53</f>
        <v>1</v>
      </c>
      <c r="F53" s="61">
        <f>'CUMPLIMIENTO '!G53</f>
        <v>0.37407407407407406</v>
      </c>
      <c r="G53" s="61">
        <f>'CUMPLIMIENTO '!H53</f>
        <v>0.66666666666666663</v>
      </c>
    </row>
    <row r="54" spans="1:7" ht="15.75" hidden="1" x14ac:dyDescent="0.25">
      <c r="A54" s="202" t="str">
        <f>'CUMPLIMIENTO '!A54</f>
        <v>LINEA</v>
      </c>
      <c r="B54" s="203" t="str">
        <f>'CUMPLIMIENTO '!B54</f>
        <v>2.5</v>
      </c>
      <c r="C54" s="202" t="str">
        <f>'CUMPLIMIENTO '!C54</f>
        <v>BOLÍVAR PRIMERO EN AGRICULTURA, EXPLOTACIONES PECUARIAS, PESCA FORESTAL Y SEGURIDAD ALIMENTARIA</v>
      </c>
      <c r="D54" s="216">
        <f>'CUMPLIMIENTO '!D54</f>
        <v>8</v>
      </c>
      <c r="E54" s="216">
        <f>'CUMPLIMIENTO '!E54</f>
        <v>6</v>
      </c>
      <c r="F54" s="217">
        <f>'CUMPLIMIENTO '!G54</f>
        <v>0.26021690090122751</v>
      </c>
      <c r="G54" s="218">
        <f>'CUMPLIMIENTO '!H54</f>
        <v>0.37503049785364378</v>
      </c>
    </row>
    <row r="55" spans="1:7" ht="15.75" hidden="1" x14ac:dyDescent="0.25">
      <c r="A55" s="198" t="str">
        <f>'CUMPLIMIENTO '!A55</f>
        <v>PROGRAMA</v>
      </c>
      <c r="B55" s="106" t="str">
        <f>'CUMPLIMIENTO '!B55</f>
        <v>2.5.1</v>
      </c>
      <c r="C55" s="111" t="str">
        <f>'CUMPLIMIENTO '!C55</f>
        <v>Tecnología al campo</v>
      </c>
      <c r="D55" s="199">
        <f>'CUMPLIMIENTO '!D55</f>
        <v>1</v>
      </c>
      <c r="E55" s="199">
        <f>'CUMPLIMIENTO '!E55</f>
        <v>1</v>
      </c>
      <c r="F55" s="61">
        <f>'CUMPLIMIENTO '!G55</f>
        <v>2.032520325203252E-2</v>
      </c>
      <c r="G55" s="61">
        <f>'CUMPLIMIENTO '!H55</f>
        <v>0.1360544217687075</v>
      </c>
    </row>
    <row r="56" spans="1:7" ht="15.75" hidden="1" x14ac:dyDescent="0.25">
      <c r="A56" s="198" t="str">
        <f>'CUMPLIMIENTO '!A56</f>
        <v>PROGRAMA</v>
      </c>
      <c r="B56" s="106" t="str">
        <f>'CUMPLIMIENTO '!B56</f>
        <v>2.5.2</v>
      </c>
      <c r="C56" s="111" t="str">
        <f>'CUMPLIMIENTO '!C56</f>
        <v>Bolívar fomenta la agroindustria</v>
      </c>
      <c r="D56" s="199">
        <f>'CUMPLIMIENTO '!D56</f>
        <v>1</v>
      </c>
      <c r="E56" s="199">
        <f>'CUMPLIMIENTO '!E56</f>
        <v>1</v>
      </c>
      <c r="F56" s="61">
        <f>'CUMPLIMIENTO '!G56</f>
        <v>6.6559999999999994E-2</v>
      </c>
      <c r="G56" s="61">
        <f>'CUMPLIMIENTO '!H56</f>
        <v>2.8307508939213348E-2</v>
      </c>
    </row>
    <row r="57" spans="1:7" ht="15.75" hidden="1" x14ac:dyDescent="0.25">
      <c r="A57" s="198" t="str">
        <f>'CUMPLIMIENTO '!A57</f>
        <v>PROGRAMA</v>
      </c>
      <c r="B57" s="106" t="str">
        <f>'CUMPLIMIENTO '!B57</f>
        <v>2.5.3</v>
      </c>
      <c r="C57" s="111" t="str">
        <f>'CUMPLIMIENTO '!C57</f>
        <v>Del campo al mercado</v>
      </c>
      <c r="D57" s="199">
        <f>'CUMPLIMIENTO '!D57</f>
        <v>3</v>
      </c>
      <c r="E57" s="199">
        <f>'CUMPLIMIENTO '!E57</f>
        <v>2</v>
      </c>
      <c r="F57" s="61">
        <f>'CUMPLIMIENTO '!G57</f>
        <v>0.10006837606837608</v>
      </c>
      <c r="G57" s="61">
        <f>'CUMPLIMIENTO '!H57</f>
        <v>0.54842975206611566</v>
      </c>
    </row>
    <row r="58" spans="1:7" ht="15.75" hidden="1" x14ac:dyDescent="0.25">
      <c r="A58" s="198" t="str">
        <f>'CUMPLIMIENTO '!A58</f>
        <v>PROGRAMA</v>
      </c>
      <c r="B58" s="106" t="str">
        <f>'CUMPLIMIENTO '!B58</f>
        <v>2.5.4</v>
      </c>
      <c r="C58" s="111" t="str">
        <f>'CUMPLIMIENTO '!C58</f>
        <v>Apoyo a los municipios en el ordenamiento social de la propiedad.</v>
      </c>
      <c r="D58" s="199">
        <f>'CUMPLIMIENTO '!D58</f>
        <v>1</v>
      </c>
      <c r="E58" s="199">
        <f>'CUMPLIMIENTO '!E58</f>
        <v>1</v>
      </c>
      <c r="F58" s="61">
        <f>'CUMPLIMIENTO '!G58</f>
        <v>0.30434782608695654</v>
      </c>
      <c r="G58" s="61">
        <f>'CUMPLIMIENTO '!H58</f>
        <v>0.21739130434782608</v>
      </c>
    </row>
    <row r="59" spans="1:7" ht="15.75" hidden="1" x14ac:dyDescent="0.25">
      <c r="A59" s="198" t="str">
        <f>'CUMPLIMIENTO '!A59</f>
        <v>PROGRAMA</v>
      </c>
      <c r="B59" s="106" t="str">
        <f>'CUMPLIMIENTO '!B59</f>
        <v xml:space="preserve">2.5.5 </v>
      </c>
      <c r="C59" s="111" t="str">
        <f>'CUMPLIMIENTO '!C59</f>
        <v xml:space="preserve">Bancarización </v>
      </c>
      <c r="D59" s="199">
        <f>'CUMPLIMIENTO '!D59</f>
        <v>1</v>
      </c>
      <c r="E59" s="199">
        <f>'CUMPLIMIENTO '!E59</f>
        <v>1</v>
      </c>
      <c r="F59" s="61">
        <f>'CUMPLIMIENTO '!G59</f>
        <v>7.0000000000000007E-2</v>
      </c>
      <c r="G59" s="61">
        <f>'CUMPLIMIENTO '!H59</f>
        <v>0.32</v>
      </c>
    </row>
    <row r="60" spans="1:7" ht="15.75" hidden="1" x14ac:dyDescent="0.25">
      <c r="A60" s="198" t="str">
        <f>'CUMPLIMIENTO '!A60</f>
        <v>PROGRAMA</v>
      </c>
      <c r="B60" s="106" t="str">
        <f>'CUMPLIMIENTO '!B60</f>
        <v>2.5.6</v>
      </c>
      <c r="C60" s="111" t="str">
        <f>'CUMPLIMIENTO '!C60</f>
        <v xml:space="preserve">Seguridad alimentaria </v>
      </c>
      <c r="D60" s="199">
        <f>'CUMPLIMIENTO '!D60</f>
        <v>1</v>
      </c>
      <c r="E60" s="199" t="str">
        <f>'CUMPLIMIENTO '!E60</f>
        <v>NP</v>
      </c>
      <c r="F60" s="61">
        <f>'CUMPLIMIENTO '!G60</f>
        <v>1</v>
      </c>
      <c r="G60" s="61">
        <f>'CUMPLIMIENTO '!H60</f>
        <v>1</v>
      </c>
    </row>
    <row r="61" spans="1:7" ht="15.75" hidden="1" x14ac:dyDescent="0.25">
      <c r="A61" s="202" t="str">
        <f>'CUMPLIMIENTO '!A61</f>
        <v>LINEA</v>
      </c>
      <c r="B61" s="203" t="str">
        <f>'CUMPLIMIENTO '!B61</f>
        <v>2.6</v>
      </c>
      <c r="C61" s="202" t="str">
        <f>'CUMPLIMIENTO '!C61</f>
        <v>BOLIVAR PRIMERO EN PRODUCTIVIDAD Y COMPETITIVIDAD MINERO ENERGÉTICA</v>
      </c>
      <c r="D61" s="216">
        <f>'CUMPLIMIENTO '!D61</f>
        <v>18</v>
      </c>
      <c r="E61" s="216">
        <f>'CUMPLIMIENTO '!E61</f>
        <v>6</v>
      </c>
      <c r="F61" s="217">
        <f>'CUMPLIMIENTO '!G61</f>
        <v>0.14849206349206351</v>
      </c>
      <c r="G61" s="218">
        <f>'CUMPLIMIENTO '!H61</f>
        <v>0.23641470737153236</v>
      </c>
    </row>
    <row r="62" spans="1:7" ht="15.75" hidden="1" x14ac:dyDescent="0.25">
      <c r="A62" s="198" t="str">
        <f>'CUMPLIMIENTO '!A62</f>
        <v>PROGRAMA</v>
      </c>
      <c r="B62" s="106" t="str">
        <f>'CUMPLIMIENTO '!B62</f>
        <v>2.6.1</v>
      </c>
      <c r="C62" s="111" t="str">
        <f>'CUMPLIMIENTO '!C62</f>
        <v>Minería responsable y segura</v>
      </c>
      <c r="D62" s="199">
        <f>'CUMPLIMIENTO '!D62</f>
        <v>3</v>
      </c>
      <c r="E62" s="199" t="str">
        <f>'CUMPLIMIENTO '!E62</f>
        <v>NP</v>
      </c>
      <c r="F62" s="61">
        <f>'CUMPLIMIENTO '!G62</f>
        <v>5.5555555555555552E-2</v>
      </c>
      <c r="G62" s="61">
        <f>'CUMPLIMIENTO '!H62</f>
        <v>0.16666666666666666</v>
      </c>
    </row>
    <row r="63" spans="1:7" ht="15.75" hidden="1" x14ac:dyDescent="0.25">
      <c r="A63" s="198" t="str">
        <f>'CUMPLIMIENTO '!A63</f>
        <v>PROGRAMA</v>
      </c>
      <c r="B63" s="106" t="str">
        <f>'CUMPLIMIENTO '!B63</f>
        <v>2.6.2</v>
      </c>
      <c r="C63" s="111" t="str">
        <f>'CUMPLIMIENTO '!C63</f>
        <v xml:space="preserve">Minería productiva y competitiva. </v>
      </c>
      <c r="D63" s="199">
        <f>'CUMPLIMIENTO '!D63</f>
        <v>4</v>
      </c>
      <c r="E63" s="199">
        <f>'CUMPLIMIENTO '!E63</f>
        <v>3</v>
      </c>
      <c r="F63" s="61">
        <f>'CUMPLIMIENTO '!G63</f>
        <v>0.17857142857142858</v>
      </c>
      <c r="G63" s="61">
        <f>'CUMPLIMIENTO '!H63</f>
        <v>0.2</v>
      </c>
    </row>
    <row r="64" spans="1:7" ht="15.75" hidden="1" x14ac:dyDescent="0.25">
      <c r="A64" s="198" t="str">
        <f>'CUMPLIMIENTO '!A64</f>
        <v>PROGRAMA</v>
      </c>
      <c r="B64" s="106" t="str">
        <f>'CUMPLIMIENTO '!B64</f>
        <v>2.6.3</v>
      </c>
      <c r="C64" s="111" t="str">
        <f>'CUMPLIMIENTO '!C64</f>
        <v>Ambiente y Minería de la mano, bajo el marco de la legalidad.</v>
      </c>
      <c r="D64" s="199">
        <f>'CUMPLIMIENTO '!D64</f>
        <v>5</v>
      </c>
      <c r="E64" s="199">
        <f>'CUMPLIMIENTO '!E64</f>
        <v>1</v>
      </c>
      <c r="F64" s="61">
        <f>'CUMPLIMIENTO '!G64</f>
        <v>0.155</v>
      </c>
      <c r="G64" s="61">
        <f>'CUMPLIMIENTO '!H64</f>
        <v>0.2298008095849346</v>
      </c>
    </row>
    <row r="65" spans="1:7" ht="15.75" hidden="1" x14ac:dyDescent="0.25">
      <c r="A65" s="198" t="str">
        <f>'CUMPLIMIENTO '!A65</f>
        <v>PROGRAMA</v>
      </c>
      <c r="B65" s="106" t="str">
        <f>'CUMPLIMIENTO '!B65</f>
        <v>2.6.4</v>
      </c>
      <c r="C65" s="111" t="str">
        <f>'CUMPLIMIENTO '!C65</f>
        <v xml:space="preserve">Minería y el desarrollo social participativo </v>
      </c>
      <c r="D65" s="199">
        <f>'CUMPLIMIENTO '!D65</f>
        <v>3</v>
      </c>
      <c r="E65" s="199">
        <f>'CUMPLIMIENTO '!E65</f>
        <v>1</v>
      </c>
      <c r="F65" s="61">
        <f>'CUMPLIMIENTO '!G65</f>
        <v>8.111111111111112E-2</v>
      </c>
      <c r="G65" s="61">
        <f>'CUMPLIMIENTO '!H65</f>
        <v>6.0606060606060608E-2</v>
      </c>
    </row>
    <row r="66" spans="1:7" ht="15.75" hidden="1" x14ac:dyDescent="0.25">
      <c r="A66" s="198" t="str">
        <f>'CUMPLIMIENTO '!A66</f>
        <v>PROGRAMA</v>
      </c>
      <c r="B66" s="106" t="str">
        <f>'CUMPLIMIENTO '!B66</f>
        <v>2.6.5</v>
      </c>
      <c r="C66" s="111" t="str">
        <f>'CUMPLIMIENTO '!C66</f>
        <v xml:space="preserve">Bolívar primero en gas y energía para todos </v>
      </c>
      <c r="D66" s="199">
        <f>'CUMPLIMIENTO '!D66</f>
        <v>3</v>
      </c>
      <c r="E66" s="199">
        <f>'CUMPLIMIENTO '!E66</f>
        <v>1</v>
      </c>
      <c r="F66" s="61">
        <f>'CUMPLIMIENTO '!G66</f>
        <v>0.2722222222222222</v>
      </c>
      <c r="G66" s="61">
        <f>'CUMPLIMIENTO '!H66</f>
        <v>0.52500000000000002</v>
      </c>
    </row>
    <row r="67" spans="1:7" ht="15.75" hidden="1" x14ac:dyDescent="0.25">
      <c r="A67" s="202" t="str">
        <f>'CUMPLIMIENTO '!A67</f>
        <v>LINEA</v>
      </c>
      <c r="B67" s="203" t="str">
        <f>'CUMPLIMIENTO '!B67</f>
        <v>2.7</v>
      </c>
      <c r="C67" s="202" t="str">
        <f>'CUMPLIMIENTO '!C67</f>
        <v>BOLIVAR PRIMERO EN TURISMO</v>
      </c>
      <c r="D67" s="216">
        <f>'CUMPLIMIENTO '!D67</f>
        <v>15</v>
      </c>
      <c r="E67" s="216">
        <f>'CUMPLIMIENTO '!E67</f>
        <v>11</v>
      </c>
      <c r="F67" s="217">
        <f>'CUMPLIMIENTO '!G67</f>
        <v>0.40225641025641029</v>
      </c>
      <c r="G67" s="218">
        <f>'CUMPLIMIENTO '!H67</f>
        <v>0.47361111111111104</v>
      </c>
    </row>
    <row r="68" spans="1:7" ht="15.75" hidden="1" x14ac:dyDescent="0.25">
      <c r="A68" s="198" t="str">
        <f>'CUMPLIMIENTO '!A68</f>
        <v>PROGRAMA</v>
      </c>
      <c r="B68" s="106" t="str">
        <f>'CUMPLIMIENTO '!B68</f>
        <v xml:space="preserve">2.7.1 </v>
      </c>
      <c r="C68" s="111" t="str">
        <f>'CUMPLIMIENTO '!C68</f>
        <v>Bolívar primero en turismo, destinos mágicos</v>
      </c>
      <c r="D68" s="199">
        <f>'CUMPLIMIENTO '!D68</f>
        <v>15</v>
      </c>
      <c r="E68" s="199">
        <f>'CUMPLIMIENTO '!E68</f>
        <v>11</v>
      </c>
      <c r="F68" s="61">
        <f>'CUMPLIMIENTO '!G68</f>
        <v>0.40225641025641029</v>
      </c>
      <c r="G68" s="61">
        <f>'CUMPLIMIENTO '!H68</f>
        <v>0.47361111111111104</v>
      </c>
    </row>
    <row r="69" spans="1:7" ht="15.75" hidden="1" x14ac:dyDescent="0.25">
      <c r="A69" s="202" t="str">
        <f>'CUMPLIMIENTO '!A69</f>
        <v>LINEA</v>
      </c>
      <c r="B69" s="203" t="str">
        <f>'CUMPLIMIENTO '!B69</f>
        <v>2.8</v>
      </c>
      <c r="C69" s="202" t="str">
        <f>'CUMPLIMIENTO '!C69</f>
        <v>TRABAJO DECENTE Y SOSTENIBILIDAD DEL EMPLEO EN ESCENARIOS DE AMENAZAS</v>
      </c>
      <c r="D69" s="216">
        <f>'CUMPLIMIENTO '!D69</f>
        <v>4</v>
      </c>
      <c r="E69" s="216" t="str">
        <f>'CUMPLIMIENTO '!E69</f>
        <v>NP</v>
      </c>
      <c r="F69" s="217">
        <f>'CUMPLIMIENTO '!G69</f>
        <v>8.3333333333333343E-2</v>
      </c>
      <c r="G69" s="218">
        <f>'CUMPLIMIENTO '!H69</f>
        <v>0.19642857142857142</v>
      </c>
    </row>
    <row r="70" spans="1:7" ht="15.75" hidden="1" x14ac:dyDescent="0.25">
      <c r="A70" s="198" t="str">
        <f>'CUMPLIMIENTO '!A70</f>
        <v>PROGRAMA</v>
      </c>
      <c r="B70" s="106" t="str">
        <f>'CUMPLIMIENTO '!B70</f>
        <v xml:space="preserve">2.8.1 </v>
      </c>
      <c r="C70" s="111" t="str">
        <f>'CUMPLIMIENTO '!C70</f>
        <v>Empleo y trabajo decente</v>
      </c>
      <c r="D70" s="199">
        <f>'CUMPLIMIENTO '!D70</f>
        <v>3</v>
      </c>
      <c r="E70" s="199" t="str">
        <f>'CUMPLIMIENTO '!E70</f>
        <v>NP</v>
      </c>
      <c r="F70" s="61">
        <f>'CUMPLIMIENTO '!G70</f>
        <v>6.6666666666666666E-2</v>
      </c>
      <c r="G70" s="61">
        <f>'CUMPLIMIENTO '!H70</f>
        <v>0.14285714285714285</v>
      </c>
    </row>
    <row r="71" spans="1:7" ht="15.75" hidden="1" x14ac:dyDescent="0.25">
      <c r="A71" s="198" t="str">
        <f>'CUMPLIMIENTO '!A71</f>
        <v>PROGRAMA</v>
      </c>
      <c r="B71" s="106" t="str">
        <f>'CUMPLIMIENTO '!B71</f>
        <v>2.8.2</v>
      </c>
      <c r="C71" s="111" t="str">
        <f>'CUMPLIMIENTO '!C71</f>
        <v>Bolívar Primero en beneficios BEPS y desempleo</v>
      </c>
      <c r="D71" s="199">
        <f>'CUMPLIMIENTO '!D71</f>
        <v>1</v>
      </c>
      <c r="E71" s="199" t="str">
        <f>'CUMPLIMIENTO '!E71</f>
        <v>NP</v>
      </c>
      <c r="F71" s="61">
        <f>'CUMPLIMIENTO '!G71</f>
        <v>0.1</v>
      </c>
      <c r="G71" s="61">
        <f>'CUMPLIMIENTO '!H71</f>
        <v>0.25</v>
      </c>
    </row>
    <row r="72" spans="1:7" ht="15.75" hidden="1" x14ac:dyDescent="0.25">
      <c r="A72" s="202" t="str">
        <f>'CUMPLIMIENTO '!A72</f>
        <v>LINEA</v>
      </c>
      <c r="B72" s="203" t="str">
        <f>'CUMPLIMIENTO '!B72</f>
        <v>2.9</v>
      </c>
      <c r="C72" s="202" t="str">
        <f>'CUMPLIMIENTO '!C72</f>
        <v>BOLIVAR PRIMERO EN CIENCIA TECNOLOGÍA E INNOVACIÓN</v>
      </c>
      <c r="D72" s="216">
        <f>'CUMPLIMIENTO '!D72</f>
        <v>11</v>
      </c>
      <c r="E72" s="216">
        <f>'CUMPLIMIENTO '!E72</f>
        <v>11</v>
      </c>
      <c r="F72" s="217">
        <f>'CUMPLIMIENTO '!G72</f>
        <v>0.17891369047619049</v>
      </c>
      <c r="G72" s="218">
        <f>'CUMPLIMIENTO '!H72</f>
        <v>0.50321428571428573</v>
      </c>
    </row>
    <row r="73" spans="1:7" ht="15.75" hidden="1" x14ac:dyDescent="0.25">
      <c r="A73" s="198" t="str">
        <f>'CUMPLIMIENTO '!A73</f>
        <v>PROGRAMA</v>
      </c>
      <c r="B73" s="106" t="str">
        <f>'CUMPLIMIENTO '!B73</f>
        <v>2.9.1</v>
      </c>
      <c r="C73" s="111" t="str">
        <f>'CUMPLIMIENTO '!C73</f>
        <v>Fortalecimiento del sistema territorial del CTI.</v>
      </c>
      <c r="D73" s="199">
        <f>'CUMPLIMIENTO '!D73</f>
        <v>2</v>
      </c>
      <c r="E73" s="199">
        <f>'CUMPLIMIENTO '!E73</f>
        <v>2</v>
      </c>
      <c r="F73" s="61">
        <f>'CUMPLIMIENTO '!G73</f>
        <v>0.37500000000000006</v>
      </c>
      <c r="G73" s="61">
        <f>'CUMPLIMIENTO '!H73</f>
        <v>1</v>
      </c>
    </row>
    <row r="74" spans="1:7" ht="30" hidden="1" x14ac:dyDescent="0.25">
      <c r="A74" s="198" t="str">
        <f>'CUMPLIMIENTO '!A74</f>
        <v>PROGRAMA</v>
      </c>
      <c r="B74" s="106" t="str">
        <f>'CUMPLIMIENTO '!B74</f>
        <v>2.9.2</v>
      </c>
      <c r="C74" s="111" t="str">
        <f>'CUMPLIMIENTO '!C74</f>
        <v>Apropiación social del CTEI y vocaciones para la consolidación de una sociedad del conocimiento.</v>
      </c>
      <c r="D74" s="199">
        <f>'CUMPLIMIENTO '!D74</f>
        <v>6</v>
      </c>
      <c r="E74" s="199">
        <f>'CUMPLIMIENTO '!E74</f>
        <v>6</v>
      </c>
      <c r="F74" s="61">
        <f>'CUMPLIMIENTO '!G74</f>
        <v>0.13208333333333333</v>
      </c>
      <c r="G74" s="61">
        <f>'CUMPLIMIENTO '!H74</f>
        <v>0.41285714285714292</v>
      </c>
    </row>
    <row r="75" spans="1:7" ht="15.75" hidden="1" x14ac:dyDescent="0.25">
      <c r="A75" s="198" t="str">
        <f>'CUMPLIMIENTO '!A75</f>
        <v>PROGRAMA</v>
      </c>
      <c r="B75" s="106" t="str">
        <f>'CUMPLIMIENTO '!B75</f>
        <v>2.9.3</v>
      </c>
      <c r="C75" s="111" t="str">
        <f>'CUMPLIMIENTO '!C75</f>
        <v>Formación del capital humano de alto nivel del CTEI</v>
      </c>
      <c r="D75" s="199">
        <f>'CUMPLIMIENTO '!D75</f>
        <v>2</v>
      </c>
      <c r="E75" s="199">
        <f>'CUMPLIMIENTO '!E75</f>
        <v>2</v>
      </c>
      <c r="F75" s="61">
        <f>'CUMPLIMIENTO '!G75</f>
        <v>0.17857142857142858</v>
      </c>
      <c r="G75" s="61">
        <f>'CUMPLIMIENTO '!H75</f>
        <v>0.5</v>
      </c>
    </row>
    <row r="76" spans="1:7" ht="15.75" hidden="1" x14ac:dyDescent="0.25">
      <c r="A76" s="198" t="str">
        <f>'CUMPLIMIENTO '!A76</f>
        <v>PROGRAMA</v>
      </c>
      <c r="B76" s="106" t="str">
        <f>'CUMPLIMIENTO '!B76</f>
        <v>2.9.4</v>
      </c>
      <c r="C76" s="111" t="str">
        <f>'CUMPLIMIENTO '!C76</f>
        <v>Innovación para el desarrollo sostenible</v>
      </c>
      <c r="D76" s="199">
        <f>'CUMPLIMIENTO '!D76</f>
        <v>1</v>
      </c>
      <c r="E76" s="199">
        <f>'CUMPLIMIENTO '!E76</f>
        <v>1</v>
      </c>
      <c r="F76" s="61">
        <f>'CUMPLIMIENTO '!G76</f>
        <v>0.03</v>
      </c>
      <c r="G76" s="61">
        <f>'CUMPLIMIENTO '!H76</f>
        <v>0.1</v>
      </c>
    </row>
    <row r="77" spans="1:7" ht="15.75" hidden="1" x14ac:dyDescent="0.25">
      <c r="A77" s="202" t="str">
        <f>'CUMPLIMIENTO '!A77</f>
        <v>LINEA</v>
      </c>
      <c r="B77" s="203" t="str">
        <f>'CUMPLIMIENTO '!B77</f>
        <v>2.10</v>
      </c>
      <c r="C77" s="202" t="str">
        <f>'CUMPLIMIENTO '!C77</f>
        <v>FORMACIÓN PARA EL TRABAJO</v>
      </c>
      <c r="D77" s="216">
        <f>'CUMPLIMIENTO '!D77</f>
        <v>4</v>
      </c>
      <c r="E77" s="216" t="str">
        <f>'CUMPLIMIENTO '!E77</f>
        <v>NP</v>
      </c>
      <c r="F77" s="217">
        <f>'CUMPLIMIENTO '!G77</f>
        <v>0</v>
      </c>
      <c r="G77" s="218" t="str">
        <f>'CUMPLIMIENTO '!H77</f>
        <v>NP</v>
      </c>
    </row>
    <row r="78" spans="1:7" ht="30" hidden="1" x14ac:dyDescent="0.25">
      <c r="A78" s="198" t="str">
        <f>'CUMPLIMIENTO '!A78</f>
        <v>PROGRAMA</v>
      </c>
      <c r="B78" s="106" t="str">
        <f>'CUMPLIMIENTO '!B78</f>
        <v>2.10.1</v>
      </c>
      <c r="C78" s="111" t="str">
        <f>'CUMPLIMIENTO '!C78</f>
        <v>Bolívar primero facilita el acceso a la educación superior, la educación para el trabajo y el desarrollo humano</v>
      </c>
      <c r="D78" s="199">
        <f>'CUMPLIMIENTO '!D78</f>
        <v>4</v>
      </c>
      <c r="E78" s="199" t="str">
        <f>'CUMPLIMIENTO '!E78</f>
        <v>NP</v>
      </c>
      <c r="F78" s="61">
        <f>'CUMPLIMIENTO '!G78</f>
        <v>0</v>
      </c>
      <c r="G78" s="61" t="str">
        <f>'CUMPLIMIENTO '!H78</f>
        <v>NP</v>
      </c>
    </row>
    <row r="79" spans="1:7" ht="18.75" hidden="1" x14ac:dyDescent="0.25">
      <c r="A79" s="227" t="str">
        <f>'CUMPLIMIENTO '!A79</f>
        <v>EJE ESTRATEGICO</v>
      </c>
      <c r="B79" s="226">
        <f>'CUMPLIMIENTO '!B79</f>
        <v>3</v>
      </c>
      <c r="C79" s="227" t="str">
        <f>'CUMPLIMIENTO '!C79</f>
        <v xml:space="preserve">GESTIÓN AMBIENTAL Y ORDENAMIENTO TERRITORIAL
</v>
      </c>
      <c r="D79" s="187">
        <f>'CUMPLIMIENTO '!D79</f>
        <v>23</v>
      </c>
      <c r="E79" s="187">
        <f>'CUMPLIMIENTO '!E79</f>
        <v>14</v>
      </c>
      <c r="F79" s="188">
        <f>'CUMPLIMIENTO '!G79</f>
        <v>0.22340166188027338</v>
      </c>
      <c r="G79" s="188">
        <f>'CUMPLIMIENTO '!H79</f>
        <v>0.28496980676328504</v>
      </c>
    </row>
    <row r="80" spans="1:7" ht="15.75" hidden="1" x14ac:dyDescent="0.25">
      <c r="A80" s="202" t="str">
        <f>'CUMPLIMIENTO '!A80</f>
        <v>LINEA</v>
      </c>
      <c r="B80" s="203" t="str">
        <f>'CUMPLIMIENTO '!B80</f>
        <v>3.1</v>
      </c>
      <c r="C80" s="202" t="str">
        <f>'CUMPLIMIENTO '!C80</f>
        <v>BOLIVAR PRIMERO GESTIÓN AMBIENTAL Y DESARROLLO TERRITORIAL</v>
      </c>
      <c r="D80" s="216">
        <f>'CUMPLIMIENTO '!D80</f>
        <v>5</v>
      </c>
      <c r="E80" s="216">
        <f>'CUMPLIMIENTO '!E80</f>
        <v>2</v>
      </c>
      <c r="F80" s="217">
        <f>'CUMPLIMIENTO '!G80</f>
        <v>0.2</v>
      </c>
      <c r="G80" s="218">
        <f>'CUMPLIMIENTO '!H80</f>
        <v>0.5</v>
      </c>
    </row>
    <row r="81" spans="1:7" ht="15.75" hidden="1" x14ac:dyDescent="0.25">
      <c r="A81" s="198" t="str">
        <f>'CUMPLIMIENTO '!A81</f>
        <v>PROGRAMA</v>
      </c>
      <c r="B81" s="106" t="str">
        <f>'CUMPLIMIENTO '!B81</f>
        <v xml:space="preserve">3.1.1 </v>
      </c>
      <c r="C81" s="111" t="str">
        <f>'CUMPLIMIENTO '!C81</f>
        <v>Ordenamiento territorial y para un bolívar primero en institucionalidad</v>
      </c>
      <c r="D81" s="199">
        <f>'CUMPLIMIENTO '!D81</f>
        <v>5</v>
      </c>
      <c r="E81" s="199">
        <f>'CUMPLIMIENTO '!E81</f>
        <v>2</v>
      </c>
      <c r="F81" s="61">
        <f>'CUMPLIMIENTO '!G81</f>
        <v>0.2</v>
      </c>
      <c r="G81" s="61">
        <f>'CUMPLIMIENTO '!H81</f>
        <v>0.5</v>
      </c>
    </row>
    <row r="82" spans="1:7" ht="15.75" hidden="1" x14ac:dyDescent="0.25">
      <c r="A82" s="202" t="str">
        <f>'CUMPLIMIENTO '!A82</f>
        <v>LINEA</v>
      </c>
      <c r="B82" s="203" t="str">
        <f>'CUMPLIMIENTO '!B82</f>
        <v>3.2</v>
      </c>
      <c r="C82" s="202" t="str">
        <f>'CUMPLIMIENTO '!C82</f>
        <v>BOLÍVAR PRIMERO EN CONSERVACIÓN AMBIENTAL</v>
      </c>
      <c r="D82" s="216">
        <f>'CUMPLIMIENTO '!D82</f>
        <v>5</v>
      </c>
      <c r="E82" s="216">
        <f>'CUMPLIMIENTO '!E82</f>
        <v>4</v>
      </c>
      <c r="F82" s="217">
        <f>'CUMPLIMIENTO '!G82</f>
        <v>0.23333333333333334</v>
      </c>
      <c r="G82" s="218">
        <f>'CUMPLIMIENTO '!H82</f>
        <v>0.25</v>
      </c>
    </row>
    <row r="83" spans="1:7" ht="15.75" hidden="1" x14ac:dyDescent="0.25">
      <c r="A83" s="198" t="str">
        <f>'CUMPLIMIENTO '!A83</f>
        <v>PROGRAMA</v>
      </c>
      <c r="B83" s="106" t="str">
        <f>'CUMPLIMIENTO '!B83</f>
        <v>3.2.1</v>
      </c>
      <c r="C83" s="111" t="str">
        <f>'CUMPLIMIENTO '!C83</f>
        <v>Ambiente por un Bolívar primero en conservación</v>
      </c>
      <c r="D83" s="199">
        <f>'CUMPLIMIENTO '!D83</f>
        <v>5</v>
      </c>
      <c r="E83" s="199">
        <f>'CUMPLIMIENTO '!E83</f>
        <v>4</v>
      </c>
      <c r="F83" s="61">
        <f>'CUMPLIMIENTO '!G83</f>
        <v>0.23333333333333334</v>
      </c>
      <c r="G83" s="61">
        <f>'CUMPLIMIENTO '!H83</f>
        <v>0.25</v>
      </c>
    </row>
    <row r="84" spans="1:7" ht="15.75" hidden="1" x14ac:dyDescent="0.25">
      <c r="A84" s="202" t="str">
        <f>'CUMPLIMIENTO '!A84</f>
        <v>LINEA</v>
      </c>
      <c r="B84" s="203" t="str">
        <f>'CUMPLIMIENTO '!B84</f>
        <v>3.3</v>
      </c>
      <c r="C84" s="202" t="str">
        <f>'CUMPLIMIENTO '!C84</f>
        <v>BOLIVAR PRIMERO EN ADAPTACIÓN Y MITIGACIÓN DEL CAMBIO CLIMÁTICO</v>
      </c>
      <c r="D84" s="216">
        <f>'CUMPLIMIENTO '!D84</f>
        <v>2</v>
      </c>
      <c r="E84" s="216">
        <f>'CUMPLIMIENTO '!E84</f>
        <v>1</v>
      </c>
      <c r="F84" s="217">
        <f>'CUMPLIMIENTO '!G84</f>
        <v>2.5000000000000001E-2</v>
      </c>
      <c r="G84" s="218">
        <f>'CUMPLIMIENTO '!H84</f>
        <v>0.05</v>
      </c>
    </row>
    <row r="85" spans="1:7" ht="15.75" hidden="1" x14ac:dyDescent="0.25">
      <c r="A85" s="198" t="str">
        <f>'CUMPLIMIENTO '!A85</f>
        <v>PROGRAMA</v>
      </c>
      <c r="B85" s="106" t="str">
        <f>'CUMPLIMIENTO '!B85</f>
        <v>3.3.1</v>
      </c>
      <c r="C85" s="111" t="str">
        <f>'CUMPLIMIENTO '!C85</f>
        <v>Cambio Climatico</v>
      </c>
      <c r="D85" s="199">
        <f>'CUMPLIMIENTO '!D85</f>
        <v>2</v>
      </c>
      <c r="E85" s="199" t="str">
        <f>'CUMPLIMIENTO '!E85</f>
        <v>NP</v>
      </c>
      <c r="F85" s="61">
        <f>'CUMPLIMIENTO '!G85</f>
        <v>2.5000000000000001E-2</v>
      </c>
      <c r="G85" s="61">
        <f>'CUMPLIMIENTO '!H85</f>
        <v>0.05</v>
      </c>
    </row>
    <row r="86" spans="1:7" ht="15.75" hidden="1" x14ac:dyDescent="0.25">
      <c r="A86" s="202" t="str">
        <f>'CUMPLIMIENTO '!A86</f>
        <v>LINEA</v>
      </c>
      <c r="B86" s="203" t="str">
        <f>'CUMPLIMIENTO '!B86</f>
        <v>3.4</v>
      </c>
      <c r="C86" s="202" t="str">
        <f>'CUMPLIMIENTO '!C86</f>
        <v>GESTIÓN DEL RIESGO</v>
      </c>
      <c r="D86" s="216">
        <f>'CUMPLIMIENTO '!D86</f>
        <v>11</v>
      </c>
      <c r="E86" s="216">
        <f>'CUMPLIMIENTO '!E86</f>
        <v>7</v>
      </c>
      <c r="F86" s="217">
        <f>'CUMPLIMIENTO '!G86</f>
        <v>0.43527331418776022</v>
      </c>
      <c r="G86" s="218">
        <f>'CUMPLIMIENTO '!H86</f>
        <v>0.33987922705314011</v>
      </c>
    </row>
    <row r="87" spans="1:7" ht="15.75" hidden="1" x14ac:dyDescent="0.25">
      <c r="A87" s="198" t="str">
        <f>'CUMPLIMIENTO '!A87</f>
        <v>PROGRAMA</v>
      </c>
      <c r="B87" s="106" t="str">
        <f>'CUMPLIMIENTO '!B87</f>
        <v xml:space="preserve">3.4.1 </v>
      </c>
      <c r="C87" s="111" t="str">
        <f>'CUMPLIMIENTO '!C87</f>
        <v>Conocimiento del Riesgo</v>
      </c>
      <c r="D87" s="199">
        <f>'CUMPLIMIENTO '!D87</f>
        <v>3</v>
      </c>
      <c r="E87" s="199">
        <f>'CUMPLIMIENTO '!E87</f>
        <v>1</v>
      </c>
      <c r="F87" s="61">
        <f>'CUMPLIMIENTO '!G87</f>
        <v>0.28354037267080745</v>
      </c>
      <c r="G87" s="61">
        <f>'CUMPLIMIENTO '!H87</f>
        <v>0.52463768115942022</v>
      </c>
    </row>
    <row r="88" spans="1:7" ht="15.75" hidden="1" x14ac:dyDescent="0.25">
      <c r="A88" s="198" t="str">
        <f>'CUMPLIMIENTO '!A88</f>
        <v>PROGRAMA</v>
      </c>
      <c r="B88" s="106" t="str">
        <f>'CUMPLIMIENTO '!B88</f>
        <v xml:space="preserve">3.4.2 </v>
      </c>
      <c r="C88" s="111" t="str">
        <f>'CUMPLIMIENTO '!C88</f>
        <v>Disminución y/o Elimicación del Riesgo</v>
      </c>
      <c r="D88" s="199">
        <f>'CUMPLIMIENTO '!D88</f>
        <v>3</v>
      </c>
      <c r="E88" s="199">
        <f>'CUMPLIMIENTO '!E88</f>
        <v>3</v>
      </c>
      <c r="F88" s="61">
        <f>'CUMPLIMIENTO '!G88</f>
        <v>0.55161290322580647</v>
      </c>
      <c r="G88" s="61">
        <f>'CUMPLIMIENTO '!H88</f>
        <v>7.4999999999999997E-2</v>
      </c>
    </row>
    <row r="89" spans="1:7" ht="15.75" hidden="1" x14ac:dyDescent="0.25">
      <c r="A89" s="198" t="str">
        <f>'CUMPLIMIENTO '!A89</f>
        <v>PROGRAMA</v>
      </c>
      <c r="B89" s="106" t="str">
        <f>'CUMPLIMIENTO '!B89</f>
        <v>3.4.3</v>
      </c>
      <c r="C89" s="111" t="str">
        <f>'CUMPLIMIENTO '!C89</f>
        <v>Atencion de Desastre</v>
      </c>
      <c r="D89" s="199">
        <f>'CUMPLIMIENTO '!D89</f>
        <v>5</v>
      </c>
      <c r="E89" s="199">
        <f>'CUMPLIMIENTO '!E89</f>
        <v>3</v>
      </c>
      <c r="F89" s="61">
        <f>'CUMPLIMIENTO '!G89</f>
        <v>0.47066666666666668</v>
      </c>
      <c r="G89" s="61">
        <f>'CUMPLIMIENTO '!H89</f>
        <v>0.42000000000000004</v>
      </c>
    </row>
    <row r="90" spans="1:7" ht="18.75" hidden="1" x14ac:dyDescent="0.25">
      <c r="A90" s="230" t="str">
        <f>'CUMPLIMIENTO '!A90</f>
        <v>EJE ESTRATEGICO</v>
      </c>
      <c r="B90" s="229">
        <f>'CUMPLIMIENTO '!B90</f>
        <v>4</v>
      </c>
      <c r="C90" s="230" t="str">
        <f>'CUMPLIMIENTO '!C90</f>
        <v>BOLÍVAR PRIMERO EN FORTALECIMIENTO INSTITUCIONAL Y SEGURIDAD EFECTIVA PARA TODOS</v>
      </c>
      <c r="D90" s="231">
        <f>'CUMPLIMIENTO '!D90</f>
        <v>68</v>
      </c>
      <c r="E90" s="231">
        <f>'CUMPLIMIENTO '!E90</f>
        <v>47</v>
      </c>
      <c r="F90" s="232">
        <f>'CUMPLIMIENTO '!G90</f>
        <v>0.21518996587883446</v>
      </c>
      <c r="G90" s="232">
        <f>'CUMPLIMIENTO '!H90</f>
        <v>0.20474983465608465</v>
      </c>
    </row>
    <row r="91" spans="1:7" ht="15.75" hidden="1" x14ac:dyDescent="0.25">
      <c r="A91" s="202" t="str">
        <f>'CUMPLIMIENTO '!A91</f>
        <v>LINEA</v>
      </c>
      <c r="B91" s="203" t="str">
        <f>'CUMPLIMIENTO '!B91</f>
        <v>4.1</v>
      </c>
      <c r="C91" s="202" t="str">
        <f>'CUMPLIMIENTO '!C91</f>
        <v>BOLÍVAR SEGURO</v>
      </c>
      <c r="D91" s="216">
        <f>'CUMPLIMIENTO '!D91</f>
        <v>4</v>
      </c>
      <c r="E91" s="216">
        <f>'CUMPLIMIENTO '!E91</f>
        <v>2</v>
      </c>
      <c r="F91" s="217">
        <f>'CUMPLIMIENTO '!G91</f>
        <v>5.9583333333333335E-2</v>
      </c>
      <c r="G91" s="218">
        <f>'CUMPLIMIENTO '!H91</f>
        <v>0.25</v>
      </c>
    </row>
    <row r="92" spans="1:7" ht="15.75" hidden="1" x14ac:dyDescent="0.25">
      <c r="A92" s="198" t="str">
        <f>'CUMPLIMIENTO '!A92</f>
        <v>PROGRAMA</v>
      </c>
      <c r="B92" s="106" t="str">
        <f>'CUMPLIMIENTO '!B92</f>
        <v>4.1.1</v>
      </c>
      <c r="C92" s="111" t="str">
        <f>'CUMPLIMIENTO '!C92</f>
        <v>Fortalecimiento integral de la seguridad y convivencia</v>
      </c>
      <c r="D92" s="199">
        <f>'CUMPLIMIENTO '!D92</f>
        <v>4</v>
      </c>
      <c r="E92" s="199">
        <f>'CUMPLIMIENTO '!E92</f>
        <v>2</v>
      </c>
      <c r="F92" s="61">
        <f>'CUMPLIMIENTO '!G92</f>
        <v>5.9583333333333335E-2</v>
      </c>
      <c r="G92" s="61">
        <f>'CUMPLIMIENTO '!H92</f>
        <v>0.25</v>
      </c>
    </row>
    <row r="93" spans="1:7" ht="15.75" hidden="1" x14ac:dyDescent="0.25">
      <c r="A93" s="202" t="str">
        <f>'CUMPLIMIENTO '!A93</f>
        <v>LINEA</v>
      </c>
      <c r="B93" s="203" t="str">
        <f>'CUMPLIMIENTO '!B93</f>
        <v>4.2</v>
      </c>
      <c r="C93" s="202" t="str">
        <f>'CUMPLIMIENTO '!C93</f>
        <v>BOLÍVAR PRIMERO EN DERECHOS HUMANOS</v>
      </c>
      <c r="D93" s="216">
        <f>'CUMPLIMIENTO '!D93</f>
        <v>7</v>
      </c>
      <c r="E93" s="216">
        <f>'CUMPLIMIENTO '!E93</f>
        <v>7</v>
      </c>
      <c r="F93" s="217">
        <f>'CUMPLIMIENTO '!G93</f>
        <v>0.3392857142857143</v>
      </c>
      <c r="G93" s="218">
        <f>'CUMPLIMIENTO '!H93</f>
        <v>0.51904761904761909</v>
      </c>
    </row>
    <row r="94" spans="1:7" ht="15.75" hidden="1" x14ac:dyDescent="0.25">
      <c r="A94" s="198" t="str">
        <f>'CUMPLIMIENTO '!A94</f>
        <v>PROGRAMA</v>
      </c>
      <c r="B94" s="106" t="str">
        <f>'CUMPLIMIENTO '!B94</f>
        <v>4.2.1</v>
      </c>
      <c r="C94" s="111" t="str">
        <f>'CUMPLIMIENTO '!C94</f>
        <v>Garantía integral de los derechos humanos.</v>
      </c>
      <c r="D94" s="199">
        <f>'CUMPLIMIENTO '!D94</f>
        <v>7</v>
      </c>
      <c r="E94" s="199">
        <f>'CUMPLIMIENTO '!E94</f>
        <v>7</v>
      </c>
      <c r="F94" s="61">
        <f>'CUMPLIMIENTO '!G94</f>
        <v>0.3392857142857143</v>
      </c>
      <c r="G94" s="61">
        <f>'CUMPLIMIENTO '!H94</f>
        <v>0.51904761904761909</v>
      </c>
    </row>
    <row r="95" spans="1:7" ht="15.75" hidden="1" x14ac:dyDescent="0.25">
      <c r="A95" s="202" t="str">
        <f>'CUMPLIMIENTO '!A95</f>
        <v>LINEA</v>
      </c>
      <c r="B95" s="203" t="str">
        <f>'CUMPLIMIENTO '!B95</f>
        <v>4.3</v>
      </c>
      <c r="C95" s="202" t="str">
        <f>'CUMPLIMIENTO '!C95</f>
        <v>BOLÍVAR CON SISTEMA INTEGRAL DE PLANIFICACION DEPARTAMENTAL</v>
      </c>
      <c r="D95" s="216">
        <f>'CUMPLIMIENTO '!D95</f>
        <v>13</v>
      </c>
      <c r="E95" s="216">
        <f>'CUMPLIMIENTO '!E95</f>
        <v>10</v>
      </c>
      <c r="F95" s="217">
        <f>'CUMPLIMIENTO '!G95</f>
        <v>0.3098710317460317</v>
      </c>
      <c r="G95" s="218">
        <f>'CUMPLIMIENTO '!H95</f>
        <v>0.30888888888888888</v>
      </c>
    </row>
    <row r="96" spans="1:7" ht="15.75" hidden="1" x14ac:dyDescent="0.25">
      <c r="A96" s="198" t="str">
        <f>'CUMPLIMIENTO '!A96</f>
        <v>PROGRAMA</v>
      </c>
      <c r="B96" s="106" t="str">
        <f>'CUMPLIMIENTO '!B96</f>
        <v>4.3.1</v>
      </c>
      <c r="C96" s="111" t="str">
        <f>'CUMPLIMIENTO '!C96</f>
        <v>Fortalecimiento al sistema de Planeación departamental.</v>
      </c>
      <c r="D96" s="199">
        <f>'CUMPLIMIENTO '!D96</f>
        <v>8</v>
      </c>
      <c r="E96" s="199">
        <f>'CUMPLIMIENTO '!E96</f>
        <v>7</v>
      </c>
      <c r="F96" s="61">
        <f>'CUMPLIMIENTO '!G96</f>
        <v>0.39196428571428565</v>
      </c>
      <c r="G96" s="61">
        <f>'CUMPLIMIENTO '!H96</f>
        <v>0.33333333333333331</v>
      </c>
    </row>
    <row r="97" spans="1:7" ht="15.75" hidden="1" x14ac:dyDescent="0.25">
      <c r="A97" s="198" t="str">
        <f>'CUMPLIMIENTO '!A97</f>
        <v>PROGRAMA</v>
      </c>
      <c r="B97" s="106" t="str">
        <f>'CUMPLIMIENTO '!B97</f>
        <v>4.3.2</v>
      </c>
      <c r="C97" s="111" t="str">
        <f>'CUMPLIMIENTO '!C97</f>
        <v>Programa Descentralización y planeación territorial</v>
      </c>
      <c r="D97" s="199">
        <f>'CUMPLIMIENTO '!D97</f>
        <v>5</v>
      </c>
      <c r="E97" s="199">
        <f>'CUMPLIMIENTO '!E97</f>
        <v>3</v>
      </c>
      <c r="F97" s="61">
        <f>'CUMPLIMIENTO '!G97</f>
        <v>0.22777777777777777</v>
      </c>
      <c r="G97" s="61">
        <f>'CUMPLIMIENTO '!H97</f>
        <v>0.28444444444444444</v>
      </c>
    </row>
    <row r="98" spans="1:7" ht="15.75" hidden="1" x14ac:dyDescent="0.25">
      <c r="A98" s="202" t="str">
        <f>'CUMPLIMIENTO '!A98</f>
        <v>LINEA</v>
      </c>
      <c r="B98" s="203" t="str">
        <f>'CUMPLIMIENTO '!B98</f>
        <v>4.4</v>
      </c>
      <c r="C98" s="202" t="str">
        <f>'CUMPLIMIENTO '!C98</f>
        <v xml:space="preserve">BOLÍVAR CON INSTITUCIONALIDAD AL SERVICIO DE LA CIUDADANÍA. </v>
      </c>
      <c r="D98" s="216">
        <f>'CUMPLIMIENTO '!D98</f>
        <v>26</v>
      </c>
      <c r="E98" s="216">
        <f>'CUMPLIMIENTO '!E98</f>
        <v>21</v>
      </c>
      <c r="F98" s="217">
        <f>'CUMPLIMIENTO '!G98</f>
        <v>0.34112987463808625</v>
      </c>
      <c r="G98" s="218">
        <f>'CUMPLIMIENTO '!H98</f>
        <v>0.12556249999999999</v>
      </c>
    </row>
    <row r="99" spans="1:7" ht="15.75" hidden="1" x14ac:dyDescent="0.25">
      <c r="A99" s="198" t="str">
        <f>'CUMPLIMIENTO '!A99</f>
        <v>PROGRAMA</v>
      </c>
      <c r="B99" s="106" t="str">
        <f>'CUMPLIMIENTO '!B99</f>
        <v>4.4.1</v>
      </c>
      <c r="C99" s="111" t="str">
        <f>'CUMPLIMIENTO '!C99</f>
        <v>Atención y servicios al ciudadano de calidad al alcance de todos.</v>
      </c>
      <c r="D99" s="199">
        <f>'CUMPLIMIENTO '!D99</f>
        <v>5</v>
      </c>
      <c r="E99" s="199">
        <f>'CUMPLIMIENTO '!E99</f>
        <v>2</v>
      </c>
      <c r="F99" s="61">
        <f>'CUMPLIMIENTO '!G99</f>
        <v>0.167625</v>
      </c>
      <c r="G99" s="61">
        <f>'CUMPLIMIENTO '!H99</f>
        <v>1.5000000000000001E-2</v>
      </c>
    </row>
    <row r="100" spans="1:7" ht="15.75" hidden="1" x14ac:dyDescent="0.25">
      <c r="A100" s="198" t="str">
        <f>'CUMPLIMIENTO '!A100</f>
        <v>PROGRAMA</v>
      </c>
      <c r="B100" s="106" t="str">
        <f>'CUMPLIMIENTO '!B100</f>
        <v>4.4.2</v>
      </c>
      <c r="C100" s="111" t="str">
        <f>'CUMPLIMIENTO '!C100</f>
        <v>Gestión Documental</v>
      </c>
      <c r="D100" s="199">
        <f>'CUMPLIMIENTO '!D100</f>
        <v>4</v>
      </c>
      <c r="E100" s="199">
        <f>'CUMPLIMIENTO '!E100</f>
        <v>2</v>
      </c>
      <c r="F100" s="61">
        <f>'CUMPLIMIENTO '!G100</f>
        <v>0.21513888888888891</v>
      </c>
      <c r="G100" s="61">
        <f>'CUMPLIMIENTO '!H100</f>
        <v>0.16999999999999998</v>
      </c>
    </row>
    <row r="101" spans="1:7" ht="15.75" hidden="1" x14ac:dyDescent="0.25">
      <c r="A101" s="198" t="str">
        <f>'CUMPLIMIENTO '!A101</f>
        <v>PROGRAMA</v>
      </c>
      <c r="B101" s="106" t="str">
        <f>'CUMPLIMIENTO '!B101</f>
        <v>4.4.3</v>
      </c>
      <c r="C101" s="111" t="str">
        <f>'CUMPLIMIENTO '!C101</f>
        <v>Gobierno Digital</v>
      </c>
      <c r="D101" s="199">
        <f>'CUMPLIMIENTO '!D101</f>
        <v>8</v>
      </c>
      <c r="E101" s="199">
        <f>'CUMPLIMIENTO '!E101</f>
        <v>8</v>
      </c>
      <c r="F101" s="61">
        <f>'CUMPLIMIENTO '!G101</f>
        <v>0.72017489035087723</v>
      </c>
      <c r="G101" s="61">
        <f>'CUMPLIMIENTO '!H101</f>
        <v>0.13200000000000001</v>
      </c>
    </row>
    <row r="102" spans="1:7" ht="15.75" hidden="1" x14ac:dyDescent="0.25">
      <c r="A102" s="198" t="str">
        <f>'CUMPLIMIENTO '!A102</f>
        <v>PROGRAMA</v>
      </c>
      <c r="B102" s="106" t="str">
        <f>'CUMPLIMIENTO '!B102</f>
        <v>4.4.4</v>
      </c>
      <c r="C102" s="111" t="str">
        <f>'CUMPLIMIENTO '!C102</f>
        <v>Infraestructura física para todos</v>
      </c>
      <c r="D102" s="199">
        <f>'CUMPLIMIENTO '!D102</f>
        <v>3</v>
      </c>
      <c r="E102" s="199">
        <f>'CUMPLIMIENTO '!E102</f>
        <v>3</v>
      </c>
      <c r="F102" s="61">
        <f>'CUMPLIMIENTO '!G102</f>
        <v>0.77276688453159048</v>
      </c>
      <c r="G102" s="61">
        <f>'CUMPLIMIENTO '!H102</f>
        <v>8.3333333333333329E-2</v>
      </c>
    </row>
    <row r="103" spans="1:7" ht="15.75" hidden="1" x14ac:dyDescent="0.25">
      <c r="A103" s="198" t="str">
        <f>'CUMPLIMIENTO '!A103</f>
        <v>PROGRAMA</v>
      </c>
      <c r="B103" s="106" t="str">
        <f>'CUMPLIMIENTO '!B103</f>
        <v>4.4.5</v>
      </c>
      <c r="C103" s="111" t="str">
        <f>'CUMPLIMIENTO '!C103</f>
        <v>Asistencia Municipal</v>
      </c>
      <c r="D103" s="199">
        <f>'CUMPLIMIENTO '!D103</f>
        <v>1</v>
      </c>
      <c r="E103" s="199">
        <f>'CUMPLIMIENTO '!E103</f>
        <v>1</v>
      </c>
      <c r="F103" s="61">
        <f>'CUMPLIMIENTO '!G103</f>
        <v>0.2</v>
      </c>
      <c r="G103" s="61">
        <f>'CUMPLIMIENTO '!H103</f>
        <v>0.25</v>
      </c>
    </row>
    <row r="104" spans="1:7" ht="15.75" hidden="1" x14ac:dyDescent="0.25">
      <c r="A104" s="198" t="str">
        <f>'CUMPLIMIENTO '!A104</f>
        <v>PROGRAMA</v>
      </c>
      <c r="B104" s="106" t="str">
        <f>'CUMPLIMIENTO '!B104</f>
        <v>4.4.6</v>
      </c>
      <c r="C104" s="111" t="str">
        <f>'CUMPLIMIENTO '!C104</f>
        <v>Programa: Cuerpos Bomberos</v>
      </c>
      <c r="D104" s="199">
        <f>'CUMPLIMIENTO '!D104</f>
        <v>1</v>
      </c>
      <c r="E104" s="199">
        <f>'CUMPLIMIENTO '!E104</f>
        <v>1</v>
      </c>
      <c r="F104" s="61">
        <f>'CUMPLIMIENTO '!G104</f>
        <v>0.12</v>
      </c>
      <c r="G104" s="61">
        <f>'CUMPLIMIENTO '!H104</f>
        <v>0.25</v>
      </c>
    </row>
    <row r="105" spans="1:7" ht="15.75" hidden="1" x14ac:dyDescent="0.25">
      <c r="A105" s="198" t="str">
        <f>'CUMPLIMIENTO '!A105</f>
        <v>PROGRAMA</v>
      </c>
      <c r="B105" s="106" t="str">
        <f>'CUMPLIMIENTO '!B105</f>
        <v>4.4.7</v>
      </c>
      <c r="C105" s="111" t="str">
        <f>'CUMPLIMIENTO '!C105</f>
        <v>Mejores funcionarios, mejor gobierno</v>
      </c>
      <c r="D105" s="199">
        <f>'CUMPLIMIENTO '!D105</f>
        <v>1</v>
      </c>
      <c r="E105" s="199">
        <f>'CUMPLIMIENTO '!E105</f>
        <v>1</v>
      </c>
      <c r="F105" s="61">
        <f>'CUMPLIMIENTO '!G105</f>
        <v>0.5</v>
      </c>
      <c r="G105" s="61">
        <f>'CUMPLIMIENTO '!H105</f>
        <v>0</v>
      </c>
    </row>
    <row r="106" spans="1:7" ht="15.75" hidden="1" x14ac:dyDescent="0.25">
      <c r="A106" s="198" t="str">
        <f>'CUMPLIMIENTO '!A106</f>
        <v>PROGRAMA</v>
      </c>
      <c r="B106" s="106" t="str">
        <f>'CUMPLIMIENTO '!B106</f>
        <v>4.4.8</v>
      </c>
      <c r="C106" s="111" t="str">
        <f>'CUMPLIMIENTO '!C106</f>
        <v>Bolívar primero en el territorio: diálogo y acción</v>
      </c>
      <c r="D106" s="199">
        <f>'CUMPLIMIENTO '!D106</f>
        <v>3</v>
      </c>
      <c r="E106" s="199">
        <f>'CUMPLIMIENTO '!E106</f>
        <v>3</v>
      </c>
      <c r="F106" s="61">
        <f>'CUMPLIMIENTO '!G106</f>
        <v>3.3333333333333333E-2</v>
      </c>
      <c r="G106" s="61">
        <f>'CUMPLIMIENTO '!H106</f>
        <v>0.10416666666666667</v>
      </c>
    </row>
    <row r="107" spans="1:7" ht="15.75" hidden="1" x14ac:dyDescent="0.25">
      <c r="A107" s="202" t="str">
        <f>'CUMPLIMIENTO '!A107</f>
        <v>LINEA</v>
      </c>
      <c r="B107" s="203" t="str">
        <f>'CUMPLIMIENTO '!B107</f>
        <v>4.5</v>
      </c>
      <c r="C107" s="202" t="str">
        <f>'CUMPLIMIENTO '!C107</f>
        <v xml:space="preserve">BOLÍVAR CONTROLA LAS FINANZAS PÚBLICAS. </v>
      </c>
      <c r="D107" s="216">
        <f>'CUMPLIMIENTO '!D107</f>
        <v>7</v>
      </c>
      <c r="E107" s="216">
        <f>'CUMPLIMIENTO '!E107</f>
        <v>2</v>
      </c>
      <c r="F107" s="217">
        <f>'CUMPLIMIENTO '!G107</f>
        <v>3.5714285714285712E-2</v>
      </c>
      <c r="G107" s="218">
        <f>'CUMPLIMIENTO '!H107</f>
        <v>0</v>
      </c>
    </row>
    <row r="108" spans="1:7" ht="24.6" hidden="1" customHeight="1" x14ac:dyDescent="0.25">
      <c r="A108" s="198" t="str">
        <f>'CUMPLIMIENTO '!A108</f>
        <v>PROGRAMA</v>
      </c>
      <c r="B108" s="106" t="str">
        <f>'CUMPLIMIENTO '!B108</f>
        <v>4.5.1</v>
      </c>
      <c r="C108" s="111" t="str">
        <f>'CUMPLIMIENTO '!C108</f>
        <v xml:space="preserve">Fortalecimiento financiero administrativo y fiscal de la secretaria de hacienda </v>
      </c>
      <c r="D108" s="199">
        <f>'CUMPLIMIENTO '!D108</f>
        <v>7</v>
      </c>
      <c r="E108" s="199">
        <f>'CUMPLIMIENTO '!E108</f>
        <v>2</v>
      </c>
      <c r="F108" s="61">
        <f>'CUMPLIMIENTO '!G108</f>
        <v>3.5714285714285712E-2</v>
      </c>
      <c r="G108" s="61">
        <f>'CUMPLIMIENTO '!H108</f>
        <v>0</v>
      </c>
    </row>
    <row r="109" spans="1:7" ht="15.75" hidden="1" x14ac:dyDescent="0.25">
      <c r="A109" s="202" t="str">
        <f>'CUMPLIMIENTO '!A109</f>
        <v>LINEA</v>
      </c>
      <c r="B109" s="203" t="str">
        <f>'CUMPLIMIENTO '!B109</f>
        <v>4.6</v>
      </c>
      <c r="C109" s="202" t="str">
        <f>'CUMPLIMIENTO '!C109</f>
        <v>BOLÍVAR PRIMERO PROPICIA LA PARTICIPACIÓN CIUDADANA.</v>
      </c>
      <c r="D109" s="216">
        <f>'CUMPLIMIENTO '!D109</f>
        <v>11</v>
      </c>
      <c r="E109" s="216">
        <f>'CUMPLIMIENTO '!E109</f>
        <v>5</v>
      </c>
      <c r="F109" s="217">
        <f>'CUMPLIMIENTO '!G109</f>
        <v>0.20555555555555557</v>
      </c>
      <c r="G109" s="218">
        <f>'CUMPLIMIENTO '!H109</f>
        <v>2.5000000000000001E-2</v>
      </c>
    </row>
    <row r="110" spans="1:7" ht="15.75" hidden="1" x14ac:dyDescent="0.25">
      <c r="A110" s="198" t="str">
        <f>'CUMPLIMIENTO '!A110</f>
        <v>PROGRAMA</v>
      </c>
      <c r="B110" s="106" t="str">
        <f>'CUMPLIMIENTO '!B110</f>
        <v>4.6.1</v>
      </c>
      <c r="C110" s="111" t="str">
        <f>'CUMPLIMIENTO '!C110</f>
        <v>Participación Ciudadana</v>
      </c>
      <c r="D110" s="199">
        <f>'CUMPLIMIENTO '!D110</f>
        <v>4</v>
      </c>
      <c r="E110" s="199">
        <f>'CUMPLIMIENTO '!E110</f>
        <v>2</v>
      </c>
      <c r="F110" s="61">
        <f>'CUMPLIMIENTO '!G110</f>
        <v>0.140625</v>
      </c>
      <c r="G110" s="61">
        <f>'CUMPLIMIENTO '!H110</f>
        <v>0.05</v>
      </c>
    </row>
    <row r="111" spans="1:7" ht="15.75" hidden="1" x14ac:dyDescent="0.25">
      <c r="A111" s="198" t="str">
        <f>'CUMPLIMIENTO '!A111</f>
        <v>PROGRAMA</v>
      </c>
      <c r="B111" s="106" t="str">
        <f>'CUMPLIMIENTO '!B111</f>
        <v xml:space="preserve">4.6.2 </v>
      </c>
      <c r="C111" s="111" t="str">
        <f>'CUMPLIMIENTO '!C111</f>
        <v>Organismos comunales</v>
      </c>
      <c r="D111" s="199">
        <f>'CUMPLIMIENTO '!D111</f>
        <v>3</v>
      </c>
      <c r="E111" s="199">
        <f>'CUMPLIMIENTO '!E111</f>
        <v>2</v>
      </c>
      <c r="F111" s="61">
        <f>'CUMPLIMIENTO '!G111</f>
        <v>0.11666666666666665</v>
      </c>
      <c r="G111" s="61">
        <f>'CUMPLIMIENTO '!H111</f>
        <v>0</v>
      </c>
    </row>
    <row r="112" spans="1:7" ht="15.75" hidden="1" x14ac:dyDescent="0.25">
      <c r="A112" s="198" t="str">
        <f>'CUMPLIMIENTO '!A112</f>
        <v>PROGRAMA</v>
      </c>
      <c r="B112" s="106" t="str">
        <f>'CUMPLIMIENTO '!B112</f>
        <v>4.6.3</v>
      </c>
      <c r="C112" s="111" t="str">
        <f>'CUMPLIMIENTO '!C112</f>
        <v>Procesos electorales</v>
      </c>
      <c r="D112" s="199">
        <f>'CUMPLIMIENTO '!D112</f>
        <v>1</v>
      </c>
      <c r="E112" s="199">
        <f>'CUMPLIMIENTO '!E112</f>
        <v>1</v>
      </c>
      <c r="F112" s="61">
        <f>'CUMPLIMIENTO '!G112</f>
        <v>0.5</v>
      </c>
      <c r="G112" s="61" t="str">
        <f>'CUMPLIMIENTO '!H112</f>
        <v>NP</v>
      </c>
    </row>
    <row r="113" spans="1:7" ht="15.75" hidden="1" x14ac:dyDescent="0.25">
      <c r="A113" s="198" t="str">
        <f>'CUMPLIMIENTO '!A113</f>
        <v>PROGRAMA</v>
      </c>
      <c r="B113" s="106" t="str">
        <f>'CUMPLIMIENTO '!B113</f>
        <v>4.6.4</v>
      </c>
      <c r="C113" s="111" t="str">
        <f>'CUMPLIMIENTO '!C113</f>
        <v>Construcción de Cultura Ciudadana</v>
      </c>
      <c r="D113" s="199">
        <f>'CUMPLIMIENTO '!D113</f>
        <v>3</v>
      </c>
      <c r="E113" s="199" t="str">
        <f>'CUMPLIMIENTO '!E113</f>
        <v>NP</v>
      </c>
      <c r="F113" s="61">
        <f>'CUMPLIMIENTO '!G113</f>
        <v>0</v>
      </c>
      <c r="G113" s="61" t="str">
        <f>'CUMPLIMIENTO '!H113</f>
        <v>NP</v>
      </c>
    </row>
    <row r="114" spans="1:7" ht="18.75" hidden="1" x14ac:dyDescent="0.25">
      <c r="A114" s="227" t="str">
        <f>'CUMPLIMIENTO '!A114</f>
        <v>EJE ESTRATEGICO</v>
      </c>
      <c r="B114" s="226">
        <f>'CUMPLIMIENTO '!B114</f>
        <v>5</v>
      </c>
      <c r="C114" s="227" t="str">
        <f>'CUMPLIMIENTO '!C114</f>
        <v>BOLÍVAR PRIMERO EN RURALIDAD</v>
      </c>
      <c r="D114" s="187">
        <f>'CUMPLIMIENTO '!D114</f>
        <v>34</v>
      </c>
      <c r="E114" s="187">
        <f>'CUMPLIMIENTO '!E114</f>
        <v>11</v>
      </c>
      <c r="F114" s="188">
        <f>'CUMPLIMIENTO '!G114</f>
        <v>0.31751547831253712</v>
      </c>
      <c r="G114" s="188">
        <f>'CUMPLIMIENTO '!H114</f>
        <v>0.37496305418719206</v>
      </c>
    </row>
    <row r="115" spans="1:7" ht="15.75" hidden="1" x14ac:dyDescent="0.25">
      <c r="A115" s="202" t="str">
        <f>'CUMPLIMIENTO '!A115</f>
        <v>LINEA</v>
      </c>
      <c r="B115" s="203" t="str">
        <f>'CUMPLIMIENTO '!B115</f>
        <v>5.1</v>
      </c>
      <c r="C115" s="202" t="str">
        <f>'CUMPLIMIENTO '!C115</f>
        <v>BOLÍVAR AL CAMPO: PLAN DE ATENCIÓN RURAL INTEGRAL Y PRIORITARIA - PARIP</v>
      </c>
      <c r="D115" s="216">
        <f>'CUMPLIMIENTO '!D115</f>
        <v>34</v>
      </c>
      <c r="E115" s="216">
        <f>'CUMPLIMIENTO '!E115</f>
        <v>11</v>
      </c>
      <c r="F115" s="217">
        <f>'CUMPLIMIENTO '!G115</f>
        <v>0.31751547831253712</v>
      </c>
      <c r="G115" s="218">
        <f>'CUMPLIMIENTO '!H115</f>
        <v>0.37496305418719206</v>
      </c>
    </row>
    <row r="116" spans="1:7" ht="15.75" hidden="1" x14ac:dyDescent="0.25">
      <c r="A116" s="198" t="str">
        <f>'CUMPLIMIENTO '!A116</f>
        <v>PROGRAMA</v>
      </c>
      <c r="B116" s="106" t="str">
        <f>'CUMPLIMIENTO '!B116</f>
        <v>5.1.1</v>
      </c>
      <c r="C116" s="111" t="str">
        <f>'CUMPLIMIENTO '!C116</f>
        <v xml:space="preserve">Bolívar garantiza derechos sociales en el campo.  </v>
      </c>
      <c r="D116" s="199">
        <f>'CUMPLIMIENTO '!D116</f>
        <v>9</v>
      </c>
      <c r="E116" s="199" t="str">
        <f>'CUMPLIMIENTO '!E116</f>
        <v>NP</v>
      </c>
      <c r="F116" s="61">
        <f>'CUMPLIMIENTO '!G116</f>
        <v>1.9166666666666665E-2</v>
      </c>
      <c r="G116" s="61">
        <f>'CUMPLIMIENTO '!H116</f>
        <v>0.12023809523809523</v>
      </c>
    </row>
    <row r="117" spans="1:7" ht="15.75" hidden="1" x14ac:dyDescent="0.25">
      <c r="A117" s="198" t="str">
        <f>'CUMPLIMIENTO '!A117</f>
        <v>PROGRAMA</v>
      </c>
      <c r="B117" s="106" t="str">
        <f>'CUMPLIMIENTO '!B117</f>
        <v>5.1.2</v>
      </c>
      <c r="C117" s="111" t="str">
        <f>'CUMPLIMIENTO '!C117</f>
        <v>Bolívar Educa en el campo</v>
      </c>
      <c r="D117" s="199">
        <f>'CUMPLIMIENTO '!D117</f>
        <v>4</v>
      </c>
      <c r="E117" s="199" t="str">
        <f>'CUMPLIMIENTO '!E117</f>
        <v>NP</v>
      </c>
      <c r="F117" s="61">
        <f>'CUMPLIMIENTO '!G117</f>
        <v>0.36909090909090914</v>
      </c>
      <c r="G117" s="61">
        <f>'CUMPLIMIENTO '!H117</f>
        <v>0.69620689655172407</v>
      </c>
    </row>
    <row r="118" spans="1:7" ht="15.75" hidden="1" x14ac:dyDescent="0.25">
      <c r="A118" s="198" t="str">
        <f>'CUMPLIMIENTO '!A118</f>
        <v>PROGRAMA</v>
      </c>
      <c r="B118" s="106" t="str">
        <f>'CUMPLIMIENTO '!B118</f>
        <v>5.1.3</v>
      </c>
      <c r="C118" s="111" t="str">
        <f>'CUMPLIMIENTO '!C118</f>
        <v>Bolívar lleva Servicios Públicos al campo.</v>
      </c>
      <c r="D118" s="199">
        <f>'CUMPLIMIENTO '!D118</f>
        <v>3</v>
      </c>
      <c r="E118" s="199">
        <f>'CUMPLIMIENTO '!E118</f>
        <v>1</v>
      </c>
      <c r="F118" s="61">
        <f>'CUMPLIMIENTO '!G118</f>
        <v>0.48</v>
      </c>
      <c r="G118" s="61">
        <f>'CUMPLIMIENTO '!H118</f>
        <v>0.375</v>
      </c>
    </row>
    <row r="119" spans="1:7" ht="15.75" hidden="1" x14ac:dyDescent="0.25">
      <c r="A119" s="198" t="str">
        <f>'CUMPLIMIENTO '!A119</f>
        <v>PROGRAMA</v>
      </c>
      <c r="B119" s="106" t="str">
        <f>'CUMPLIMIENTO '!B119</f>
        <v>5.1.4</v>
      </c>
      <c r="C119" s="111" t="str">
        <f>'CUMPLIMIENTO '!C119</f>
        <v xml:space="preserve">Ingreso, trabajo y productividad en el campo. </v>
      </c>
      <c r="D119" s="199">
        <f>'CUMPLIMIENTO '!D119</f>
        <v>10</v>
      </c>
      <c r="E119" s="199">
        <f>'CUMPLIMIENTO '!E119</f>
        <v>7</v>
      </c>
      <c r="F119" s="61">
        <f>'CUMPLIMIENTO '!G119</f>
        <v>0.28860000000000002</v>
      </c>
      <c r="G119" s="61">
        <f>'CUMPLIMIENTO '!H119</f>
        <v>5.5555555555555552E-2</v>
      </c>
    </row>
    <row r="120" spans="1:7" ht="15.75" hidden="1" x14ac:dyDescent="0.25">
      <c r="A120" s="198" t="str">
        <f>'CUMPLIMIENTO '!A120</f>
        <v>PROGRAMA</v>
      </c>
      <c r="B120" s="106" t="str">
        <f>'CUMPLIMIENTO '!B120</f>
        <v>5.1.5</v>
      </c>
      <c r="C120" s="111" t="str">
        <f>'CUMPLIMIENTO '!C120</f>
        <v>Infraestructura rural.</v>
      </c>
      <c r="D120" s="199">
        <f>'CUMPLIMIENTO '!D120</f>
        <v>2</v>
      </c>
      <c r="E120" s="199">
        <f>'CUMPLIMIENTO '!E120</f>
        <v>2</v>
      </c>
      <c r="F120" s="61">
        <f>'CUMPLIMIENTO '!G120</f>
        <v>0.71323529411764697</v>
      </c>
      <c r="G120" s="61">
        <f>'CUMPLIMIENTO '!H120</f>
        <v>0.85</v>
      </c>
    </row>
    <row r="121" spans="1:7" ht="15.75" hidden="1" x14ac:dyDescent="0.25">
      <c r="A121" s="198" t="str">
        <f>'CUMPLIMIENTO '!A121</f>
        <v>PROGRAMA</v>
      </c>
      <c r="B121" s="106" t="str">
        <f>'CUMPLIMIENTO '!B121</f>
        <v>5.1.6</v>
      </c>
      <c r="C121" s="111" t="str">
        <f>'CUMPLIMIENTO '!C121</f>
        <v>Cultura, deporte y recreación en el campo.</v>
      </c>
      <c r="D121" s="199">
        <f>'CUMPLIMIENTO '!D121</f>
        <v>6</v>
      </c>
      <c r="E121" s="199">
        <f>'CUMPLIMIENTO '!E121</f>
        <v>1</v>
      </c>
      <c r="F121" s="61">
        <f>'CUMPLIMIENTO '!G121</f>
        <v>3.5000000000000003E-2</v>
      </c>
      <c r="G121" s="61">
        <f>'CUMPLIMIENTO '!H121</f>
        <v>0.15277777777777776</v>
      </c>
    </row>
    <row r="122" spans="1:7" ht="18.75" hidden="1" x14ac:dyDescent="0.25">
      <c r="A122" s="230" t="str">
        <f>'CUMPLIMIENTO '!A122</f>
        <v>EJE ESTRATEGICO</v>
      </c>
      <c r="B122" s="229">
        <f>'CUMPLIMIENTO '!B122</f>
        <v>6</v>
      </c>
      <c r="C122" s="230" t="str">
        <f>'CUMPLIMIENTO '!C122</f>
        <v>GRUPOS POBLACIONALES</v>
      </c>
      <c r="D122" s="231">
        <f>'CUMPLIMIENTO '!D122</f>
        <v>128</v>
      </c>
      <c r="E122" s="231">
        <f>'CUMPLIMIENTO '!E122</f>
        <v>83</v>
      </c>
      <c r="F122" s="232">
        <f>'CUMPLIMIENTO '!G122</f>
        <v>0.29743627103134557</v>
      </c>
      <c r="G122" s="232">
        <f>'CUMPLIMIENTO '!H122</f>
        <v>0.18931768927175735</v>
      </c>
    </row>
    <row r="123" spans="1:7" ht="31.5" hidden="1" x14ac:dyDescent="0.25">
      <c r="A123" s="202" t="str">
        <f>'CUMPLIMIENTO '!A123</f>
        <v>LINEA</v>
      </c>
      <c r="B123" s="203" t="str">
        <f>'CUMPLIMIENTO '!B123</f>
        <v>6.1</v>
      </c>
      <c r="C123" s="221" t="str">
        <f>'CUMPLIMIENTO '!C123</f>
        <v xml:space="preserve">CAPITULO ATENCIÓN A VÍCTIMAS, CONSTRUCCIÓN DE PAZ Y RECONCILIACIÓN </v>
      </c>
      <c r="D123" s="216">
        <f>'CUMPLIMIENTO '!D123</f>
        <v>52</v>
      </c>
      <c r="E123" s="216">
        <f>'CUMPLIMIENTO '!E123</f>
        <v>38</v>
      </c>
      <c r="F123" s="217">
        <f>'CUMPLIMIENTO '!G123</f>
        <v>0.22420701145984015</v>
      </c>
      <c r="G123" s="218">
        <f>'CUMPLIMIENTO '!H123</f>
        <v>0.27793974732750243</v>
      </c>
    </row>
    <row r="124" spans="1:7" ht="15.75" hidden="1" x14ac:dyDescent="0.25">
      <c r="A124" s="198" t="str">
        <f>'CUMPLIMIENTO '!A124</f>
        <v>PROGRAMA</v>
      </c>
      <c r="B124" s="106" t="str">
        <f>'CUMPLIMIENTO '!B124</f>
        <v>6.1.1</v>
      </c>
      <c r="C124" s="111" t="str">
        <f>'CUMPLIMIENTO '!C124</f>
        <v>Atención y Asistencia</v>
      </c>
      <c r="D124" s="199">
        <f>'CUMPLIMIENTO '!D124</f>
        <v>16</v>
      </c>
      <c r="E124" s="199">
        <f>'CUMPLIMIENTO '!E124</f>
        <v>9</v>
      </c>
      <c r="F124" s="61">
        <f>'CUMPLIMIENTO '!G124</f>
        <v>0.25437813283208016</v>
      </c>
      <c r="G124" s="61">
        <f>'CUMPLIMIENTO '!H124</f>
        <v>0.29777777777777775</v>
      </c>
    </row>
    <row r="125" spans="1:7" ht="15.75" hidden="1" x14ac:dyDescent="0.25">
      <c r="A125" s="198" t="str">
        <f>'CUMPLIMIENTO '!A125</f>
        <v>PROGRAMA</v>
      </c>
      <c r="B125" s="106" t="str">
        <f>'CUMPLIMIENTO '!B125</f>
        <v>6.1.2</v>
      </c>
      <c r="C125" s="111" t="str">
        <f>'CUMPLIMIENTO '!C125</f>
        <v>Prevención y Protección</v>
      </c>
      <c r="D125" s="199">
        <f>'CUMPLIMIENTO '!D125</f>
        <v>5</v>
      </c>
      <c r="E125" s="199">
        <f>'CUMPLIMIENTO '!E125</f>
        <v>5</v>
      </c>
      <c r="F125" s="61">
        <f>'CUMPLIMIENTO '!G125</f>
        <v>0.16250000000000001</v>
      </c>
      <c r="G125" s="61">
        <f>'CUMPLIMIENTO '!H125</f>
        <v>0.2</v>
      </c>
    </row>
    <row r="126" spans="1:7" ht="15.75" hidden="1" x14ac:dyDescent="0.25">
      <c r="A126" s="198" t="str">
        <f>'CUMPLIMIENTO '!A126</f>
        <v>PROGRAMA</v>
      </c>
      <c r="B126" s="106" t="str">
        <f>'CUMPLIMIENTO '!B126</f>
        <v xml:space="preserve">6.1.3 </v>
      </c>
      <c r="C126" s="111" t="str">
        <f>'CUMPLIMIENTO '!C126</f>
        <v xml:space="preserve">Reparación Colectiva, retornos y reubicaciones </v>
      </c>
      <c r="D126" s="199">
        <f>'CUMPLIMIENTO '!D126</f>
        <v>3</v>
      </c>
      <c r="E126" s="199">
        <f>'CUMPLIMIENTO '!E126</f>
        <v>3</v>
      </c>
      <c r="F126" s="61">
        <f>'CUMPLIMIENTO '!G126</f>
        <v>0.16250000000000001</v>
      </c>
      <c r="G126" s="61">
        <f>'CUMPLIMIENTO '!H126</f>
        <v>0.12222222222222223</v>
      </c>
    </row>
    <row r="127" spans="1:7" ht="15.75" hidden="1" x14ac:dyDescent="0.25">
      <c r="A127" s="198" t="str">
        <f>'CUMPLIMIENTO '!A127</f>
        <v>PROGRAMA</v>
      </c>
      <c r="B127" s="106" t="str">
        <f>'CUMPLIMIENTO '!B127</f>
        <v xml:space="preserve">6.1.4 </v>
      </c>
      <c r="C127" s="111" t="str">
        <f>'CUMPLIMIENTO '!C127</f>
        <v>Participación efectiva</v>
      </c>
      <c r="D127" s="199">
        <f>'CUMPLIMIENTO '!D127</f>
        <v>5</v>
      </c>
      <c r="E127" s="199">
        <f>'CUMPLIMIENTO '!E127</f>
        <v>4</v>
      </c>
      <c r="F127" s="61">
        <f>'CUMPLIMIENTO '!G127</f>
        <v>0.10482336956521739</v>
      </c>
      <c r="G127" s="61">
        <f>'CUMPLIMIENTO '!H127</f>
        <v>0.10500000000000001</v>
      </c>
    </row>
    <row r="128" spans="1:7" ht="15.75" hidden="1" x14ac:dyDescent="0.25">
      <c r="A128" s="198" t="str">
        <f>'CUMPLIMIENTO '!A128</f>
        <v>PROGRAMA</v>
      </c>
      <c r="B128" s="106" t="str">
        <f>'CUMPLIMIENTO '!B128</f>
        <v xml:space="preserve">6.1.5 </v>
      </c>
      <c r="C128" s="111" t="str">
        <f>'CUMPLIMIENTO '!C128</f>
        <v xml:space="preserve">Fortalecimiento para la Gestión institucional y Sistemas de Información </v>
      </c>
      <c r="D128" s="199">
        <f>'CUMPLIMIENTO '!D128</f>
        <v>11</v>
      </c>
      <c r="E128" s="199">
        <f>'CUMPLIMIENTO '!E128</f>
        <v>10</v>
      </c>
      <c r="F128" s="61">
        <f>'CUMPLIMIENTO '!G128</f>
        <v>0.35759313766714318</v>
      </c>
      <c r="G128" s="61">
        <f>'CUMPLIMIENTO '!H128</f>
        <v>0.21224489795918369</v>
      </c>
    </row>
    <row r="129" spans="1:11" ht="15.75" hidden="1" x14ac:dyDescent="0.25">
      <c r="A129" s="198" t="str">
        <f>'CUMPLIMIENTO '!A129</f>
        <v>PROGRAMA</v>
      </c>
      <c r="B129" s="106" t="str">
        <f>'CUMPLIMIENTO '!B129</f>
        <v>6.1.6</v>
      </c>
      <c r="C129" s="111" t="str">
        <f>'CUMPLIMIENTO '!C129</f>
        <v>Restitución de tierras</v>
      </c>
      <c r="D129" s="199">
        <f>'CUMPLIMIENTO '!D129</f>
        <v>4</v>
      </c>
      <c r="E129" s="199">
        <f>'CUMPLIMIENTO '!E129</f>
        <v>4</v>
      </c>
      <c r="F129" s="61">
        <f>'CUMPLIMIENTO '!G129</f>
        <v>0.38063063063063063</v>
      </c>
      <c r="G129" s="61">
        <f>'CUMPLIMIENTO '!H129</f>
        <v>0.8</v>
      </c>
    </row>
    <row r="130" spans="1:11" ht="30" hidden="1" x14ac:dyDescent="0.25">
      <c r="A130" s="198" t="str">
        <f>'CUMPLIMIENTO '!A130</f>
        <v>PROGRAMA</v>
      </c>
      <c r="B130" s="106" t="str">
        <f>'CUMPLIMIENTO '!B130</f>
        <v>6.1.7</v>
      </c>
      <c r="C130" s="111" t="str">
        <f>'CUMPLIMIENTO '!C130</f>
        <v>Programa: Inclusión y reincorporación comunitaria para la consolidación de la paz</v>
      </c>
      <c r="D130" s="199">
        <f>'CUMPLIMIENTO '!D130</f>
        <v>8</v>
      </c>
      <c r="E130" s="199">
        <f>'CUMPLIMIENTO '!E130</f>
        <v>3</v>
      </c>
      <c r="F130" s="61">
        <f>'CUMPLIMIENTO '!G130</f>
        <v>0.14702380952380953</v>
      </c>
      <c r="G130" s="61">
        <f>'CUMPLIMIENTO '!H130</f>
        <v>0.20833333333333331</v>
      </c>
    </row>
    <row r="131" spans="1:11" ht="15.75" hidden="1" x14ac:dyDescent="0.25">
      <c r="A131" s="202" t="str">
        <f>'CUMPLIMIENTO '!A131</f>
        <v>LINEA</v>
      </c>
      <c r="B131" s="203" t="str">
        <f>'CUMPLIMIENTO '!B131</f>
        <v>6.2</v>
      </c>
      <c r="C131" s="202" t="str">
        <f>'CUMPLIMIENTO '!C131</f>
        <v>CAPITULO DE MINORÍAS ÉTNICAS.</v>
      </c>
      <c r="D131" s="216">
        <f>'CUMPLIMIENTO '!D131</f>
        <v>37</v>
      </c>
      <c r="E131" s="216">
        <f>'CUMPLIMIENTO '!E131</f>
        <v>10</v>
      </c>
      <c r="F131" s="217">
        <f>'CUMPLIMIENTO '!G131</f>
        <v>0.12273065476190476</v>
      </c>
      <c r="G131" s="218">
        <f>'CUMPLIMIENTO '!H131</f>
        <v>0.12968749999999998</v>
      </c>
    </row>
    <row r="132" spans="1:11" ht="15.75" hidden="1" x14ac:dyDescent="0.25">
      <c r="A132" s="198" t="str">
        <f>'CUMPLIMIENTO '!A132</f>
        <v>PROGRAMA</v>
      </c>
      <c r="B132" s="106" t="str">
        <f>'CUMPLIMIENTO '!B132</f>
        <v>6.2.1</v>
      </c>
      <c r="C132" s="111" t="str">
        <f>'CUMPLIMIENTO '!C132</f>
        <v xml:space="preserve">Fortalecimiento de los procesos organizacionales de la población NARP. </v>
      </c>
      <c r="D132" s="199">
        <f>'CUMPLIMIENTO '!D132</f>
        <v>4</v>
      </c>
      <c r="E132" s="199">
        <f>'CUMPLIMIENTO '!E132</f>
        <v>4</v>
      </c>
      <c r="F132" s="61">
        <f>'CUMPLIMIENTO '!G132</f>
        <v>0.453125</v>
      </c>
      <c r="G132" s="61">
        <f>'CUMPLIMIENTO '!H132</f>
        <v>0.4375</v>
      </c>
    </row>
    <row r="133" spans="1:11" ht="30" hidden="1" x14ac:dyDescent="0.25">
      <c r="A133" s="198" t="str">
        <f>'CUMPLIMIENTO '!A133</f>
        <v>PROGRAMA</v>
      </c>
      <c r="B133" s="106" t="str">
        <f>'CUMPLIMIENTO '!B133</f>
        <v>6.2.2</v>
      </c>
      <c r="C133" s="111" t="str">
        <f>'CUMPLIMIENTO '!C133</f>
        <v>Mujer y género en población negra, afrocolombiana, raizal, palenquera, indígena y rom</v>
      </c>
      <c r="D133" s="199">
        <f>'CUMPLIMIENTO '!D133</f>
        <v>4</v>
      </c>
      <c r="E133" s="199">
        <f>'CUMPLIMIENTO '!E133</f>
        <v>2</v>
      </c>
      <c r="F133" s="61">
        <f>'CUMPLIMIENTO '!G133</f>
        <v>4.0625000000000001E-2</v>
      </c>
      <c r="G133" s="61">
        <f>'CUMPLIMIENTO '!H133</f>
        <v>0.1</v>
      </c>
    </row>
    <row r="134" spans="1:11" ht="15.75" hidden="1" x14ac:dyDescent="0.25">
      <c r="A134" s="198" t="str">
        <f>'CUMPLIMIENTO '!A134</f>
        <v>PROGRAMA</v>
      </c>
      <c r="B134" s="106" t="str">
        <f>'CUMPLIMIENTO '!B134</f>
        <v>6.2.3</v>
      </c>
      <c r="C134" s="111" t="str">
        <f>'CUMPLIMIENTO '!C134</f>
        <v>Arte, cultura y patrimonio</v>
      </c>
      <c r="D134" s="199">
        <f>'CUMPLIMIENTO '!D134</f>
        <v>7</v>
      </c>
      <c r="E134" s="199" t="str">
        <f>'CUMPLIMIENTO '!E134</f>
        <v>NP</v>
      </c>
      <c r="F134" s="61">
        <f>'CUMPLIMIENTO '!G134</f>
        <v>0</v>
      </c>
      <c r="G134" s="61">
        <f>'CUMPLIMIENTO '!H134</f>
        <v>0</v>
      </c>
    </row>
    <row r="135" spans="1:11" ht="15.75" hidden="1" x14ac:dyDescent="0.25">
      <c r="A135" s="198" t="str">
        <f>'CUMPLIMIENTO '!A135</f>
        <v>PROGRAMA</v>
      </c>
      <c r="B135" s="106" t="str">
        <f>'CUMPLIMIENTO '!B135</f>
        <v>6,2,4</v>
      </c>
      <c r="C135" s="111" t="str">
        <f>'CUMPLIMIENTO '!C135</f>
        <v>Recreación y deporte.</v>
      </c>
      <c r="D135" s="199">
        <f>'CUMPLIMIENTO '!D135</f>
        <v>1</v>
      </c>
      <c r="E135" s="199" t="str">
        <f>'CUMPLIMIENTO '!E135</f>
        <v>NP</v>
      </c>
      <c r="F135" s="61">
        <f>'CUMPLIMIENTO '!G135</f>
        <v>0</v>
      </c>
      <c r="G135" s="61">
        <f>'CUMPLIMIENTO '!H135</f>
        <v>0</v>
      </c>
    </row>
    <row r="136" spans="1:11" ht="15.75" hidden="1" x14ac:dyDescent="0.25">
      <c r="A136" s="198" t="str">
        <f>'CUMPLIMIENTO '!A136</f>
        <v>PROGRAMA</v>
      </c>
      <c r="B136" s="106" t="str">
        <f>'CUMPLIMIENTO '!B136</f>
        <v>6,2,5</v>
      </c>
      <c r="C136" s="111" t="str">
        <f>'CUMPLIMIENTO '!C136</f>
        <v>Desarrollo económico</v>
      </c>
      <c r="D136" s="199">
        <f>'CUMPLIMIENTO '!D136</f>
        <v>7</v>
      </c>
      <c r="E136" s="199">
        <f>'CUMPLIMIENTO '!E136</f>
        <v>1</v>
      </c>
      <c r="F136" s="61">
        <f>'CUMPLIMIENTO '!G136</f>
        <v>7.1428571428571425E-2</v>
      </c>
      <c r="G136" s="61">
        <f>'CUMPLIMIENTO '!H136</f>
        <v>0.16666666666666666</v>
      </c>
    </row>
    <row r="137" spans="1:11" ht="15.75" hidden="1" x14ac:dyDescent="0.25">
      <c r="A137" s="198" t="str">
        <f>'CUMPLIMIENTO '!A137</f>
        <v>PROGRAMA</v>
      </c>
      <c r="B137" s="106" t="str">
        <f>'CUMPLIMIENTO '!B137</f>
        <v>6.2.6</v>
      </c>
      <c r="C137" s="111" t="str">
        <f>'CUMPLIMIENTO '!C137</f>
        <v>Educación</v>
      </c>
      <c r="D137" s="199">
        <f>'CUMPLIMIENTO '!D137</f>
        <v>6</v>
      </c>
      <c r="E137" s="199" t="str">
        <f>'CUMPLIMIENTO '!E137</f>
        <v>NP</v>
      </c>
      <c r="F137" s="61">
        <f>'CUMPLIMIENTO '!G137</f>
        <v>0</v>
      </c>
      <c r="G137" s="61">
        <f>'CUMPLIMIENTO '!H137</f>
        <v>0</v>
      </c>
    </row>
    <row r="138" spans="1:11" ht="15.75" hidden="1" x14ac:dyDescent="0.25">
      <c r="A138" s="198" t="str">
        <f>'CUMPLIMIENTO '!A138</f>
        <v>PROGRAMA</v>
      </c>
      <c r="B138" s="106" t="str">
        <f>'CUMPLIMIENTO '!B138</f>
        <v>6.2.7</v>
      </c>
      <c r="C138" s="111" t="str">
        <f>'CUMPLIMIENTO '!C138</f>
        <v>Derechos Humanos</v>
      </c>
      <c r="D138" s="199">
        <f>'CUMPLIMIENTO '!D138</f>
        <v>3</v>
      </c>
      <c r="E138" s="199">
        <f>'CUMPLIMIENTO '!E138</f>
        <v>1</v>
      </c>
      <c r="F138" s="61">
        <f>'CUMPLIMIENTO '!G138</f>
        <v>0.16666666666666666</v>
      </c>
      <c r="G138" s="61">
        <f>'CUMPLIMIENTO '!H138</f>
        <v>0</v>
      </c>
    </row>
    <row r="139" spans="1:11" ht="15.75" hidden="1" x14ac:dyDescent="0.25">
      <c r="A139" s="198" t="str">
        <f>'CUMPLIMIENTO '!A139</f>
        <v>PROGRAMA</v>
      </c>
      <c r="B139" s="106" t="str">
        <f>'CUMPLIMIENTO '!B139</f>
        <v>6.2.8</v>
      </c>
      <c r="C139" s="111" t="str">
        <f>'CUMPLIMIENTO '!C139</f>
        <v>Atención a población indígena.</v>
      </c>
      <c r="D139" s="199">
        <f>'CUMPLIMIENTO '!D139</f>
        <v>5</v>
      </c>
      <c r="E139" s="199">
        <f>'CUMPLIMIENTO '!E139</f>
        <v>2</v>
      </c>
      <c r="F139" s="61">
        <f>'CUMPLIMIENTO '!G139</f>
        <v>0.25</v>
      </c>
      <c r="G139" s="61">
        <f>'CUMPLIMIENTO '!H139</f>
        <v>0.33333333333333331</v>
      </c>
      <c r="H139" s="62"/>
    </row>
    <row r="140" spans="1:11" ht="31.5" hidden="1" x14ac:dyDescent="0.25">
      <c r="A140" s="202" t="str">
        <f>'CUMPLIMIENTO '!A140</f>
        <v>LINEA</v>
      </c>
      <c r="B140" s="203" t="str">
        <f>'CUMPLIMIENTO '!B140</f>
        <v>6.3</v>
      </c>
      <c r="C140" s="221" t="str">
        <f>'CUMPLIMIENTO '!C140</f>
        <v>CAPITULO NIÑOS Y NIÑAS EN SU PRIMERA INFANCIA, INFANCIA Y ADOLESCENCIA.</v>
      </c>
      <c r="D140" s="216">
        <f>'CUMPLIMIENTO '!D140</f>
        <v>9</v>
      </c>
      <c r="E140" s="216">
        <f>'CUMPLIMIENTO '!E140</f>
        <v>7</v>
      </c>
      <c r="F140" s="217">
        <f>'CUMPLIMIENTO '!G140</f>
        <v>0.53456790123456799</v>
      </c>
      <c r="G140" s="218">
        <f>'CUMPLIMIENTO '!H140</f>
        <v>0.25</v>
      </c>
    </row>
    <row r="141" spans="1:11" ht="15.75" hidden="1" x14ac:dyDescent="0.25">
      <c r="A141" s="198" t="str">
        <f>'CUMPLIMIENTO '!A141</f>
        <v>PROGRAMA</v>
      </c>
      <c r="B141" s="106" t="str">
        <f>'CUMPLIMIENTO '!B141</f>
        <v>6.3.1</v>
      </c>
      <c r="C141" s="111" t="str">
        <f>'CUMPLIMIENTO '!C141</f>
        <v>Niños y niñas en su primera infancia, infancia y adolescencia</v>
      </c>
      <c r="D141" s="199">
        <f>'CUMPLIMIENTO '!D141</f>
        <v>9</v>
      </c>
      <c r="E141" s="199">
        <f>'CUMPLIMIENTO '!E141</f>
        <v>7</v>
      </c>
      <c r="F141" s="61">
        <f>'CUMPLIMIENTO '!G141</f>
        <v>0.53456790123456799</v>
      </c>
      <c r="G141" s="61">
        <f>'CUMPLIMIENTO '!H141</f>
        <v>0.25</v>
      </c>
    </row>
    <row r="142" spans="1:11" ht="15.75" hidden="1" x14ac:dyDescent="0.25">
      <c r="A142" s="202" t="str">
        <f>'CUMPLIMIENTO '!A142</f>
        <v>LINEA</v>
      </c>
      <c r="B142" s="203" t="str">
        <f>'CUMPLIMIENTO '!B142</f>
        <v>6.4</v>
      </c>
      <c r="C142" s="202" t="str">
        <f>'CUMPLIMIENTO '!C142</f>
        <v>JUVENTUD</v>
      </c>
      <c r="D142" s="216">
        <f>'CUMPLIMIENTO '!D142</f>
        <v>4</v>
      </c>
      <c r="E142" s="216">
        <f>'CUMPLIMIENTO '!E142</f>
        <v>4</v>
      </c>
      <c r="F142" s="217">
        <f>'CUMPLIMIENTO '!G142</f>
        <v>0.44374999999999998</v>
      </c>
      <c r="G142" s="218">
        <f>'CUMPLIMIENTO '!H142</f>
        <v>0.35638297872340424</v>
      </c>
      <c r="J142" s="77"/>
      <c r="K142" s="77"/>
    </row>
    <row r="143" spans="1:11" ht="15.75" hidden="1" x14ac:dyDescent="0.25">
      <c r="A143" s="198" t="str">
        <f>'CUMPLIMIENTO '!A143</f>
        <v>PROGRAMA</v>
      </c>
      <c r="B143" s="106" t="str">
        <f>'CUMPLIMIENTO '!B143</f>
        <v>6.4.1</v>
      </c>
      <c r="C143" s="111" t="str">
        <f>'CUMPLIMIENTO '!C143</f>
        <v>Juventud</v>
      </c>
      <c r="D143" s="199">
        <f>'CUMPLIMIENTO '!D143</f>
        <v>4</v>
      </c>
      <c r="E143" s="199">
        <f>'CUMPLIMIENTO '!E143</f>
        <v>4</v>
      </c>
      <c r="F143" s="61">
        <f>'CUMPLIMIENTO '!G143</f>
        <v>0.44374999999999998</v>
      </c>
      <c r="G143" s="61">
        <f>'CUMPLIMIENTO '!H143</f>
        <v>0.35638297872340424</v>
      </c>
      <c r="J143" s="77"/>
      <c r="K143" s="77"/>
    </row>
    <row r="144" spans="1:11" ht="30" hidden="1" x14ac:dyDescent="0.25">
      <c r="A144" s="202" t="str">
        <f>'CUMPLIMIENTO '!A144</f>
        <v>LINEA</v>
      </c>
      <c r="B144" s="203" t="str">
        <f>'CUMPLIMIENTO '!B144</f>
        <v>6.5</v>
      </c>
      <c r="C144" s="213" t="str">
        <f>'CUMPLIMIENTO '!C144</f>
        <v xml:space="preserve">BOLÍVAR GARANTIZA DERECHOS Y CUBRE LAS NECESIDADES DE ENVEJECIMIENTO Y VEJEZ. </v>
      </c>
      <c r="D144" s="216">
        <f>'CUMPLIMIENTO '!D144</f>
        <v>7</v>
      </c>
      <c r="E144" s="216">
        <f>'CUMPLIMIENTO '!E144</f>
        <v>6</v>
      </c>
      <c r="F144" s="217">
        <f>'CUMPLIMIENTO '!G144</f>
        <v>0.38174603174603178</v>
      </c>
      <c r="G144" s="218">
        <f>'CUMPLIMIENTO '!H144</f>
        <v>0</v>
      </c>
      <c r="J144" s="77"/>
      <c r="K144" s="77"/>
    </row>
    <row r="145" spans="1:11" ht="15.75" hidden="1" x14ac:dyDescent="0.25">
      <c r="A145" s="198" t="str">
        <f>'CUMPLIMIENTO '!A145</f>
        <v>PROGRAMA</v>
      </c>
      <c r="B145" s="106" t="str">
        <f>'CUMPLIMIENTO '!B145</f>
        <v>6.5.1</v>
      </c>
      <c r="C145" s="111" t="str">
        <f>'CUMPLIMIENTO '!C145</f>
        <v>Bolívar garantiza derechos y cubre las necesidades de envejecimiento y vejez.</v>
      </c>
      <c r="D145" s="199">
        <f>'CUMPLIMIENTO '!D145</f>
        <v>7</v>
      </c>
      <c r="E145" s="199">
        <f>'CUMPLIMIENTO '!E145</f>
        <v>6</v>
      </c>
      <c r="F145" s="61">
        <f>'CUMPLIMIENTO '!G145</f>
        <v>0.38174603174603178</v>
      </c>
      <c r="G145" s="61">
        <f>'CUMPLIMIENTO '!H145</f>
        <v>0</v>
      </c>
      <c r="J145" s="77"/>
      <c r="K145" s="77"/>
    </row>
    <row r="146" spans="1:11" ht="30" hidden="1" x14ac:dyDescent="0.25">
      <c r="A146" s="202" t="str">
        <f>'CUMPLIMIENTO '!A146</f>
        <v>LINEA</v>
      </c>
      <c r="B146" s="203" t="str">
        <f>'CUMPLIMIENTO '!B146</f>
        <v>6.6</v>
      </c>
      <c r="C146" s="213" t="str">
        <f>'CUMPLIMIENTO '!C146</f>
        <v>BOLÍVAR PRIMERO GARANTIZA LA EQUIDAD DE GÉNERO Y LA AUTONOMÍA DE LA MUJER BOLIVARENSE.</v>
      </c>
      <c r="D146" s="216">
        <f>'CUMPLIMIENTO '!D146</f>
        <v>9</v>
      </c>
      <c r="E146" s="216">
        <f>'CUMPLIMIENTO '!E146</f>
        <v>8</v>
      </c>
      <c r="F146" s="217">
        <f>'CUMPLIMIENTO '!G146</f>
        <v>0.44444444444444442</v>
      </c>
      <c r="G146" s="218">
        <f>'CUMPLIMIENTO '!H146</f>
        <v>0.25</v>
      </c>
      <c r="J146" s="77"/>
      <c r="K146" s="77"/>
    </row>
    <row r="147" spans="1:11" ht="15.75" hidden="1" x14ac:dyDescent="0.25">
      <c r="A147" s="198" t="str">
        <f>'CUMPLIMIENTO '!A147</f>
        <v>PROGRAMA</v>
      </c>
      <c r="B147" s="106" t="str">
        <f>'CUMPLIMIENTO '!B147</f>
        <v>6.6.1</v>
      </c>
      <c r="C147" s="111" t="str">
        <f>'CUMPLIMIENTO '!C147</f>
        <v>Mujer Bolivarense</v>
      </c>
      <c r="D147" s="199">
        <f>'CUMPLIMIENTO '!D147</f>
        <v>9</v>
      </c>
      <c r="E147" s="199">
        <f>'CUMPLIMIENTO '!E147</f>
        <v>8</v>
      </c>
      <c r="F147" s="61">
        <f>'CUMPLIMIENTO '!G147</f>
        <v>0.44444444444444442</v>
      </c>
      <c r="G147" s="61">
        <f>'CUMPLIMIENTO '!H147</f>
        <v>0.25</v>
      </c>
      <c r="J147" s="77"/>
      <c r="K147" s="77"/>
    </row>
    <row r="148" spans="1:11" ht="15.75" hidden="1" x14ac:dyDescent="0.25">
      <c r="A148" s="202" t="str">
        <f>'CUMPLIMIENTO '!A148</f>
        <v>LINEA</v>
      </c>
      <c r="B148" s="203" t="str">
        <f>'CUMPLIMIENTO '!B148</f>
        <v>6.7</v>
      </c>
      <c r="C148" s="202" t="str">
        <f>'CUMPLIMIENTO '!C148</f>
        <v>CAPITULO LGTBIQ</v>
      </c>
      <c r="D148" s="216">
        <f>'CUMPLIMIENTO '!D148</f>
        <v>4</v>
      </c>
      <c r="E148" s="216">
        <f>'CUMPLIMIENTO '!E148</f>
        <v>4</v>
      </c>
      <c r="F148" s="217">
        <f>'CUMPLIMIENTO '!G148</f>
        <v>0.47291666666666665</v>
      </c>
      <c r="G148" s="218">
        <f>'CUMPLIMIENTO '!H148</f>
        <v>0.14583333333333331</v>
      </c>
      <c r="J148" s="150"/>
      <c r="K148" s="150"/>
    </row>
    <row r="149" spans="1:11" ht="15.75" hidden="1" x14ac:dyDescent="0.25">
      <c r="A149" s="198" t="str">
        <f>'CUMPLIMIENTO '!A149</f>
        <v>PROGRAMA</v>
      </c>
      <c r="B149" s="106" t="str">
        <f>'CUMPLIMIENTO '!B149</f>
        <v>6.7.1</v>
      </c>
      <c r="C149" s="111" t="str">
        <f>'CUMPLIMIENTO '!C149</f>
        <v>LGTBIQ</v>
      </c>
      <c r="D149" s="199">
        <f>'CUMPLIMIENTO '!D149</f>
        <v>4</v>
      </c>
      <c r="E149" s="199">
        <f>'CUMPLIMIENTO '!E149</f>
        <v>4</v>
      </c>
      <c r="F149" s="61">
        <f>'CUMPLIMIENTO '!G149</f>
        <v>0.47291666666666665</v>
      </c>
      <c r="G149" s="61">
        <f>'CUMPLIMIENTO '!H149</f>
        <v>0.14583333333333331</v>
      </c>
    </row>
    <row r="150" spans="1:11" ht="15.75" hidden="1" x14ac:dyDescent="0.25">
      <c r="A150" s="202" t="str">
        <f>'CUMPLIMIENTO '!A150</f>
        <v>LINEA</v>
      </c>
      <c r="B150" s="203" t="str">
        <f>'CUMPLIMIENTO '!B150</f>
        <v>6.8</v>
      </c>
      <c r="C150" s="202" t="str">
        <f>'CUMPLIMIENTO '!C150</f>
        <v>CAPITULO POBLACIÓN EN SITUACIÓN DE DISCAPACIDAD</v>
      </c>
      <c r="D150" s="216">
        <f>'CUMPLIMIENTO '!D150</f>
        <v>2</v>
      </c>
      <c r="E150" s="216">
        <f>'CUMPLIMIENTO '!E150</f>
        <v>2</v>
      </c>
      <c r="F150" s="217">
        <f>'CUMPLIMIENTO '!G150</f>
        <v>0.2</v>
      </c>
      <c r="G150" s="218">
        <f>'CUMPLIMIENTO '!H150</f>
        <v>0.31666666666666665</v>
      </c>
    </row>
    <row r="151" spans="1:11" ht="15.75" hidden="1" x14ac:dyDescent="0.25">
      <c r="A151" s="198" t="str">
        <f>'CUMPLIMIENTO '!A151</f>
        <v>PROGRAMA</v>
      </c>
      <c r="B151" s="106" t="str">
        <f>'CUMPLIMIENTO '!B151</f>
        <v>6.8.1</v>
      </c>
      <c r="C151" s="111" t="str">
        <f>'CUMPLIMIENTO '!C151</f>
        <v>Población en situación de discapacidad</v>
      </c>
      <c r="D151" s="199">
        <f>'CUMPLIMIENTO '!D151</f>
        <v>2</v>
      </c>
      <c r="E151" s="199">
        <f>'CUMPLIMIENTO '!E151</f>
        <v>2</v>
      </c>
      <c r="F151" s="61">
        <f>'CUMPLIMIENTO '!G151</f>
        <v>0.2</v>
      </c>
      <c r="G151" s="61">
        <f>'CUMPLIMIENTO '!H151</f>
        <v>0.31666666666666665</v>
      </c>
    </row>
    <row r="152" spans="1:11" ht="15.75" hidden="1" x14ac:dyDescent="0.25">
      <c r="A152" s="202" t="str">
        <f>'CUMPLIMIENTO '!A152</f>
        <v>LINEA</v>
      </c>
      <c r="B152" s="203" t="str">
        <f>'CUMPLIMIENTO '!B152</f>
        <v>6.9</v>
      </c>
      <c r="C152" s="202" t="str">
        <f>'CUMPLIMIENTO '!C152</f>
        <v>ASUNTOS RELIGIOSOS</v>
      </c>
      <c r="D152" s="216">
        <f>'CUMPLIMIENTO '!D152</f>
        <v>2</v>
      </c>
      <c r="E152" s="216">
        <f>'CUMPLIMIENTO '!E152</f>
        <v>2</v>
      </c>
      <c r="F152" s="217">
        <f>'CUMPLIMIENTO '!G152</f>
        <v>0.15</v>
      </c>
      <c r="G152" s="218">
        <f>'CUMPLIMIENTO '!H152</f>
        <v>0.16666666666666666</v>
      </c>
    </row>
    <row r="153" spans="1:11" ht="15.75" hidden="1" x14ac:dyDescent="0.25">
      <c r="A153" s="198" t="str">
        <f>'CUMPLIMIENTO '!A153</f>
        <v>PROGRAMA</v>
      </c>
      <c r="B153" s="106" t="str">
        <f>'CUMPLIMIENTO '!B153</f>
        <v>6.9.1</v>
      </c>
      <c r="C153" s="111" t="str">
        <f>'CUMPLIMIENTO '!C153</f>
        <v>Asuntos religiosos</v>
      </c>
      <c r="D153" s="199">
        <f>'CUMPLIMIENTO '!D153</f>
        <v>2</v>
      </c>
      <c r="E153" s="199">
        <f>'CUMPLIMIENTO '!E153</f>
        <v>2</v>
      </c>
      <c r="F153" s="61">
        <f>'CUMPLIMIENTO '!G153</f>
        <v>0.15</v>
      </c>
      <c r="G153" s="61">
        <f>'CUMPLIMIENTO '!H153</f>
        <v>0.16666666666666666</v>
      </c>
    </row>
    <row r="154" spans="1:11" ht="15.75" hidden="1" x14ac:dyDescent="0.25">
      <c r="A154" s="202" t="str">
        <f>'CUMPLIMIENTO '!A154</f>
        <v>LINEA</v>
      </c>
      <c r="B154" s="203" t="str">
        <f>'CUMPLIMIENTO '!B154</f>
        <v>6.10</v>
      </c>
      <c r="C154" s="202" t="str">
        <f>'CUMPLIMIENTO '!C154</f>
        <v>SISTEMA PENITENCIARIO</v>
      </c>
      <c r="D154" s="216">
        <f>'CUMPLIMIENTO '!D154</f>
        <v>2</v>
      </c>
      <c r="E154" s="216">
        <f>'CUMPLIMIENTO '!E154</f>
        <v>2</v>
      </c>
      <c r="F154" s="217">
        <f>'CUMPLIMIENTO '!G154</f>
        <v>0</v>
      </c>
      <c r="G154" s="218">
        <f>'CUMPLIMIENTO '!H154</f>
        <v>0</v>
      </c>
    </row>
    <row r="155" spans="1:11" ht="15.75" hidden="1" x14ac:dyDescent="0.25">
      <c r="A155" s="198" t="str">
        <f>'CUMPLIMIENTO '!A155</f>
        <v>PROGRAMA</v>
      </c>
      <c r="B155" s="106" t="str">
        <f>'CUMPLIMIENTO '!B155</f>
        <v>6.10.1</v>
      </c>
      <c r="C155" s="111" t="str">
        <f>'CUMPLIMIENTO '!C155</f>
        <v>Sistema Penitenciario</v>
      </c>
      <c r="D155" s="199">
        <f>'CUMPLIMIENTO '!D155</f>
        <v>2</v>
      </c>
      <c r="E155" s="199">
        <f>'CUMPLIMIENTO '!E155</f>
        <v>2</v>
      </c>
      <c r="F155" s="61">
        <f>'CUMPLIMIENTO '!G155</f>
        <v>0</v>
      </c>
      <c r="G155" s="61">
        <f>'CUMPLIMIENTO '!H155</f>
        <v>0</v>
      </c>
    </row>
    <row r="157" spans="1:11" ht="23.25" x14ac:dyDescent="0.35">
      <c r="A157" s="625" t="str">
        <f>C11</f>
        <v>BOLIVAR PROGRESA, SUPERACIÓN DE LA POBREZA</v>
      </c>
      <c r="B157" s="625"/>
      <c r="C157" s="625"/>
      <c r="D157" s="625"/>
      <c r="E157" s="625"/>
      <c r="F157" s="625"/>
      <c r="G157" s="625"/>
    </row>
    <row r="180" spans="2:11" ht="18.75" x14ac:dyDescent="0.3">
      <c r="I180" s="518"/>
      <c r="J180" s="522" t="s">
        <v>2033</v>
      </c>
      <c r="K180" s="522" t="s">
        <v>2034</v>
      </c>
    </row>
    <row r="181" spans="2:11" x14ac:dyDescent="0.25">
      <c r="B181"/>
      <c r="C181"/>
      <c r="I181" s="519"/>
      <c r="J181" s="523" t="s">
        <v>2035</v>
      </c>
      <c r="K181" s="517" t="s">
        <v>2037</v>
      </c>
    </row>
    <row r="182" spans="2:11" x14ac:dyDescent="0.25">
      <c r="B182"/>
      <c r="C182"/>
      <c r="I182" s="520"/>
      <c r="J182" s="523" t="s">
        <v>2041</v>
      </c>
      <c r="K182" s="517" t="s">
        <v>2042</v>
      </c>
    </row>
    <row r="183" spans="2:11" x14ac:dyDescent="0.25">
      <c r="B183"/>
      <c r="C183"/>
      <c r="I183" s="521"/>
      <c r="J183" s="523" t="s">
        <v>2040</v>
      </c>
      <c r="K183" s="517" t="s">
        <v>2039</v>
      </c>
    </row>
    <row r="184" spans="2:11" x14ac:dyDescent="0.25">
      <c r="B184"/>
      <c r="C184"/>
    </row>
    <row r="185" spans="2:11" x14ac:dyDescent="0.25">
      <c r="B185"/>
      <c r="C185"/>
    </row>
    <row r="186" spans="2:11" x14ac:dyDescent="0.25">
      <c r="B186"/>
      <c r="C186"/>
    </row>
    <row r="187" spans="2:11" x14ac:dyDescent="0.25">
      <c r="B187"/>
      <c r="C187"/>
    </row>
    <row r="188" spans="2:11" x14ac:dyDescent="0.25">
      <c r="B188"/>
      <c r="C188"/>
    </row>
    <row r="189" spans="2:11" x14ac:dyDescent="0.25">
      <c r="B189"/>
      <c r="C189"/>
    </row>
  </sheetData>
  <autoFilter ref="A9:G155" xr:uid="{A9C5D684-4882-4199-835C-A4262CB1F79C}">
    <filterColumn colId="1">
      <filters>
        <filter val="1"/>
        <filter val="1.1"/>
        <filter val="1.2"/>
        <filter val="1.3"/>
        <filter val="1.4"/>
        <filter val="1.5"/>
        <filter val="1.6"/>
      </filters>
    </filterColumn>
  </autoFilter>
  <mergeCells count="2">
    <mergeCell ref="A3:D6"/>
    <mergeCell ref="A157:G157"/>
  </mergeCells>
  <printOptions horizontalCentered="1"/>
  <pageMargins left="0.51181102362204722" right="0.51181102362204722" top="0" bottom="0" header="0.11811023622047245" footer="0.11811023622047245"/>
  <pageSetup scale="8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112C0-61CD-4431-94F8-37B5E301DC2C}">
  <sheetPr codeName="Hoja8" filterMode="1">
    <pageSetUpPr fitToPage="1"/>
  </sheetPr>
  <dimension ref="A3:K190"/>
  <sheetViews>
    <sheetView topLeftCell="A67" zoomScale="90" zoomScaleNormal="90" workbookViewId="0">
      <selection activeCell="K189" sqref="K189"/>
    </sheetView>
  </sheetViews>
  <sheetFormatPr baseColWidth="10" defaultRowHeight="15" x14ac:dyDescent="0.25"/>
  <cols>
    <col min="1" max="1" width="23.5703125" customWidth="1"/>
    <col min="2" max="2" width="8.28515625" style="214" customWidth="1"/>
    <col min="3" max="3" width="70.7109375" style="109" customWidth="1"/>
    <col min="4" max="6" width="14.7109375" customWidth="1"/>
    <col min="7" max="7" width="11" customWidth="1"/>
    <col min="8" max="8" width="15.5703125" customWidth="1"/>
    <col min="9" max="9" width="13.7109375" customWidth="1"/>
  </cols>
  <sheetData>
    <row r="3" spans="1:9" x14ac:dyDescent="0.25">
      <c r="A3" s="623" t="s">
        <v>2023</v>
      </c>
      <c r="B3" s="624"/>
      <c r="C3" s="624"/>
      <c r="D3" s="624"/>
    </row>
    <row r="4" spans="1:9" x14ac:dyDescent="0.25">
      <c r="A4" s="624"/>
      <c r="B4" s="624"/>
      <c r="C4" s="624"/>
      <c r="D4" s="624"/>
    </row>
    <row r="5" spans="1:9" x14ac:dyDescent="0.25">
      <c r="A5" s="624"/>
      <c r="B5" s="624"/>
      <c r="C5" s="624"/>
      <c r="D5" s="624"/>
    </row>
    <row r="6" spans="1:9" x14ac:dyDescent="0.25">
      <c r="A6" s="624"/>
      <c r="B6" s="624"/>
      <c r="C6" s="624"/>
      <c r="D6" s="624"/>
    </row>
    <row r="7" spans="1:9" x14ac:dyDescent="0.25">
      <c r="A7" t="s">
        <v>1836</v>
      </c>
      <c r="B7" s="214" t="s">
        <v>2022</v>
      </c>
    </row>
    <row r="8" spans="1:9" x14ac:dyDescent="0.25">
      <c r="A8" t="s">
        <v>1837</v>
      </c>
      <c r="B8" s="214" t="s">
        <v>1838</v>
      </c>
    </row>
    <row r="9" spans="1:9" ht="63" x14ac:dyDescent="0.25">
      <c r="A9" s="201" t="s">
        <v>1834</v>
      </c>
      <c r="B9" s="201" t="s">
        <v>1833</v>
      </c>
      <c r="C9" s="201" t="s">
        <v>1835</v>
      </c>
      <c r="D9" s="201" t="s">
        <v>1813</v>
      </c>
      <c r="E9" s="201" t="s">
        <v>1814</v>
      </c>
      <c r="F9" s="496" t="s">
        <v>1811</v>
      </c>
      <c r="G9" s="497" t="s">
        <v>2030</v>
      </c>
    </row>
    <row r="10" spans="1:9" ht="21" hidden="1" x14ac:dyDescent="0.35">
      <c r="A10" s="192" t="str">
        <f>'CUMPLIMIENTO '!A10</f>
        <v>PDD</v>
      </c>
      <c r="B10" s="215">
        <f>'CUMPLIMIENTO '!B10</f>
        <v>0</v>
      </c>
      <c r="C10" s="193" t="str">
        <f>'CUMPLIMIENTO '!C10</f>
        <v>BOLIVAR PRIMERO 2020 - 2023</v>
      </c>
      <c r="D10" s="219">
        <f>'CUMPLIMIENTO '!D10</f>
        <v>554</v>
      </c>
      <c r="E10" s="219">
        <f>'CUMPLIMIENTO '!E10</f>
        <v>388</v>
      </c>
      <c r="F10" s="220">
        <f>'CUMPLIMIENTO '!G10</f>
        <v>0.26338387305792299</v>
      </c>
      <c r="G10" s="220">
        <f>'CUMPLIMIENTO '!H10</f>
        <v>0.28726565544596755</v>
      </c>
    </row>
    <row r="11" spans="1:9" ht="18.75" hidden="1" x14ac:dyDescent="0.25">
      <c r="A11" s="222" t="str">
        <f>'CUMPLIMIENTO '!A11</f>
        <v>EJE ESTRATEGICO</v>
      </c>
      <c r="B11" s="223">
        <f>'CUMPLIMIENTO '!B11</f>
        <v>1</v>
      </c>
      <c r="C11" s="222" t="str">
        <f>'CUMPLIMIENTO '!C11</f>
        <v>BOLIVAR PROGRESA, SUPERACIÓN DE LA POBREZA</v>
      </c>
      <c r="D11" s="224">
        <f>'CUMPLIMIENTO '!D11</f>
        <v>219</v>
      </c>
      <c r="E11" s="224">
        <f>'CUMPLIMIENTO '!E11</f>
        <v>188</v>
      </c>
      <c r="F11" s="225">
        <f>'CUMPLIMIENTO '!G11</f>
        <v>0.28346507642507995</v>
      </c>
      <c r="G11" s="225">
        <f>'CUMPLIMIENTO '!H11</f>
        <v>0.33973499765782816</v>
      </c>
    </row>
    <row r="12" spans="1:9" s="110" customFormat="1" ht="15.75" hidden="1" x14ac:dyDescent="0.25">
      <c r="A12" s="202" t="str">
        <f>'CUMPLIMIENTO '!A12</f>
        <v>LINEA</v>
      </c>
      <c r="B12" s="203" t="str">
        <f>'CUMPLIMIENTO '!B12</f>
        <v xml:space="preserve">1.1 </v>
      </c>
      <c r="C12" s="202" t="str">
        <f>'CUMPLIMIENTO '!C12</f>
        <v>PLAN DEPARTAMENTAL DE EMERGENCIA SOCIAL PARA LA IGUALDAD Y LA INCLUSIÓN</v>
      </c>
      <c r="D12" s="216">
        <f>'CUMPLIMIENTO '!D12</f>
        <v>14</v>
      </c>
      <c r="E12" s="216">
        <f>'CUMPLIMIENTO '!E12</f>
        <v>6</v>
      </c>
      <c r="F12" s="217">
        <f>'CUMPLIMIENTO '!G12</f>
        <v>0.10410714285714286</v>
      </c>
      <c r="G12" s="218">
        <f>'CUMPLIMIENTO '!H12</f>
        <v>0.33333333333333331</v>
      </c>
      <c r="I12"/>
    </row>
    <row r="13" spans="1:9" s="110" customFormat="1" ht="30" hidden="1" x14ac:dyDescent="0.25">
      <c r="A13" s="208" t="str">
        <f>'CUMPLIMIENTO '!A13</f>
        <v>PROGRAMA</v>
      </c>
      <c r="B13" s="209" t="str">
        <f>'CUMPLIMIENTO '!B13</f>
        <v>1.1.1</v>
      </c>
      <c r="C13" s="210" t="str">
        <f>'CUMPLIMIENTO '!C13</f>
        <v>Plan departamental de emergencia social para la igualdad y la inclusión PLADES.</v>
      </c>
      <c r="D13" s="211">
        <f>'CUMPLIMIENTO '!D13</f>
        <v>14</v>
      </c>
      <c r="E13" s="211">
        <f>'CUMPLIMIENTO '!E13</f>
        <v>6</v>
      </c>
      <c r="F13" s="212">
        <f>'CUMPLIMIENTO '!G13</f>
        <v>0.10410714285714286</v>
      </c>
      <c r="G13" s="212">
        <f>'CUMPLIMIENTO '!H13</f>
        <v>0.33333333333333331</v>
      </c>
      <c r="I13"/>
    </row>
    <row r="14" spans="1:9" ht="15.75" hidden="1" x14ac:dyDescent="0.25">
      <c r="A14" s="251" t="str">
        <f>'CUMPLIMIENTO '!A14</f>
        <v>LINEA</v>
      </c>
      <c r="B14" s="252" t="str">
        <f>'CUMPLIMIENTO '!B14</f>
        <v xml:space="preserve">1.2 </v>
      </c>
      <c r="C14" s="251" t="str">
        <f>'CUMPLIMIENTO '!C14</f>
        <v>BOLÍVAR PRIMERO EDUCA</v>
      </c>
      <c r="D14" s="253">
        <f>'CUMPLIMIENTO '!D14</f>
        <v>43</v>
      </c>
      <c r="E14" s="253">
        <f>'CUMPLIMIENTO '!E14</f>
        <v>34</v>
      </c>
      <c r="F14" s="254">
        <f>'CUMPLIMIENTO '!G14</f>
        <v>0.380217289810165</v>
      </c>
      <c r="G14" s="255">
        <f>'CUMPLIMIENTO '!H14</f>
        <v>0.35092007988259732</v>
      </c>
    </row>
    <row r="15" spans="1:9" ht="15.75" hidden="1" x14ac:dyDescent="0.25">
      <c r="A15" s="198" t="str">
        <f>'CUMPLIMIENTO '!A15</f>
        <v>PROGRAMA</v>
      </c>
      <c r="B15" s="106" t="str">
        <f>'CUMPLIMIENTO '!B15</f>
        <v>1.2.1</v>
      </c>
      <c r="C15" s="111" t="str">
        <f>'CUMPLIMIENTO '!C15</f>
        <v>Bolívar Primero en calidad educativa.</v>
      </c>
      <c r="D15" s="199">
        <f>'CUMPLIMIENTO '!D15</f>
        <v>21</v>
      </c>
      <c r="E15" s="199">
        <f>'CUMPLIMIENTO '!E15</f>
        <v>15</v>
      </c>
      <c r="F15" s="61">
        <f>'CUMPLIMIENTO '!G15</f>
        <v>0.34098599173680866</v>
      </c>
      <c r="G15" s="61">
        <f>'CUMPLIMIENTO '!H15</f>
        <v>0.12839000155255395</v>
      </c>
    </row>
    <row r="16" spans="1:9" ht="15.75" hidden="1" x14ac:dyDescent="0.25">
      <c r="A16" s="198" t="str">
        <f>'CUMPLIMIENTO '!A16</f>
        <v>PROGRAMA</v>
      </c>
      <c r="B16" s="106" t="str">
        <f>'CUMPLIMIENTO '!B16</f>
        <v>1.2.2</v>
      </c>
      <c r="C16" s="111" t="str">
        <f>'CUMPLIMIENTO '!C16</f>
        <v>Bolívar primero en cobertura.</v>
      </c>
      <c r="D16" s="199">
        <f>'CUMPLIMIENTO '!D16</f>
        <v>8</v>
      </c>
      <c r="E16" s="199">
        <f>'CUMPLIMIENTO '!E16</f>
        <v>7</v>
      </c>
      <c r="F16" s="61">
        <f>'CUMPLIMIENTO '!G16</f>
        <v>0.38777812259164557</v>
      </c>
      <c r="G16" s="61">
        <f>'CUMPLIMIENTO '!H16</f>
        <v>0.40960833333333335</v>
      </c>
    </row>
    <row r="17" spans="1:7" ht="15.75" hidden="1" x14ac:dyDescent="0.25">
      <c r="A17" s="198" t="str">
        <f>'CUMPLIMIENTO '!A17</f>
        <v>PROGRAMA</v>
      </c>
      <c r="B17" s="106" t="str">
        <f>'CUMPLIMIENTO '!B17</f>
        <v>1.2.3</v>
      </c>
      <c r="C17" s="111" t="str">
        <f>'CUMPLIMIENTO '!C17</f>
        <v>Bolívar primero en eficiencia y fortalecimiento institucional de la educación</v>
      </c>
      <c r="D17" s="199">
        <f>'CUMPLIMIENTO '!D17</f>
        <v>14</v>
      </c>
      <c r="E17" s="199">
        <f>'CUMPLIMIENTO '!E17</f>
        <v>12</v>
      </c>
      <c r="F17" s="61">
        <f>'CUMPLIMIENTO '!G17</f>
        <v>0.41188775510204084</v>
      </c>
      <c r="G17" s="61">
        <f>'CUMPLIMIENTO '!H17</f>
        <v>0.51476190476190475</v>
      </c>
    </row>
    <row r="18" spans="1:7" ht="15.75" hidden="1" x14ac:dyDescent="0.25">
      <c r="A18" s="202" t="str">
        <f>'CUMPLIMIENTO '!A18</f>
        <v>LINEA</v>
      </c>
      <c r="B18" s="203" t="str">
        <f>'CUMPLIMIENTO '!B18</f>
        <v>1.3</v>
      </c>
      <c r="C18" s="202" t="str">
        <f>'CUMPLIMIENTO '!C18</f>
        <v>BOLIVAR PRIMERO EN SALUD</v>
      </c>
      <c r="D18" s="216">
        <f>'CUMPLIMIENTO '!D18</f>
        <v>100</v>
      </c>
      <c r="E18" s="216">
        <f>'CUMPLIMIENTO '!E18</f>
        <v>100</v>
      </c>
      <c r="F18" s="217">
        <f>'CUMPLIMIENTO '!G18</f>
        <v>0.28725768020702352</v>
      </c>
      <c r="G18" s="218">
        <f>'CUMPLIMIENTO '!H18</f>
        <v>0.12644126449682005</v>
      </c>
    </row>
    <row r="19" spans="1:7" ht="15.75" hidden="1" x14ac:dyDescent="0.25">
      <c r="A19" s="198" t="str">
        <f>'CUMPLIMIENTO '!A19</f>
        <v>PROGRAMA</v>
      </c>
      <c r="B19" s="106" t="str">
        <f>'CUMPLIMIENTO '!B19</f>
        <v xml:space="preserve">1.3.1 </v>
      </c>
      <c r="C19" s="111" t="str">
        <f>'CUMPLIMIENTO '!C19</f>
        <v>Salud Ambiental</v>
      </c>
      <c r="D19" s="199">
        <f>'CUMPLIMIENTO '!D19</f>
        <v>6</v>
      </c>
      <c r="E19" s="199">
        <f>'CUMPLIMIENTO '!E19</f>
        <v>6</v>
      </c>
      <c r="F19" s="61">
        <f>'CUMPLIMIENTO '!G19</f>
        <v>0.30396365309408785</v>
      </c>
      <c r="G19" s="61">
        <f>'CUMPLIMIENTO '!H19</f>
        <v>8.8888888888888889E-3</v>
      </c>
    </row>
    <row r="20" spans="1:7" ht="15.75" hidden="1" x14ac:dyDescent="0.25">
      <c r="A20" s="198" t="str">
        <f>'CUMPLIMIENTO '!A20</f>
        <v>PROGRAMA</v>
      </c>
      <c r="B20" s="106" t="str">
        <f>'CUMPLIMIENTO '!B20</f>
        <v>1.3.2</v>
      </c>
      <c r="C20" s="111" t="str">
        <f>'CUMPLIMIENTO '!C20</f>
        <v>Vida Saludables y Condiciones no Transmisibles</v>
      </c>
      <c r="D20" s="199">
        <f>'CUMPLIMIENTO '!D20</f>
        <v>6</v>
      </c>
      <c r="E20" s="199">
        <f>'CUMPLIMIENTO '!E20</f>
        <v>6</v>
      </c>
      <c r="F20" s="61">
        <f>'CUMPLIMIENTO '!G20</f>
        <v>0.17453703703703705</v>
      </c>
      <c r="G20" s="61">
        <f>'CUMPLIMIENTO '!H20</f>
        <v>0</v>
      </c>
    </row>
    <row r="21" spans="1:7" ht="15.75" hidden="1" x14ac:dyDescent="0.25">
      <c r="A21" s="198" t="str">
        <f>'CUMPLIMIENTO '!A21</f>
        <v>PROGRAMA</v>
      </c>
      <c r="B21" s="106" t="str">
        <f>'CUMPLIMIENTO '!B21</f>
        <v>1.3.3</v>
      </c>
      <c r="C21" s="111" t="str">
        <f>'CUMPLIMIENTO '!C21</f>
        <v xml:space="preserve">Convivencia Social y Salud Mental </v>
      </c>
      <c r="D21" s="199">
        <f>'CUMPLIMIENTO '!D21</f>
        <v>4</v>
      </c>
      <c r="E21" s="199">
        <f>'CUMPLIMIENTO '!E21</f>
        <v>4</v>
      </c>
      <c r="F21" s="61">
        <f>'CUMPLIMIENTO '!G21</f>
        <v>0.22361111111111109</v>
      </c>
      <c r="G21" s="61">
        <f>'CUMPLIMIENTO '!H21</f>
        <v>6.1111111111111109E-2</v>
      </c>
    </row>
    <row r="22" spans="1:7" ht="15.75" hidden="1" x14ac:dyDescent="0.25">
      <c r="A22" s="198" t="str">
        <f>'CUMPLIMIENTO '!A22</f>
        <v>PROGRAMA</v>
      </c>
      <c r="B22" s="106" t="str">
        <f>'CUMPLIMIENTO '!B22</f>
        <v>1.3.4</v>
      </c>
      <c r="C22" s="111" t="str">
        <f>'CUMPLIMIENTO '!C22</f>
        <v>Seguridad Alimentaria y Nutricional</v>
      </c>
      <c r="D22" s="199">
        <f>'CUMPLIMIENTO '!D22</f>
        <v>9</v>
      </c>
      <c r="E22" s="199">
        <f>'CUMPLIMIENTO '!E22</f>
        <v>8</v>
      </c>
      <c r="F22" s="61">
        <f>'CUMPLIMIENTO '!G22</f>
        <v>0.16396604938271606</v>
      </c>
      <c r="G22" s="61">
        <f>'CUMPLIMIENTO '!H22</f>
        <v>7.407407407407407E-2</v>
      </c>
    </row>
    <row r="23" spans="1:7" ht="15.75" hidden="1" x14ac:dyDescent="0.25">
      <c r="A23" s="198" t="str">
        <f>'CUMPLIMIENTO '!A23</f>
        <v>PROGRAMA</v>
      </c>
      <c r="B23" s="106" t="str">
        <f>'CUMPLIMIENTO '!B23</f>
        <v>1.3.5</v>
      </c>
      <c r="C23" s="111" t="str">
        <f>'CUMPLIMIENTO '!C23</f>
        <v>Sexualidad, Derechos Sexuales y Reproductivos</v>
      </c>
      <c r="D23" s="199">
        <f>'CUMPLIMIENTO '!D23</f>
        <v>6</v>
      </c>
      <c r="E23" s="199">
        <f>'CUMPLIMIENTO '!E23</f>
        <v>6</v>
      </c>
      <c r="F23" s="61">
        <f>'CUMPLIMIENTO '!G23</f>
        <v>0.61435185185185182</v>
      </c>
      <c r="G23" s="61">
        <f>'CUMPLIMIENTO '!H23</f>
        <v>0.11851851851851848</v>
      </c>
    </row>
    <row r="24" spans="1:7" ht="15.75" hidden="1" x14ac:dyDescent="0.25">
      <c r="A24" s="198" t="str">
        <f>'CUMPLIMIENTO '!A24</f>
        <v>PROGRAMA</v>
      </c>
      <c r="B24" s="106" t="str">
        <f>'CUMPLIMIENTO '!B24</f>
        <v>1.3.6</v>
      </c>
      <c r="C24" s="111" t="str">
        <f>'CUMPLIMIENTO '!C24</f>
        <v>Vida Saludable y Enfermedades transmisibles</v>
      </c>
      <c r="D24" s="199">
        <f>'CUMPLIMIENTO '!D24</f>
        <v>10</v>
      </c>
      <c r="E24" s="199">
        <f>'CUMPLIMIENTO '!E24</f>
        <v>11</v>
      </c>
      <c r="F24" s="61">
        <f>'CUMPLIMIENTO '!G24</f>
        <v>0.38444444444444448</v>
      </c>
      <c r="G24" s="61">
        <f>'CUMPLIMIENTO '!H24</f>
        <v>0.35833333333333334</v>
      </c>
    </row>
    <row r="25" spans="1:7" ht="15.75" hidden="1" x14ac:dyDescent="0.25">
      <c r="A25" s="198" t="str">
        <f>'CUMPLIMIENTO '!A25</f>
        <v>PROGRAMA</v>
      </c>
      <c r="B25" s="106" t="str">
        <f>'CUMPLIMIENTO '!B25</f>
        <v>1.3.7</v>
      </c>
      <c r="C25" s="111" t="str">
        <f>'CUMPLIMIENTO '!C25</f>
        <v>Salud Publica en Emergencias y Desastres</v>
      </c>
      <c r="D25" s="199">
        <f>'CUMPLIMIENTO '!D25</f>
        <v>5</v>
      </c>
      <c r="E25" s="199">
        <f>'CUMPLIMIENTO '!E25</f>
        <v>4</v>
      </c>
      <c r="F25" s="61">
        <f>'CUMPLIMIENTO '!G25</f>
        <v>0.27913043478260868</v>
      </c>
      <c r="G25" s="61">
        <f>'CUMPLIMIENTO '!H25</f>
        <v>0.25</v>
      </c>
    </row>
    <row r="26" spans="1:7" ht="15.75" hidden="1" x14ac:dyDescent="0.25">
      <c r="A26" s="198" t="str">
        <f>'CUMPLIMIENTO '!A26</f>
        <v>PROGRAMA</v>
      </c>
      <c r="B26" s="106" t="str">
        <f>'CUMPLIMIENTO '!B26</f>
        <v>1.3.8</v>
      </c>
      <c r="C26" s="111" t="str">
        <f>'CUMPLIMIENTO '!C26</f>
        <v>Salud y Ambito Laboral</v>
      </c>
      <c r="D26" s="199">
        <f>'CUMPLIMIENTO '!D26</f>
        <v>4</v>
      </c>
      <c r="E26" s="199">
        <f>'CUMPLIMIENTO '!E26</f>
        <v>4</v>
      </c>
      <c r="F26" s="61">
        <f>'CUMPLIMIENTO '!G26</f>
        <v>0.21906565656565657</v>
      </c>
      <c r="G26" s="61">
        <f>'CUMPLIMIENTO '!H26</f>
        <v>0.25</v>
      </c>
    </row>
    <row r="27" spans="1:7" ht="15.75" hidden="1" x14ac:dyDescent="0.25">
      <c r="A27" s="198" t="str">
        <f>'CUMPLIMIENTO '!A27</f>
        <v>PROGRAMA</v>
      </c>
      <c r="B27" s="106" t="str">
        <f>'CUMPLIMIENTO '!B27</f>
        <v>1.3.9</v>
      </c>
      <c r="C27" s="111" t="str">
        <f>'CUMPLIMIENTO '!C27</f>
        <v>Gestión Diferencial de las Poblaciones Vulnerables</v>
      </c>
      <c r="D27" s="199">
        <f>'CUMPLIMIENTO '!D27</f>
        <v>22</v>
      </c>
      <c r="E27" s="199">
        <f>'CUMPLIMIENTO '!E27</f>
        <v>22</v>
      </c>
      <c r="F27" s="61">
        <f>'CUMPLIMIENTO '!G27</f>
        <v>0.22224888359369785</v>
      </c>
      <c r="G27" s="61">
        <f>'CUMPLIMIENTO '!H27</f>
        <v>1.7045454545454544E-2</v>
      </c>
    </row>
    <row r="28" spans="1:7" ht="15.75" hidden="1" x14ac:dyDescent="0.25">
      <c r="A28" s="198" t="str">
        <f>'CUMPLIMIENTO '!A28</f>
        <v>PROGRAMA</v>
      </c>
      <c r="B28" s="106" t="str">
        <f>'CUMPLIMIENTO '!B28</f>
        <v>1.3.10</v>
      </c>
      <c r="C28" s="111" t="str">
        <f>'CUMPLIMIENTO '!C28</f>
        <v>Fortalecimiento de la Autoridad Sanitaria en Salud</v>
      </c>
      <c r="D28" s="199">
        <f>'CUMPLIMIENTO '!D28</f>
        <v>28</v>
      </c>
      <c r="E28" s="200">
        <f>'CUMPLIMIENTO '!E28</f>
        <v>29</v>
      </c>
      <c r="F28" s="61">
        <f>'CUMPLIMIENTO '!G28</f>
        <v>0.29796334722086598</v>
      </c>
      <c r="G28" s="61">
        <f>'CUMPLIMIENTO '!H28</f>
        <v>0.29579782790309106</v>
      </c>
    </row>
    <row r="29" spans="1:7" ht="15.75" hidden="1" x14ac:dyDescent="0.25">
      <c r="A29" s="251" t="str">
        <f>'CUMPLIMIENTO '!A29</f>
        <v>LINEA</v>
      </c>
      <c r="B29" s="252" t="str">
        <f>'CUMPLIMIENTO '!B29</f>
        <v>1.4</v>
      </c>
      <c r="C29" s="251" t="str">
        <f>'CUMPLIMIENTO '!C29</f>
        <v>HÁBITAT</v>
      </c>
      <c r="D29" s="253">
        <f>'CUMPLIMIENTO '!D29</f>
        <v>8</v>
      </c>
      <c r="E29" s="253">
        <f>'CUMPLIMIENTO '!E29</f>
        <v>5</v>
      </c>
      <c r="F29" s="254">
        <f>'CUMPLIMIENTO '!G29</f>
        <v>0.19584814814814816</v>
      </c>
      <c r="G29" s="255">
        <f>'CUMPLIMIENTO '!H29</f>
        <v>0.63424242424242427</v>
      </c>
    </row>
    <row r="30" spans="1:7" ht="15.75" hidden="1" x14ac:dyDescent="0.25">
      <c r="A30" s="198" t="str">
        <f>'CUMPLIMIENTO '!A30</f>
        <v>PROGRAMA</v>
      </c>
      <c r="B30" s="106" t="str">
        <f>'CUMPLIMIENTO '!B30</f>
        <v>1.4.1</v>
      </c>
      <c r="C30" s="111" t="str">
        <f>'CUMPLIMIENTO '!C30</f>
        <v>Primero la vivienda</v>
      </c>
      <c r="D30" s="199">
        <f>'CUMPLIMIENTO '!D30</f>
        <v>2</v>
      </c>
      <c r="E30" s="199" t="str">
        <f>'CUMPLIMIENTO '!E30</f>
        <v>NP</v>
      </c>
      <c r="F30" s="61">
        <f>'CUMPLIMIENTO '!G30</f>
        <v>0.15540000000000001</v>
      </c>
      <c r="G30" s="61">
        <f>'CUMPLIMIENTO '!H30</f>
        <v>0.94181818181818178</v>
      </c>
    </row>
    <row r="31" spans="1:7" ht="15.75" hidden="1" x14ac:dyDescent="0.25">
      <c r="A31" s="198" t="str">
        <f>'CUMPLIMIENTO '!A31</f>
        <v>PROGRAMA</v>
      </c>
      <c r="B31" s="106" t="str">
        <f>'CUMPLIMIENTO '!B31</f>
        <v>1.4.2</v>
      </c>
      <c r="C31" s="111" t="str">
        <f>'CUMPLIMIENTO '!C31</f>
        <v>Primero el Agua</v>
      </c>
      <c r="D31" s="199">
        <f>'CUMPLIMIENTO '!D31</f>
        <v>6</v>
      </c>
      <c r="E31" s="199">
        <f>'CUMPLIMIENTO '!E31</f>
        <v>5</v>
      </c>
      <c r="F31" s="61">
        <f>'CUMPLIMIENTO '!G31</f>
        <v>0.23629629629629631</v>
      </c>
      <c r="G31" s="61">
        <f>'CUMPLIMIENTO '!H31</f>
        <v>0.32666666666666666</v>
      </c>
    </row>
    <row r="32" spans="1:7" ht="15.75" hidden="1" x14ac:dyDescent="0.25">
      <c r="A32" s="202" t="str">
        <f>'CUMPLIMIENTO '!A32</f>
        <v>LINEA</v>
      </c>
      <c r="B32" s="203" t="str">
        <f>'CUMPLIMIENTO '!B32</f>
        <v>1.5</v>
      </c>
      <c r="C32" s="202" t="str">
        <f>'CUMPLIMIENTO '!C32</f>
        <v>BOLÍVAR PRIMERO EN RECREACIÓN Y DEPORTES</v>
      </c>
      <c r="D32" s="216">
        <f>'CUMPLIMIENTO '!D32</f>
        <v>36</v>
      </c>
      <c r="E32" s="216">
        <f>'CUMPLIMIENTO '!E32</f>
        <v>31</v>
      </c>
      <c r="F32" s="217">
        <f>'CUMPLIMIENTO '!G32</f>
        <v>0.36201956749579395</v>
      </c>
      <c r="G32" s="218">
        <f>'CUMPLIMIENTO '!H32</f>
        <v>9.3472883991794042E-2</v>
      </c>
    </row>
    <row r="33" spans="1:7" ht="15.75" hidden="1" x14ac:dyDescent="0.25">
      <c r="A33" s="198" t="str">
        <f>'CUMPLIMIENTO '!A33</f>
        <v>PROGRAMA</v>
      </c>
      <c r="B33" s="106" t="str">
        <f>'CUMPLIMIENTO '!B33</f>
        <v>1.5.1</v>
      </c>
      <c r="C33" s="111" t="str">
        <f>'CUMPLIMIENTO '!C33</f>
        <v>Infraestructura Deportiva</v>
      </c>
      <c r="D33" s="199">
        <f>'CUMPLIMIENTO '!D33</f>
        <v>4</v>
      </c>
      <c r="E33" s="199">
        <f>'CUMPLIMIENTO '!E33</f>
        <v>1</v>
      </c>
      <c r="F33" s="61">
        <f>'CUMPLIMIENTO '!G33</f>
        <v>1.2500000000000001E-2</v>
      </c>
      <c r="G33" s="61">
        <f>'CUMPLIMIENTO '!H33</f>
        <v>0</v>
      </c>
    </row>
    <row r="34" spans="1:7" ht="15.75" hidden="1" x14ac:dyDescent="0.25">
      <c r="A34" s="198" t="str">
        <f>'CUMPLIMIENTO '!A34</f>
        <v>PROGRAMA</v>
      </c>
      <c r="B34" s="106" t="str">
        <f>'CUMPLIMIENTO '!B34</f>
        <v>1.5.2</v>
      </c>
      <c r="C34" s="111" t="str">
        <f>'CUMPLIMIENTO '!C34</f>
        <v>Altos logros y liderazgo deportivo Bolívar en los juegos nacionales 2023</v>
      </c>
      <c r="D34" s="199">
        <f>'CUMPLIMIENTO '!D34</f>
        <v>13</v>
      </c>
      <c r="E34" s="199">
        <f>'CUMPLIMIENTO '!E34</f>
        <v>12</v>
      </c>
      <c r="F34" s="61">
        <f>'CUMPLIMIENTO '!G34</f>
        <v>0.57189542483660138</v>
      </c>
      <c r="G34" s="61">
        <f>'CUMPLIMIENTO '!H34</f>
        <v>0.39417063728409762</v>
      </c>
    </row>
    <row r="35" spans="1:7" ht="30" hidden="1" x14ac:dyDescent="0.25">
      <c r="A35" s="198" t="str">
        <f>'CUMPLIMIENTO '!A35</f>
        <v>PROGRAMA</v>
      </c>
      <c r="B35" s="106" t="str">
        <f>'CUMPLIMIENTO '!B35</f>
        <v>1.5.3</v>
      </c>
      <c r="C35" s="111" t="str">
        <f>'CUMPLIMIENTO '!C35</f>
        <v>Deporte formativo escuelas para todos  y  Deporte formativo supérate Intercolegiados</v>
      </c>
      <c r="D35" s="199">
        <f>'CUMPLIMIENTO '!D35</f>
        <v>4</v>
      </c>
      <c r="E35" s="199">
        <f>'CUMPLIMIENTO '!E35</f>
        <v>4</v>
      </c>
      <c r="F35" s="61">
        <f>'CUMPLIMIENTO '!G35</f>
        <v>0.4841583333333333</v>
      </c>
      <c r="G35" s="61">
        <f>'CUMPLIMIENTO '!H35</f>
        <v>0</v>
      </c>
    </row>
    <row r="36" spans="1:7" ht="15.75" hidden="1" x14ac:dyDescent="0.25">
      <c r="A36" s="198" t="str">
        <f>'CUMPLIMIENTO '!A36</f>
        <v>PROGRAMA</v>
      </c>
      <c r="B36" s="106" t="str">
        <f>'CUMPLIMIENTO '!B36</f>
        <v>1.5.4</v>
      </c>
      <c r="C36" s="111" t="str">
        <f>'CUMPLIMIENTO '!C36</f>
        <v>Deporte social Comunitario</v>
      </c>
      <c r="D36" s="199">
        <f>'CUMPLIMIENTO '!D36</f>
        <v>3</v>
      </c>
      <c r="E36" s="199">
        <f>'CUMPLIMIENTO '!E36</f>
        <v>3</v>
      </c>
      <c r="F36" s="61">
        <f>'CUMPLIMIENTO '!G36</f>
        <v>0.46812996031746029</v>
      </c>
      <c r="G36" s="61">
        <f>'CUMPLIMIENTO '!H36</f>
        <v>0</v>
      </c>
    </row>
    <row r="37" spans="1:7" ht="15.75" hidden="1" x14ac:dyDescent="0.25">
      <c r="A37" s="198" t="str">
        <f>'CUMPLIMIENTO '!A37</f>
        <v>PROGRAMA</v>
      </c>
      <c r="B37" s="106" t="str">
        <f>'CUMPLIMIENTO '!B37</f>
        <v>1.5.5</v>
      </c>
      <c r="C37" s="111" t="str">
        <f>'CUMPLIMIENTO '!C37</f>
        <v>Las escuelas recreativas…un espacio lúdico del Bolívar primero</v>
      </c>
      <c r="D37" s="199">
        <f>'CUMPLIMIENTO '!D37</f>
        <v>6</v>
      </c>
      <c r="E37" s="199">
        <f>'CUMPLIMIENTO '!E37</f>
        <v>6</v>
      </c>
      <c r="F37" s="61">
        <f>'CUMPLIMIENTO '!G37</f>
        <v>0.3675913461538462</v>
      </c>
      <c r="G37" s="61">
        <f>'CUMPLIMIENTO '!H37</f>
        <v>0</v>
      </c>
    </row>
    <row r="38" spans="1:7" ht="15.75" hidden="1" x14ac:dyDescent="0.25">
      <c r="A38" s="198" t="str">
        <f>'CUMPLIMIENTO '!A38</f>
        <v>PROGRAMA</v>
      </c>
      <c r="B38" s="106" t="str">
        <f>'CUMPLIMIENTO '!B38</f>
        <v>1.5.6</v>
      </c>
      <c r="C38" s="111" t="str">
        <f>'CUMPLIMIENTO '!C38</f>
        <v>Hábitos y estilos de vida saludable “Bolívar primero…por tú salud ponte pilas</v>
      </c>
      <c r="D38" s="199">
        <f>'CUMPLIMIENTO '!D38</f>
        <v>6</v>
      </c>
      <c r="E38" s="199">
        <f>'CUMPLIMIENTO '!E38</f>
        <v>5</v>
      </c>
      <c r="F38" s="61">
        <f>'CUMPLIMIENTO '!G38</f>
        <v>0.26784234033352255</v>
      </c>
      <c r="G38" s="61">
        <f>'CUMPLIMIENTO '!H38</f>
        <v>0.16666666666666666</v>
      </c>
    </row>
    <row r="39" spans="1:7" ht="15.75" hidden="1" x14ac:dyDescent="0.25">
      <c r="A39" s="251" t="str">
        <f>'CUMPLIMIENTO '!A39</f>
        <v>LINEA</v>
      </c>
      <c r="B39" s="252" t="str">
        <f>'CUMPLIMIENTO '!B39</f>
        <v>1.6</v>
      </c>
      <c r="C39" s="251" t="str">
        <f>'CUMPLIMIENTO '!C39</f>
        <v>BOLÍVAR PROMUEVE EL ARTE, LA CULTURA Y SALVAGUARDA SU PATRIMONIO</v>
      </c>
      <c r="D39" s="253">
        <f>'CUMPLIMIENTO '!D39</f>
        <v>18</v>
      </c>
      <c r="E39" s="253">
        <f>'CUMPLIMIENTO '!E39</f>
        <v>12</v>
      </c>
      <c r="F39" s="254">
        <f>'CUMPLIMIENTO '!G39</f>
        <v>0.37134063003220613</v>
      </c>
      <c r="G39" s="255">
        <f>'CUMPLIMIENTO '!H39</f>
        <v>0.5</v>
      </c>
    </row>
    <row r="40" spans="1:7" ht="15.75" hidden="1" x14ac:dyDescent="0.25">
      <c r="A40" s="198" t="str">
        <f>'CUMPLIMIENTO '!A40</f>
        <v>PROGRAMA</v>
      </c>
      <c r="B40" s="106" t="str">
        <f>'CUMPLIMIENTO '!B40</f>
        <v>1.6.1</v>
      </c>
      <c r="C40" s="111" t="str">
        <f>'CUMPLIMIENTO '!C40</f>
        <v>Bolívar primero en arte y patrimonio</v>
      </c>
      <c r="D40" s="199">
        <f>'CUMPLIMIENTO '!D40</f>
        <v>6</v>
      </c>
      <c r="E40" s="199">
        <f>'CUMPLIMIENTO '!E40</f>
        <v>4</v>
      </c>
      <c r="F40" s="61">
        <f>'CUMPLIMIENTO '!G40</f>
        <v>0.24822916666666664</v>
      </c>
      <c r="G40" s="61">
        <f>'CUMPLIMIENTO '!H40</f>
        <v>0.41</v>
      </c>
    </row>
    <row r="41" spans="1:7" ht="15.75" hidden="1" x14ac:dyDescent="0.25">
      <c r="A41" s="198" t="str">
        <f>'CUMPLIMIENTO '!A41</f>
        <v>PROGRAMA</v>
      </c>
      <c r="B41" s="106" t="str">
        <f>'CUMPLIMIENTO '!B41</f>
        <v>1.6.2</v>
      </c>
      <c r="C41" s="111" t="str">
        <f>'CUMPLIMIENTO '!C41</f>
        <v>Bolívar primero en cultura</v>
      </c>
      <c r="D41" s="199">
        <f>'CUMPLIMIENTO '!D41</f>
        <v>12</v>
      </c>
      <c r="E41" s="199">
        <f>'CUMPLIMIENTO '!E41</f>
        <v>8</v>
      </c>
      <c r="F41" s="61">
        <f>'CUMPLIMIENTO '!G41</f>
        <v>0.4944520933977456</v>
      </c>
      <c r="G41" s="61">
        <f>'CUMPLIMIENTO '!H41</f>
        <v>0.59000000000000008</v>
      </c>
    </row>
    <row r="42" spans="1:7" ht="18.75" x14ac:dyDescent="0.25">
      <c r="A42" s="256" t="str">
        <f>'CUMPLIMIENTO '!A42</f>
        <v>EJE ESTRATEGICO</v>
      </c>
      <c r="B42" s="257">
        <f>'CUMPLIMIENTO '!B42</f>
        <v>2</v>
      </c>
      <c r="C42" s="258" t="str">
        <f>'CUMPLIMIENTO '!C42</f>
        <v>BOLÍVAR COMPETITIVO PARA LA INCLUSIÓN SOCIAL</v>
      </c>
      <c r="D42" s="259">
        <f>'CUMPLIMIENTO '!D42</f>
        <v>82</v>
      </c>
      <c r="E42" s="259">
        <f>'CUMPLIMIENTO '!F42</f>
        <v>65</v>
      </c>
      <c r="F42" s="260">
        <f>'CUMPLIMIENTO '!G42</f>
        <v>0.24329478481946754</v>
      </c>
      <c r="G42" s="260">
        <f>'CUMPLIMIENTO '!H42</f>
        <v>0.32985855013965804</v>
      </c>
    </row>
    <row r="43" spans="1:7" ht="15.75" x14ac:dyDescent="0.25">
      <c r="A43" s="202" t="str">
        <f>'CUMPLIMIENTO '!A43</f>
        <v>LINEA</v>
      </c>
      <c r="B43" s="203" t="str">
        <f>'CUMPLIMIENTO '!B43</f>
        <v>2.1</v>
      </c>
      <c r="C43" s="202" t="str">
        <f>'CUMPLIMIENTO '!C43</f>
        <v>BOLÍVAR PRIMERO EN INFRAESTRUCTURA Y TRANSPORTE</v>
      </c>
      <c r="D43" s="216">
        <f>'CUMPLIMIENTO '!D43</f>
        <v>4</v>
      </c>
      <c r="E43" s="216">
        <f>'CUMPLIMIENTO '!F43</f>
        <v>4</v>
      </c>
      <c r="F43" s="217">
        <f>'CUMPLIMIENTO '!G43</f>
        <v>0.52222222222222225</v>
      </c>
      <c r="G43" s="218">
        <f>'CUMPLIMIENTO '!H43</f>
        <v>0.49444444444444446</v>
      </c>
    </row>
    <row r="44" spans="1:7" ht="15.75" hidden="1" x14ac:dyDescent="0.25">
      <c r="A44" s="198" t="str">
        <f>'CUMPLIMIENTO '!A44</f>
        <v>PROGRAMA</v>
      </c>
      <c r="B44" s="106" t="str">
        <f>'CUMPLIMIENTO '!B44</f>
        <v>2.1.1</v>
      </c>
      <c r="C44" s="111" t="str">
        <f>'CUMPLIMIENTO '!C44</f>
        <v>Plan de conectividad para Bolívar</v>
      </c>
      <c r="D44" s="199">
        <f>'CUMPLIMIENTO '!D44</f>
        <v>3</v>
      </c>
      <c r="E44" s="199">
        <f>'CUMPLIMIENTO '!E44</f>
        <v>3</v>
      </c>
      <c r="F44" s="61">
        <f>'CUMPLIMIENTO '!G44</f>
        <v>0.64444444444444449</v>
      </c>
      <c r="G44" s="61">
        <f>'CUMPLIMIENTO '!H44</f>
        <v>0.48888888888888893</v>
      </c>
    </row>
    <row r="45" spans="1:7" ht="15.75" hidden="1" x14ac:dyDescent="0.25">
      <c r="A45" s="198" t="str">
        <f>'CUMPLIMIENTO '!A45</f>
        <v>PROGRAMA</v>
      </c>
      <c r="B45" s="106" t="str">
        <f>'CUMPLIMIENTO '!B45</f>
        <v xml:space="preserve">2.1.2 </v>
      </c>
      <c r="C45" s="111" t="str">
        <f>'CUMPLIMIENTO '!C45</f>
        <v>Bolívar se desarrolla por el Río</v>
      </c>
      <c r="D45" s="199">
        <f>'CUMPLIMIENTO '!D45</f>
        <v>1</v>
      </c>
      <c r="E45" s="199">
        <f>'CUMPLIMIENTO '!E45</f>
        <v>1</v>
      </c>
      <c r="F45" s="61">
        <f>'CUMPLIMIENTO '!G45</f>
        <v>0.4</v>
      </c>
      <c r="G45" s="61">
        <f>'CUMPLIMIENTO '!H45</f>
        <v>0.5</v>
      </c>
    </row>
    <row r="46" spans="1:7" ht="15.75" x14ac:dyDescent="0.25">
      <c r="A46" s="251" t="str">
        <f>'CUMPLIMIENTO '!A46</f>
        <v>LINEA</v>
      </c>
      <c r="B46" s="252" t="str">
        <f>'CUMPLIMIENTO '!B46</f>
        <v>2.2</v>
      </c>
      <c r="C46" s="251" t="str">
        <f>'CUMPLIMIENTO '!C46</f>
        <v>BOLÍVAR PRIMERO EN MOVILIDAD</v>
      </c>
      <c r="D46" s="253">
        <f>'CUMPLIMIENTO '!D46</f>
        <v>7</v>
      </c>
      <c r="E46" s="253">
        <f>'CUMPLIMIENTO '!F46</f>
        <v>5</v>
      </c>
      <c r="F46" s="254">
        <f>'CUMPLIMIENTO '!G46</f>
        <v>0.21714285714285717</v>
      </c>
      <c r="G46" s="255">
        <f>'CUMPLIMIENTO '!H46</f>
        <v>0.125</v>
      </c>
    </row>
    <row r="47" spans="1:7" ht="15.75" hidden="1" x14ac:dyDescent="0.25">
      <c r="A47" s="198" t="str">
        <f>'CUMPLIMIENTO '!A47</f>
        <v>PROGRAMA</v>
      </c>
      <c r="B47" s="106" t="str">
        <f>'CUMPLIMIENTO '!B47</f>
        <v>2.2.1</v>
      </c>
      <c r="C47" s="111" t="str">
        <f>'CUMPLIMIENTO '!C47</f>
        <v>Bolívar Primero con Movilidad Segura.</v>
      </c>
      <c r="D47" s="199">
        <f>'CUMPLIMIENTO '!D47</f>
        <v>5</v>
      </c>
      <c r="E47" s="199">
        <f>'CUMPLIMIENTO '!E47</f>
        <v>3</v>
      </c>
      <c r="F47" s="61">
        <f>'CUMPLIMIENTO '!G47</f>
        <v>0.43428571428571433</v>
      </c>
      <c r="G47" s="61">
        <f>'CUMPLIMIENTO '!H47</f>
        <v>0.25</v>
      </c>
    </row>
    <row r="48" spans="1:7" ht="15.75" hidden="1" x14ac:dyDescent="0.25">
      <c r="A48" s="198" t="str">
        <f>'CUMPLIMIENTO '!A48</f>
        <v>PROGRAMA</v>
      </c>
      <c r="B48" s="106" t="str">
        <f>'CUMPLIMIENTO '!B48</f>
        <v xml:space="preserve">2.2.2 </v>
      </c>
      <c r="C48" s="111" t="str">
        <f>'CUMPLIMIENTO '!C48</f>
        <v>Bolívar Primero con Infraestructura y Transporte y Movilidad Activa</v>
      </c>
      <c r="D48" s="199">
        <f>'CUMPLIMIENTO '!D48</f>
        <v>2</v>
      </c>
      <c r="E48" s="199" t="str">
        <f>'CUMPLIMIENTO '!E48</f>
        <v>NP</v>
      </c>
      <c r="F48" s="61">
        <f>'CUMPLIMIENTO '!G48</f>
        <v>0</v>
      </c>
      <c r="G48" s="61">
        <f>'CUMPLIMIENTO '!H48</f>
        <v>0</v>
      </c>
    </row>
    <row r="49" spans="1:7" ht="31.5" x14ac:dyDescent="0.25">
      <c r="A49" s="202" t="str">
        <f>'CUMPLIMIENTO '!A49</f>
        <v>LINEA</v>
      </c>
      <c r="B49" s="203" t="str">
        <f>'CUMPLIMIENTO '!B49</f>
        <v>2.3</v>
      </c>
      <c r="C49" s="221" t="str">
        <f>'CUMPLIMIENTO '!C49</f>
        <v>BOLÍVAR PRIMERO EN TECNOLOGÍAS DE LA INFORMACIÓN Y LAS COMUNICACIONES</v>
      </c>
      <c r="D49" s="216">
        <f>'CUMPLIMIENTO '!D49</f>
        <v>4</v>
      </c>
      <c r="E49" s="216">
        <f>'CUMPLIMIENTO '!F49</f>
        <v>4</v>
      </c>
      <c r="F49" s="217">
        <f>'CUMPLIMIENTO '!G49</f>
        <v>0.33750000000000002</v>
      </c>
      <c r="G49" s="218">
        <f>'CUMPLIMIENTO '!H49</f>
        <v>0.10625000000000001</v>
      </c>
    </row>
    <row r="50" spans="1:7" ht="15.75" hidden="1" x14ac:dyDescent="0.25">
      <c r="A50" s="198" t="str">
        <f>'CUMPLIMIENTO '!A50</f>
        <v>PROGRAMA</v>
      </c>
      <c r="B50" s="106" t="str">
        <f>'CUMPLIMIENTO '!B50</f>
        <v>2.3.1</v>
      </c>
      <c r="C50" s="111" t="str">
        <f>'CUMPLIMIENTO '!C50</f>
        <v>TIC’s para la competitividad y la inclusión social</v>
      </c>
      <c r="D50" s="199">
        <f>'CUMPLIMIENTO '!D50</f>
        <v>4</v>
      </c>
      <c r="E50" s="199">
        <f>'CUMPLIMIENTO '!E50</f>
        <v>1</v>
      </c>
      <c r="F50" s="61">
        <f>'CUMPLIMIENTO '!G50</f>
        <v>0.33750000000000002</v>
      </c>
      <c r="G50" s="61">
        <f>'CUMPLIMIENTO '!H50</f>
        <v>0.10625000000000001</v>
      </c>
    </row>
    <row r="51" spans="1:7" ht="15.75" x14ac:dyDescent="0.25">
      <c r="A51" s="251" t="str">
        <f>'CUMPLIMIENTO '!A51</f>
        <v>LINEA</v>
      </c>
      <c r="B51" s="252" t="str">
        <f>'CUMPLIMIENTO '!B51</f>
        <v>2.4</v>
      </c>
      <c r="C51" s="251" t="str">
        <f>'CUMPLIMIENTO '!C51</f>
        <v>BOLÍVAR PRIMERO EN DESARROLLO ECONÓMICO</v>
      </c>
      <c r="D51" s="253">
        <f>'CUMPLIMIENTO '!D51</f>
        <v>7</v>
      </c>
      <c r="E51" s="253">
        <f>'CUMPLIMIENTO '!F51</f>
        <v>7</v>
      </c>
      <c r="F51" s="254">
        <f>'CUMPLIMIENTO '!G51</f>
        <v>0.28287037037037033</v>
      </c>
      <c r="G51" s="255">
        <f>'CUMPLIMIENTO '!H51</f>
        <v>0.45833333333333331</v>
      </c>
    </row>
    <row r="52" spans="1:7" ht="15.75" hidden="1" x14ac:dyDescent="0.25">
      <c r="A52" s="198" t="str">
        <f>'CUMPLIMIENTO '!A52</f>
        <v>PROGRAMA</v>
      </c>
      <c r="B52" s="106" t="str">
        <f>'CUMPLIMIENTO '!B52</f>
        <v>2.4.1</v>
      </c>
      <c r="C52" s="111" t="str">
        <f>'CUMPLIMIENTO '!C52</f>
        <v>2.4.1.	Promoción del Departamento para la competitividad</v>
      </c>
      <c r="D52" s="199">
        <f>'CUMPLIMIENTO '!D52</f>
        <v>4</v>
      </c>
      <c r="E52" s="199">
        <f>'CUMPLIMIENTO '!E52</f>
        <v>2</v>
      </c>
      <c r="F52" s="61">
        <f>'CUMPLIMIENTO '!G52</f>
        <v>0.19166666666666665</v>
      </c>
      <c r="G52" s="61">
        <f>'CUMPLIMIENTO '!H52</f>
        <v>0.25</v>
      </c>
    </row>
    <row r="53" spans="1:7" ht="15.75" hidden="1" x14ac:dyDescent="0.25">
      <c r="A53" s="198" t="str">
        <f>'CUMPLIMIENTO '!A53</f>
        <v>PROGRAMA</v>
      </c>
      <c r="B53" s="106" t="str">
        <f>'CUMPLIMIENTO '!B53</f>
        <v>2.4.2</v>
      </c>
      <c r="C53" s="111" t="str">
        <f>'CUMPLIMIENTO '!C53</f>
        <v>Bolivar Primero en emprendimiento y encadenamientos productivos</v>
      </c>
      <c r="D53" s="199">
        <f>'CUMPLIMIENTO '!D53</f>
        <v>3</v>
      </c>
      <c r="E53" s="199">
        <f>'CUMPLIMIENTO '!E53</f>
        <v>1</v>
      </c>
      <c r="F53" s="61">
        <f>'CUMPLIMIENTO '!G53</f>
        <v>0.37407407407407406</v>
      </c>
      <c r="G53" s="61">
        <f>'CUMPLIMIENTO '!H53</f>
        <v>0.66666666666666663</v>
      </c>
    </row>
    <row r="54" spans="1:7" ht="31.5" x14ac:dyDescent="0.25">
      <c r="A54" s="202" t="str">
        <f>'CUMPLIMIENTO '!A54</f>
        <v>LINEA</v>
      </c>
      <c r="B54" s="203" t="str">
        <f>'CUMPLIMIENTO '!B54</f>
        <v>2.5</v>
      </c>
      <c r="C54" s="221" t="str">
        <f>'CUMPLIMIENTO '!C54</f>
        <v>BOLÍVAR PRIMERO EN AGRICULTURA, EXPLOTACIONES PECUARIAS, PESCA FORESTAL Y SEGURIDAD ALIMENTARIA</v>
      </c>
      <c r="D54" s="216">
        <f>'CUMPLIMIENTO '!D54</f>
        <v>8</v>
      </c>
      <c r="E54" s="216">
        <f>'CUMPLIMIENTO '!F54</f>
        <v>8</v>
      </c>
      <c r="F54" s="217">
        <f>'CUMPLIMIENTO '!G54</f>
        <v>0.26021690090122751</v>
      </c>
      <c r="G54" s="218">
        <f>'CUMPLIMIENTO '!H54</f>
        <v>0.37503049785364378</v>
      </c>
    </row>
    <row r="55" spans="1:7" ht="15.75" hidden="1" x14ac:dyDescent="0.25">
      <c r="A55" s="198" t="str">
        <f>'CUMPLIMIENTO '!A55</f>
        <v>PROGRAMA</v>
      </c>
      <c r="B55" s="106" t="str">
        <f>'CUMPLIMIENTO '!B55</f>
        <v>2.5.1</v>
      </c>
      <c r="C55" s="111" t="str">
        <f>'CUMPLIMIENTO '!C55</f>
        <v>Tecnología al campo</v>
      </c>
      <c r="D55" s="199">
        <f>'CUMPLIMIENTO '!D55</f>
        <v>1</v>
      </c>
      <c r="E55" s="199">
        <f>'CUMPLIMIENTO '!E55</f>
        <v>1</v>
      </c>
      <c r="F55" s="61">
        <f>'CUMPLIMIENTO '!G55</f>
        <v>2.032520325203252E-2</v>
      </c>
      <c r="G55" s="61">
        <f>'CUMPLIMIENTO '!H55</f>
        <v>0.1360544217687075</v>
      </c>
    </row>
    <row r="56" spans="1:7" ht="15.75" hidden="1" x14ac:dyDescent="0.25">
      <c r="A56" s="198" t="str">
        <f>'CUMPLIMIENTO '!A56</f>
        <v>PROGRAMA</v>
      </c>
      <c r="B56" s="106" t="str">
        <f>'CUMPLIMIENTO '!B56</f>
        <v>2.5.2</v>
      </c>
      <c r="C56" s="111" t="str">
        <f>'CUMPLIMIENTO '!C56</f>
        <v>Bolívar fomenta la agroindustria</v>
      </c>
      <c r="D56" s="199">
        <f>'CUMPLIMIENTO '!D56</f>
        <v>1</v>
      </c>
      <c r="E56" s="199">
        <f>'CUMPLIMIENTO '!E56</f>
        <v>1</v>
      </c>
      <c r="F56" s="61">
        <f>'CUMPLIMIENTO '!G56</f>
        <v>6.6559999999999994E-2</v>
      </c>
      <c r="G56" s="61">
        <f>'CUMPLIMIENTO '!H56</f>
        <v>2.8307508939213348E-2</v>
      </c>
    </row>
    <row r="57" spans="1:7" ht="15.75" hidden="1" x14ac:dyDescent="0.25">
      <c r="A57" s="198" t="str">
        <f>'CUMPLIMIENTO '!A57</f>
        <v>PROGRAMA</v>
      </c>
      <c r="B57" s="106" t="str">
        <f>'CUMPLIMIENTO '!B57</f>
        <v>2.5.3</v>
      </c>
      <c r="C57" s="111" t="str">
        <f>'CUMPLIMIENTO '!C57</f>
        <v>Del campo al mercado</v>
      </c>
      <c r="D57" s="199">
        <f>'CUMPLIMIENTO '!D57</f>
        <v>3</v>
      </c>
      <c r="E57" s="199">
        <f>'CUMPLIMIENTO '!E57</f>
        <v>2</v>
      </c>
      <c r="F57" s="61">
        <f>'CUMPLIMIENTO '!G57</f>
        <v>0.10006837606837608</v>
      </c>
      <c r="G57" s="61">
        <f>'CUMPLIMIENTO '!H57</f>
        <v>0.54842975206611566</v>
      </c>
    </row>
    <row r="58" spans="1:7" ht="15.75" hidden="1" x14ac:dyDescent="0.25">
      <c r="A58" s="198" t="str">
        <f>'CUMPLIMIENTO '!A58</f>
        <v>PROGRAMA</v>
      </c>
      <c r="B58" s="106" t="str">
        <f>'CUMPLIMIENTO '!B58</f>
        <v>2.5.4</v>
      </c>
      <c r="C58" s="111" t="str">
        <f>'CUMPLIMIENTO '!C58</f>
        <v>Apoyo a los municipios en el ordenamiento social de la propiedad.</v>
      </c>
      <c r="D58" s="199">
        <f>'CUMPLIMIENTO '!D58</f>
        <v>1</v>
      </c>
      <c r="E58" s="199">
        <f>'CUMPLIMIENTO '!E58</f>
        <v>1</v>
      </c>
      <c r="F58" s="61">
        <f>'CUMPLIMIENTO '!G58</f>
        <v>0.30434782608695654</v>
      </c>
      <c r="G58" s="61">
        <f>'CUMPLIMIENTO '!H58</f>
        <v>0.21739130434782608</v>
      </c>
    </row>
    <row r="59" spans="1:7" ht="15.75" hidden="1" x14ac:dyDescent="0.25">
      <c r="A59" s="198" t="str">
        <f>'CUMPLIMIENTO '!A59</f>
        <v>PROGRAMA</v>
      </c>
      <c r="B59" s="106" t="str">
        <f>'CUMPLIMIENTO '!B59</f>
        <v xml:space="preserve">2.5.5 </v>
      </c>
      <c r="C59" s="111" t="str">
        <f>'CUMPLIMIENTO '!C59</f>
        <v xml:space="preserve">Bancarización </v>
      </c>
      <c r="D59" s="199">
        <f>'CUMPLIMIENTO '!D59</f>
        <v>1</v>
      </c>
      <c r="E59" s="199">
        <f>'CUMPLIMIENTO '!E59</f>
        <v>1</v>
      </c>
      <c r="F59" s="61">
        <f>'CUMPLIMIENTO '!G59</f>
        <v>7.0000000000000007E-2</v>
      </c>
      <c r="G59" s="61">
        <f>'CUMPLIMIENTO '!H59</f>
        <v>0.32</v>
      </c>
    </row>
    <row r="60" spans="1:7" ht="15.75" hidden="1" x14ac:dyDescent="0.25">
      <c r="A60" s="198" t="str">
        <f>'CUMPLIMIENTO '!A60</f>
        <v>PROGRAMA</v>
      </c>
      <c r="B60" s="106" t="str">
        <f>'CUMPLIMIENTO '!B60</f>
        <v>2.5.6</v>
      </c>
      <c r="C60" s="111" t="str">
        <f>'CUMPLIMIENTO '!C60</f>
        <v xml:space="preserve">Seguridad alimentaria </v>
      </c>
      <c r="D60" s="199">
        <f>'CUMPLIMIENTO '!D60</f>
        <v>1</v>
      </c>
      <c r="E60" s="199" t="str">
        <f>'CUMPLIMIENTO '!E60</f>
        <v>NP</v>
      </c>
      <c r="F60" s="61">
        <f>'CUMPLIMIENTO '!G60</f>
        <v>1</v>
      </c>
      <c r="G60" s="61">
        <f>'CUMPLIMIENTO '!H60</f>
        <v>1</v>
      </c>
    </row>
    <row r="61" spans="1:7" ht="31.5" x14ac:dyDescent="0.25">
      <c r="A61" s="251" t="str">
        <f>'CUMPLIMIENTO '!A61</f>
        <v>LINEA</v>
      </c>
      <c r="B61" s="252" t="str">
        <f>'CUMPLIMIENTO '!B61</f>
        <v>2.6</v>
      </c>
      <c r="C61" s="278" t="str">
        <f>'CUMPLIMIENTO '!C61</f>
        <v>BOLIVAR PRIMERO EN PRODUCTIVIDAD Y COMPETITIVIDAD MINERO ENERGÉTICA</v>
      </c>
      <c r="D61" s="253">
        <f>'CUMPLIMIENTO '!D61</f>
        <v>18</v>
      </c>
      <c r="E61" s="253">
        <f>'CUMPLIMIENTO '!F61</f>
        <v>16</v>
      </c>
      <c r="F61" s="254">
        <f>'CUMPLIMIENTO '!G61</f>
        <v>0.14849206349206351</v>
      </c>
      <c r="G61" s="255">
        <f>'CUMPLIMIENTO '!H61</f>
        <v>0.23641470737153236</v>
      </c>
    </row>
    <row r="62" spans="1:7" ht="15.75" hidden="1" x14ac:dyDescent="0.25">
      <c r="A62" s="198" t="str">
        <f>'CUMPLIMIENTO '!A62</f>
        <v>PROGRAMA</v>
      </c>
      <c r="B62" s="106" t="str">
        <f>'CUMPLIMIENTO '!B62</f>
        <v>2.6.1</v>
      </c>
      <c r="C62" s="111" t="str">
        <f>'CUMPLIMIENTO '!C62</f>
        <v>Minería responsable y segura</v>
      </c>
      <c r="D62" s="199">
        <f>'CUMPLIMIENTO '!D62</f>
        <v>3</v>
      </c>
      <c r="E62" s="199" t="str">
        <f>'CUMPLIMIENTO '!E62</f>
        <v>NP</v>
      </c>
      <c r="F62" s="61">
        <f>'CUMPLIMIENTO '!G62</f>
        <v>5.5555555555555552E-2</v>
      </c>
      <c r="G62" s="61">
        <f>'CUMPLIMIENTO '!H62</f>
        <v>0.16666666666666666</v>
      </c>
    </row>
    <row r="63" spans="1:7" ht="15.75" hidden="1" x14ac:dyDescent="0.25">
      <c r="A63" s="198" t="str">
        <f>'CUMPLIMIENTO '!A63</f>
        <v>PROGRAMA</v>
      </c>
      <c r="B63" s="106" t="str">
        <f>'CUMPLIMIENTO '!B63</f>
        <v>2.6.2</v>
      </c>
      <c r="C63" s="111" t="str">
        <f>'CUMPLIMIENTO '!C63</f>
        <v xml:space="preserve">Minería productiva y competitiva. </v>
      </c>
      <c r="D63" s="199">
        <f>'CUMPLIMIENTO '!D63</f>
        <v>4</v>
      </c>
      <c r="E63" s="199">
        <f>'CUMPLIMIENTO '!E63</f>
        <v>3</v>
      </c>
      <c r="F63" s="61">
        <f>'CUMPLIMIENTO '!G63</f>
        <v>0.17857142857142858</v>
      </c>
      <c r="G63" s="61">
        <f>'CUMPLIMIENTO '!H63</f>
        <v>0.2</v>
      </c>
    </row>
    <row r="64" spans="1:7" ht="15.75" hidden="1" x14ac:dyDescent="0.25">
      <c r="A64" s="198" t="str">
        <f>'CUMPLIMIENTO '!A64</f>
        <v>PROGRAMA</v>
      </c>
      <c r="B64" s="106" t="str">
        <f>'CUMPLIMIENTO '!B64</f>
        <v>2.6.3</v>
      </c>
      <c r="C64" s="111" t="str">
        <f>'CUMPLIMIENTO '!C64</f>
        <v>Ambiente y Minería de la mano, bajo el marco de la legalidad.</v>
      </c>
      <c r="D64" s="199">
        <f>'CUMPLIMIENTO '!D64</f>
        <v>5</v>
      </c>
      <c r="E64" s="199">
        <f>'CUMPLIMIENTO '!E64</f>
        <v>1</v>
      </c>
      <c r="F64" s="61">
        <f>'CUMPLIMIENTO '!G64</f>
        <v>0.155</v>
      </c>
      <c r="G64" s="61">
        <f>'CUMPLIMIENTO '!H64</f>
        <v>0.2298008095849346</v>
      </c>
    </row>
    <row r="65" spans="1:7" ht="15.75" hidden="1" x14ac:dyDescent="0.25">
      <c r="A65" s="198" t="str">
        <f>'CUMPLIMIENTO '!A65</f>
        <v>PROGRAMA</v>
      </c>
      <c r="B65" s="106" t="str">
        <f>'CUMPLIMIENTO '!B65</f>
        <v>2.6.4</v>
      </c>
      <c r="C65" s="111" t="str">
        <f>'CUMPLIMIENTO '!C65</f>
        <v xml:space="preserve">Minería y el desarrollo social participativo </v>
      </c>
      <c r="D65" s="199">
        <f>'CUMPLIMIENTO '!D65</f>
        <v>3</v>
      </c>
      <c r="E65" s="199">
        <f>'CUMPLIMIENTO '!E65</f>
        <v>1</v>
      </c>
      <c r="F65" s="61">
        <f>'CUMPLIMIENTO '!G65</f>
        <v>8.111111111111112E-2</v>
      </c>
      <c r="G65" s="61">
        <f>'CUMPLIMIENTO '!H65</f>
        <v>6.0606060606060608E-2</v>
      </c>
    </row>
    <row r="66" spans="1:7" ht="15.75" hidden="1" x14ac:dyDescent="0.25">
      <c r="A66" s="198" t="str">
        <f>'CUMPLIMIENTO '!A66</f>
        <v>PROGRAMA</v>
      </c>
      <c r="B66" s="106" t="str">
        <f>'CUMPLIMIENTO '!B66</f>
        <v>2.6.5</v>
      </c>
      <c r="C66" s="111" t="str">
        <f>'CUMPLIMIENTO '!C66</f>
        <v xml:space="preserve">Bolívar primero en gas y energía para todos </v>
      </c>
      <c r="D66" s="199">
        <f>'CUMPLIMIENTO '!D66</f>
        <v>3</v>
      </c>
      <c r="E66" s="199">
        <f>'CUMPLIMIENTO '!E66</f>
        <v>1</v>
      </c>
      <c r="F66" s="61">
        <f>'CUMPLIMIENTO '!G66</f>
        <v>0.2722222222222222</v>
      </c>
      <c r="G66" s="61">
        <f>'CUMPLIMIENTO '!H66</f>
        <v>0.52500000000000002</v>
      </c>
    </row>
    <row r="67" spans="1:7" ht="15.75" x14ac:dyDescent="0.25">
      <c r="A67" s="202" t="str">
        <f>'CUMPLIMIENTO '!A67</f>
        <v>LINEA</v>
      </c>
      <c r="B67" s="203" t="str">
        <f>'CUMPLIMIENTO '!B67</f>
        <v>2.7</v>
      </c>
      <c r="C67" s="202" t="str">
        <f>'CUMPLIMIENTO '!C67</f>
        <v>BOLIVAR PRIMERO EN TURISMO</v>
      </c>
      <c r="D67" s="216">
        <f>'CUMPLIMIENTO '!D67</f>
        <v>15</v>
      </c>
      <c r="E67" s="216">
        <f>'CUMPLIMIENTO '!F67</f>
        <v>12</v>
      </c>
      <c r="F67" s="217">
        <f>'CUMPLIMIENTO '!G67</f>
        <v>0.40225641025641029</v>
      </c>
      <c r="G67" s="218">
        <f>'CUMPLIMIENTO '!H67</f>
        <v>0.47361111111111104</v>
      </c>
    </row>
    <row r="68" spans="1:7" ht="15.75" hidden="1" x14ac:dyDescent="0.25">
      <c r="A68" s="198" t="str">
        <f>'CUMPLIMIENTO '!A68</f>
        <v>PROGRAMA</v>
      </c>
      <c r="B68" s="106" t="str">
        <f>'CUMPLIMIENTO '!B68</f>
        <v xml:space="preserve">2.7.1 </v>
      </c>
      <c r="C68" s="111" t="str">
        <f>'CUMPLIMIENTO '!C68</f>
        <v>Bolívar primero en turismo, destinos mágicos</v>
      </c>
      <c r="D68" s="199">
        <f>'CUMPLIMIENTO '!D68</f>
        <v>15</v>
      </c>
      <c r="E68" s="199">
        <f>'CUMPLIMIENTO '!E68</f>
        <v>11</v>
      </c>
      <c r="F68" s="61">
        <f>'CUMPLIMIENTO '!G68</f>
        <v>0.40225641025641029</v>
      </c>
      <c r="G68" s="61">
        <f>'CUMPLIMIENTO '!H68</f>
        <v>0.47361111111111104</v>
      </c>
    </row>
    <row r="69" spans="1:7" ht="31.5" hidden="1" x14ac:dyDescent="0.25">
      <c r="A69" s="251" t="str">
        <f>'CUMPLIMIENTO '!A69</f>
        <v>LINEA</v>
      </c>
      <c r="B69" s="252" t="str">
        <f>'CUMPLIMIENTO '!B69</f>
        <v>2.8</v>
      </c>
      <c r="C69" s="278" t="str">
        <f>'CUMPLIMIENTO '!C69</f>
        <v>TRABAJO DECENTE Y SOSTENIBILIDAD DEL EMPLEO EN ESCENARIOS DE AMENAZAS</v>
      </c>
      <c r="D69" s="253">
        <f>'CUMPLIMIENTO '!D69</f>
        <v>4</v>
      </c>
      <c r="E69" s="253" t="str">
        <f>'CUMPLIMIENTO '!E69</f>
        <v>NP</v>
      </c>
      <c r="F69" s="254">
        <f>'CUMPLIMIENTO '!G69</f>
        <v>8.3333333333333343E-2</v>
      </c>
      <c r="G69" s="255">
        <f>'CUMPLIMIENTO '!H69</f>
        <v>0.19642857142857142</v>
      </c>
    </row>
    <row r="70" spans="1:7" ht="15.75" hidden="1" x14ac:dyDescent="0.25">
      <c r="A70" s="198" t="str">
        <f>'CUMPLIMIENTO '!A70</f>
        <v>PROGRAMA</v>
      </c>
      <c r="B70" s="106" t="str">
        <f>'CUMPLIMIENTO '!B70</f>
        <v xml:space="preserve">2.8.1 </v>
      </c>
      <c r="C70" s="111" t="str">
        <f>'CUMPLIMIENTO '!C70</f>
        <v>Empleo y trabajo decente</v>
      </c>
      <c r="D70" s="199">
        <f>'CUMPLIMIENTO '!D70</f>
        <v>3</v>
      </c>
      <c r="E70" s="199" t="str">
        <f>'CUMPLIMIENTO '!E70</f>
        <v>NP</v>
      </c>
      <c r="F70" s="61">
        <f>'CUMPLIMIENTO '!G70</f>
        <v>6.6666666666666666E-2</v>
      </c>
      <c r="G70" s="61">
        <f>'CUMPLIMIENTO '!H70</f>
        <v>0.14285714285714285</v>
      </c>
    </row>
    <row r="71" spans="1:7" ht="15.75" hidden="1" x14ac:dyDescent="0.25">
      <c r="A71" s="198" t="str">
        <f>'CUMPLIMIENTO '!A71</f>
        <v>PROGRAMA</v>
      </c>
      <c r="B71" s="106" t="str">
        <f>'CUMPLIMIENTO '!B71</f>
        <v>2.8.2</v>
      </c>
      <c r="C71" s="111" t="str">
        <f>'CUMPLIMIENTO '!C71</f>
        <v>Bolívar Primero en beneficios BEPS y desempleo</v>
      </c>
      <c r="D71" s="199">
        <f>'CUMPLIMIENTO '!D71</f>
        <v>1</v>
      </c>
      <c r="E71" s="199" t="str">
        <f>'CUMPLIMIENTO '!E71</f>
        <v>NP</v>
      </c>
      <c r="F71" s="61">
        <f>'CUMPLIMIENTO '!G71</f>
        <v>0.1</v>
      </c>
      <c r="G71" s="61">
        <f>'CUMPLIMIENTO '!H71</f>
        <v>0.25</v>
      </c>
    </row>
    <row r="72" spans="1:7" ht="15.75" x14ac:dyDescent="0.25">
      <c r="A72" s="202" t="str">
        <f>'CUMPLIMIENTO '!A72</f>
        <v>LINEA</v>
      </c>
      <c r="B72" s="203" t="str">
        <f>'CUMPLIMIENTO '!B72</f>
        <v>2.9</v>
      </c>
      <c r="C72" s="202" t="str">
        <f>'CUMPLIMIENTO '!C72</f>
        <v>BOLIVAR PRIMERO EN CIENCIA TECNOLOGÍA E INNOVACIÓN</v>
      </c>
      <c r="D72" s="216">
        <f>'CUMPLIMIENTO '!D72</f>
        <v>11</v>
      </c>
      <c r="E72" s="216">
        <f>'CUMPLIMIENTO '!F72</f>
        <v>9</v>
      </c>
      <c r="F72" s="217">
        <f>'CUMPLIMIENTO '!G72</f>
        <v>0.17891369047619049</v>
      </c>
      <c r="G72" s="218">
        <f>'CUMPLIMIENTO '!H72</f>
        <v>0.50321428571428573</v>
      </c>
    </row>
    <row r="73" spans="1:7" ht="15.75" hidden="1" x14ac:dyDescent="0.25">
      <c r="A73" s="198" t="str">
        <f>'CUMPLIMIENTO '!A73</f>
        <v>PROGRAMA</v>
      </c>
      <c r="B73" s="106" t="str">
        <f>'CUMPLIMIENTO '!B73</f>
        <v>2.9.1</v>
      </c>
      <c r="C73" s="111" t="str">
        <f>'CUMPLIMIENTO '!C73</f>
        <v>Fortalecimiento del sistema territorial del CTI.</v>
      </c>
      <c r="D73" s="199">
        <f>'CUMPLIMIENTO '!D73</f>
        <v>2</v>
      </c>
      <c r="E73" s="199">
        <f>'CUMPLIMIENTO '!E73</f>
        <v>2</v>
      </c>
      <c r="F73" s="61">
        <f>'CUMPLIMIENTO '!G73</f>
        <v>0.37500000000000006</v>
      </c>
      <c r="G73" s="61">
        <f>'CUMPLIMIENTO '!H73</f>
        <v>1</v>
      </c>
    </row>
    <row r="74" spans="1:7" ht="30" hidden="1" x14ac:dyDescent="0.25">
      <c r="A74" s="198" t="str">
        <f>'CUMPLIMIENTO '!A74</f>
        <v>PROGRAMA</v>
      </c>
      <c r="B74" s="106" t="str">
        <f>'CUMPLIMIENTO '!B74</f>
        <v>2.9.2</v>
      </c>
      <c r="C74" s="111" t="str">
        <f>'CUMPLIMIENTO '!C74</f>
        <v>Apropiación social del CTEI y vocaciones para la consolidación de una sociedad del conocimiento.</v>
      </c>
      <c r="D74" s="199">
        <f>'CUMPLIMIENTO '!D74</f>
        <v>6</v>
      </c>
      <c r="E74" s="199">
        <f>'CUMPLIMIENTO '!E74</f>
        <v>6</v>
      </c>
      <c r="F74" s="61">
        <f>'CUMPLIMIENTO '!G74</f>
        <v>0.13208333333333333</v>
      </c>
      <c r="G74" s="61">
        <f>'CUMPLIMIENTO '!H74</f>
        <v>0.41285714285714292</v>
      </c>
    </row>
    <row r="75" spans="1:7" ht="15.75" hidden="1" x14ac:dyDescent="0.25">
      <c r="A75" s="198" t="str">
        <f>'CUMPLIMIENTO '!A75</f>
        <v>PROGRAMA</v>
      </c>
      <c r="B75" s="106" t="str">
        <f>'CUMPLIMIENTO '!B75</f>
        <v>2.9.3</v>
      </c>
      <c r="C75" s="111" t="str">
        <f>'CUMPLIMIENTO '!C75</f>
        <v>Formación del capital humano de alto nivel del CTEI</v>
      </c>
      <c r="D75" s="199">
        <f>'CUMPLIMIENTO '!D75</f>
        <v>2</v>
      </c>
      <c r="E75" s="199">
        <f>'CUMPLIMIENTO '!E75</f>
        <v>2</v>
      </c>
      <c r="F75" s="61">
        <f>'CUMPLIMIENTO '!G75</f>
        <v>0.17857142857142858</v>
      </c>
      <c r="G75" s="61">
        <f>'CUMPLIMIENTO '!H75</f>
        <v>0.5</v>
      </c>
    </row>
    <row r="76" spans="1:7" ht="15.75" hidden="1" x14ac:dyDescent="0.25">
      <c r="A76" s="198" t="str">
        <f>'CUMPLIMIENTO '!A76</f>
        <v>PROGRAMA</v>
      </c>
      <c r="B76" s="106" t="str">
        <f>'CUMPLIMIENTO '!B76</f>
        <v>2.9.4</v>
      </c>
      <c r="C76" s="111" t="str">
        <f>'CUMPLIMIENTO '!C76</f>
        <v>Innovación para el desarrollo sostenible</v>
      </c>
      <c r="D76" s="199">
        <f>'CUMPLIMIENTO '!D76</f>
        <v>1</v>
      </c>
      <c r="E76" s="199">
        <f>'CUMPLIMIENTO '!E76</f>
        <v>1</v>
      </c>
      <c r="F76" s="61">
        <f>'CUMPLIMIENTO '!G76</f>
        <v>0.03</v>
      </c>
      <c r="G76" s="61">
        <f>'CUMPLIMIENTO '!H76</f>
        <v>0.1</v>
      </c>
    </row>
    <row r="77" spans="1:7" ht="15.75" hidden="1" x14ac:dyDescent="0.25">
      <c r="A77" s="251" t="str">
        <f>'CUMPLIMIENTO '!A77</f>
        <v>LINEA</v>
      </c>
      <c r="B77" s="252" t="str">
        <f>'CUMPLIMIENTO '!B77</f>
        <v>2.10</v>
      </c>
      <c r="C77" s="251" t="str">
        <f>'CUMPLIMIENTO '!C77</f>
        <v>FORMACIÓN PARA EL TRABAJO</v>
      </c>
      <c r="D77" s="253">
        <f>'CUMPLIMIENTO '!D77</f>
        <v>4</v>
      </c>
      <c r="E77" s="253" t="str">
        <f>'CUMPLIMIENTO '!E77</f>
        <v>NP</v>
      </c>
      <c r="F77" s="254">
        <f>'CUMPLIMIENTO '!G77</f>
        <v>0</v>
      </c>
      <c r="G77" s="255" t="str">
        <f>'CUMPLIMIENTO '!H77</f>
        <v>NP</v>
      </c>
    </row>
    <row r="78" spans="1:7" ht="30" hidden="1" x14ac:dyDescent="0.25">
      <c r="A78" s="198" t="str">
        <f>'CUMPLIMIENTO '!A78</f>
        <v>PROGRAMA</v>
      </c>
      <c r="B78" s="106" t="str">
        <f>'CUMPLIMIENTO '!B78</f>
        <v>2.10.1</v>
      </c>
      <c r="C78" s="111" t="str">
        <f>'CUMPLIMIENTO '!C78</f>
        <v>Bolívar primero facilita el acceso a la educación superior, la educación para el trabajo y el desarrollo humano</v>
      </c>
      <c r="D78" s="199">
        <f>'CUMPLIMIENTO '!D78</f>
        <v>4</v>
      </c>
      <c r="E78" s="199" t="str">
        <f>'CUMPLIMIENTO '!E78</f>
        <v>NP</v>
      </c>
      <c r="F78" s="61">
        <f>'CUMPLIMIENTO '!G78</f>
        <v>0</v>
      </c>
      <c r="G78" s="61" t="str">
        <f>'CUMPLIMIENTO '!H78</f>
        <v>NP</v>
      </c>
    </row>
    <row r="79" spans="1:7" ht="18.75" hidden="1" x14ac:dyDescent="0.25">
      <c r="A79" s="227" t="str">
        <f>'CUMPLIMIENTO '!A79</f>
        <v>EJE ESTRATEGICO</v>
      </c>
      <c r="B79" s="226">
        <f>'CUMPLIMIENTO '!B79</f>
        <v>3</v>
      </c>
      <c r="C79" s="227" t="str">
        <f>'CUMPLIMIENTO '!C79</f>
        <v xml:space="preserve">GESTIÓN AMBIENTAL Y ORDENAMIENTO TERRITORIAL
</v>
      </c>
      <c r="D79" s="187">
        <f>'CUMPLIMIENTO '!D79</f>
        <v>23</v>
      </c>
      <c r="E79" s="187">
        <f>'CUMPLIMIENTO '!E79</f>
        <v>14</v>
      </c>
      <c r="F79" s="188">
        <f>'CUMPLIMIENTO '!G79</f>
        <v>0.22340166188027338</v>
      </c>
      <c r="G79" s="188">
        <f>'CUMPLIMIENTO '!H79</f>
        <v>0.28496980676328504</v>
      </c>
    </row>
    <row r="80" spans="1:7" ht="15.75" hidden="1" x14ac:dyDescent="0.25">
      <c r="A80" s="202" t="str">
        <f>'CUMPLIMIENTO '!A80</f>
        <v>LINEA</v>
      </c>
      <c r="B80" s="203" t="str">
        <f>'CUMPLIMIENTO '!B80</f>
        <v>3.1</v>
      </c>
      <c r="C80" s="202" t="str">
        <f>'CUMPLIMIENTO '!C80</f>
        <v>BOLIVAR PRIMERO GESTIÓN AMBIENTAL Y DESARROLLO TERRITORIAL</v>
      </c>
      <c r="D80" s="216">
        <f>'CUMPLIMIENTO '!D80</f>
        <v>5</v>
      </c>
      <c r="E80" s="216">
        <f>'CUMPLIMIENTO '!E80</f>
        <v>2</v>
      </c>
      <c r="F80" s="217">
        <f>'CUMPLIMIENTO '!G80</f>
        <v>0.2</v>
      </c>
      <c r="G80" s="218">
        <f>'CUMPLIMIENTO '!H80</f>
        <v>0.5</v>
      </c>
    </row>
    <row r="81" spans="1:7" ht="15.75" hidden="1" x14ac:dyDescent="0.25">
      <c r="A81" s="198" t="str">
        <f>'CUMPLIMIENTO '!A81</f>
        <v>PROGRAMA</v>
      </c>
      <c r="B81" s="106" t="str">
        <f>'CUMPLIMIENTO '!B81</f>
        <v xml:space="preserve">3.1.1 </v>
      </c>
      <c r="C81" s="111" t="str">
        <f>'CUMPLIMIENTO '!C81</f>
        <v>Ordenamiento territorial y para un bolívar primero en institucionalidad</v>
      </c>
      <c r="D81" s="199">
        <f>'CUMPLIMIENTO '!D81</f>
        <v>5</v>
      </c>
      <c r="E81" s="199">
        <f>'CUMPLIMIENTO '!E81</f>
        <v>2</v>
      </c>
      <c r="F81" s="61">
        <f>'CUMPLIMIENTO '!G81</f>
        <v>0.2</v>
      </c>
      <c r="G81" s="61">
        <f>'CUMPLIMIENTO '!H81</f>
        <v>0.5</v>
      </c>
    </row>
    <row r="82" spans="1:7" ht="15.75" hidden="1" x14ac:dyDescent="0.25">
      <c r="A82" s="202" t="str">
        <f>'CUMPLIMIENTO '!A82</f>
        <v>LINEA</v>
      </c>
      <c r="B82" s="203" t="str">
        <f>'CUMPLIMIENTO '!B82</f>
        <v>3.2</v>
      </c>
      <c r="C82" s="202" t="str">
        <f>'CUMPLIMIENTO '!C82</f>
        <v>BOLÍVAR PRIMERO EN CONSERVACIÓN AMBIENTAL</v>
      </c>
      <c r="D82" s="216">
        <f>'CUMPLIMIENTO '!D82</f>
        <v>5</v>
      </c>
      <c r="E82" s="216">
        <f>'CUMPLIMIENTO '!E82</f>
        <v>4</v>
      </c>
      <c r="F82" s="217">
        <f>'CUMPLIMIENTO '!G82</f>
        <v>0.23333333333333334</v>
      </c>
      <c r="G82" s="218">
        <f>'CUMPLIMIENTO '!H82</f>
        <v>0.25</v>
      </c>
    </row>
    <row r="83" spans="1:7" ht="15.75" hidden="1" x14ac:dyDescent="0.25">
      <c r="A83" s="198" t="str">
        <f>'CUMPLIMIENTO '!A83</f>
        <v>PROGRAMA</v>
      </c>
      <c r="B83" s="106" t="str">
        <f>'CUMPLIMIENTO '!B83</f>
        <v>3.2.1</v>
      </c>
      <c r="C83" s="111" t="str">
        <f>'CUMPLIMIENTO '!C83</f>
        <v>Ambiente por un Bolívar primero en conservación</v>
      </c>
      <c r="D83" s="199">
        <f>'CUMPLIMIENTO '!D83</f>
        <v>5</v>
      </c>
      <c r="E83" s="199">
        <f>'CUMPLIMIENTO '!E83</f>
        <v>4</v>
      </c>
      <c r="F83" s="61">
        <f>'CUMPLIMIENTO '!G83</f>
        <v>0.23333333333333334</v>
      </c>
      <c r="G83" s="61">
        <f>'CUMPLIMIENTO '!H83</f>
        <v>0.25</v>
      </c>
    </row>
    <row r="84" spans="1:7" ht="15.75" hidden="1" x14ac:dyDescent="0.25">
      <c r="A84" s="202" t="str">
        <f>'CUMPLIMIENTO '!A84</f>
        <v>LINEA</v>
      </c>
      <c r="B84" s="203" t="str">
        <f>'CUMPLIMIENTO '!B84</f>
        <v>3.3</v>
      </c>
      <c r="C84" s="202" t="str">
        <f>'CUMPLIMIENTO '!C84</f>
        <v>BOLIVAR PRIMERO EN ADAPTACIÓN Y MITIGACIÓN DEL CAMBIO CLIMÁTICO</v>
      </c>
      <c r="D84" s="216">
        <f>'CUMPLIMIENTO '!D84</f>
        <v>2</v>
      </c>
      <c r="E84" s="216">
        <f>'CUMPLIMIENTO '!E84</f>
        <v>1</v>
      </c>
      <c r="F84" s="217">
        <f>'CUMPLIMIENTO '!G84</f>
        <v>2.5000000000000001E-2</v>
      </c>
      <c r="G84" s="218">
        <f>'CUMPLIMIENTO '!H84</f>
        <v>0.05</v>
      </c>
    </row>
    <row r="85" spans="1:7" ht="15.75" hidden="1" x14ac:dyDescent="0.25">
      <c r="A85" s="198" t="str">
        <f>'CUMPLIMIENTO '!A85</f>
        <v>PROGRAMA</v>
      </c>
      <c r="B85" s="106" t="str">
        <f>'CUMPLIMIENTO '!B85</f>
        <v>3.3.1</v>
      </c>
      <c r="C85" s="111" t="str">
        <f>'CUMPLIMIENTO '!C85</f>
        <v>Cambio Climatico</v>
      </c>
      <c r="D85" s="199">
        <f>'CUMPLIMIENTO '!D85</f>
        <v>2</v>
      </c>
      <c r="E85" s="199" t="str">
        <f>'CUMPLIMIENTO '!E85</f>
        <v>NP</v>
      </c>
      <c r="F85" s="61">
        <f>'CUMPLIMIENTO '!G85</f>
        <v>2.5000000000000001E-2</v>
      </c>
      <c r="G85" s="61">
        <f>'CUMPLIMIENTO '!H85</f>
        <v>0.05</v>
      </c>
    </row>
    <row r="86" spans="1:7" ht="15.75" hidden="1" x14ac:dyDescent="0.25">
      <c r="A86" s="202" t="str">
        <f>'CUMPLIMIENTO '!A86</f>
        <v>LINEA</v>
      </c>
      <c r="B86" s="203" t="str">
        <f>'CUMPLIMIENTO '!B86</f>
        <v>3.4</v>
      </c>
      <c r="C86" s="202" t="str">
        <f>'CUMPLIMIENTO '!C86</f>
        <v>GESTIÓN DEL RIESGO</v>
      </c>
      <c r="D86" s="216">
        <f>'CUMPLIMIENTO '!D86</f>
        <v>11</v>
      </c>
      <c r="E86" s="216">
        <f>'CUMPLIMIENTO '!E86</f>
        <v>7</v>
      </c>
      <c r="F86" s="217">
        <f>'CUMPLIMIENTO '!G86</f>
        <v>0.43527331418776022</v>
      </c>
      <c r="G86" s="218">
        <f>'CUMPLIMIENTO '!H86</f>
        <v>0.33987922705314011</v>
      </c>
    </row>
    <row r="87" spans="1:7" ht="15.75" hidden="1" x14ac:dyDescent="0.25">
      <c r="A87" s="198" t="str">
        <f>'CUMPLIMIENTO '!A87</f>
        <v>PROGRAMA</v>
      </c>
      <c r="B87" s="106" t="str">
        <f>'CUMPLIMIENTO '!B87</f>
        <v xml:space="preserve">3.4.1 </v>
      </c>
      <c r="C87" s="111" t="str">
        <f>'CUMPLIMIENTO '!C87</f>
        <v>Conocimiento del Riesgo</v>
      </c>
      <c r="D87" s="199">
        <f>'CUMPLIMIENTO '!D87</f>
        <v>3</v>
      </c>
      <c r="E87" s="199">
        <f>'CUMPLIMIENTO '!E87</f>
        <v>1</v>
      </c>
      <c r="F87" s="61">
        <f>'CUMPLIMIENTO '!G87</f>
        <v>0.28354037267080745</v>
      </c>
      <c r="G87" s="61">
        <f>'CUMPLIMIENTO '!H87</f>
        <v>0.52463768115942022</v>
      </c>
    </row>
    <row r="88" spans="1:7" ht="15.75" hidden="1" x14ac:dyDescent="0.25">
      <c r="A88" s="198" t="str">
        <f>'CUMPLIMIENTO '!A88</f>
        <v>PROGRAMA</v>
      </c>
      <c r="B88" s="106" t="str">
        <f>'CUMPLIMIENTO '!B88</f>
        <v xml:space="preserve">3.4.2 </v>
      </c>
      <c r="C88" s="111" t="str">
        <f>'CUMPLIMIENTO '!C88</f>
        <v>Disminución y/o Elimicación del Riesgo</v>
      </c>
      <c r="D88" s="199">
        <f>'CUMPLIMIENTO '!D88</f>
        <v>3</v>
      </c>
      <c r="E88" s="199">
        <f>'CUMPLIMIENTO '!E88</f>
        <v>3</v>
      </c>
      <c r="F88" s="61">
        <f>'CUMPLIMIENTO '!G88</f>
        <v>0.55161290322580647</v>
      </c>
      <c r="G88" s="61">
        <f>'CUMPLIMIENTO '!H88</f>
        <v>7.4999999999999997E-2</v>
      </c>
    </row>
    <row r="89" spans="1:7" ht="15.75" hidden="1" x14ac:dyDescent="0.25">
      <c r="A89" s="198" t="str">
        <f>'CUMPLIMIENTO '!A89</f>
        <v>PROGRAMA</v>
      </c>
      <c r="B89" s="106" t="str">
        <f>'CUMPLIMIENTO '!B89</f>
        <v>3.4.3</v>
      </c>
      <c r="C89" s="111" t="str">
        <f>'CUMPLIMIENTO '!C89</f>
        <v>Atencion de Desastre</v>
      </c>
      <c r="D89" s="199">
        <f>'CUMPLIMIENTO '!D89</f>
        <v>5</v>
      </c>
      <c r="E89" s="199">
        <f>'CUMPLIMIENTO '!E89</f>
        <v>3</v>
      </c>
      <c r="F89" s="61">
        <f>'CUMPLIMIENTO '!G89</f>
        <v>0.47066666666666668</v>
      </c>
      <c r="G89" s="61">
        <f>'CUMPLIMIENTO '!H89</f>
        <v>0.42000000000000004</v>
      </c>
    </row>
    <row r="90" spans="1:7" ht="18.75" hidden="1" x14ac:dyDescent="0.25">
      <c r="A90" s="230" t="str">
        <f>'CUMPLIMIENTO '!A90</f>
        <v>EJE ESTRATEGICO</v>
      </c>
      <c r="B90" s="229">
        <f>'CUMPLIMIENTO '!B90</f>
        <v>4</v>
      </c>
      <c r="C90" s="230" t="str">
        <f>'CUMPLIMIENTO '!C90</f>
        <v>BOLÍVAR PRIMERO EN FORTALECIMIENTO INSTITUCIONAL Y SEGURIDAD EFECTIVA PARA TODOS</v>
      </c>
      <c r="D90" s="231">
        <f>'CUMPLIMIENTO '!D90</f>
        <v>68</v>
      </c>
      <c r="E90" s="231">
        <f>'CUMPLIMIENTO '!E90</f>
        <v>47</v>
      </c>
      <c r="F90" s="232">
        <f>'CUMPLIMIENTO '!G90</f>
        <v>0.21518996587883446</v>
      </c>
      <c r="G90" s="232">
        <f>'CUMPLIMIENTO '!H90</f>
        <v>0.20474983465608465</v>
      </c>
    </row>
    <row r="91" spans="1:7" ht="15.75" hidden="1" x14ac:dyDescent="0.25">
      <c r="A91" s="202" t="str">
        <f>'CUMPLIMIENTO '!A91</f>
        <v>LINEA</v>
      </c>
      <c r="B91" s="203" t="str">
        <f>'CUMPLIMIENTO '!B91</f>
        <v>4.1</v>
      </c>
      <c r="C91" s="202" t="str">
        <f>'CUMPLIMIENTO '!C91</f>
        <v>BOLÍVAR SEGURO</v>
      </c>
      <c r="D91" s="216">
        <f>'CUMPLIMIENTO '!D91</f>
        <v>4</v>
      </c>
      <c r="E91" s="216">
        <f>'CUMPLIMIENTO '!E91</f>
        <v>2</v>
      </c>
      <c r="F91" s="217">
        <f>'CUMPLIMIENTO '!G91</f>
        <v>5.9583333333333335E-2</v>
      </c>
      <c r="G91" s="218">
        <f>'CUMPLIMIENTO '!H91</f>
        <v>0.25</v>
      </c>
    </row>
    <row r="92" spans="1:7" ht="15.75" hidden="1" x14ac:dyDescent="0.25">
      <c r="A92" s="198" t="str">
        <f>'CUMPLIMIENTO '!A92</f>
        <v>PROGRAMA</v>
      </c>
      <c r="B92" s="106" t="str">
        <f>'CUMPLIMIENTO '!B92</f>
        <v>4.1.1</v>
      </c>
      <c r="C92" s="111" t="str">
        <f>'CUMPLIMIENTO '!C92</f>
        <v>Fortalecimiento integral de la seguridad y convivencia</v>
      </c>
      <c r="D92" s="199">
        <f>'CUMPLIMIENTO '!D92</f>
        <v>4</v>
      </c>
      <c r="E92" s="199">
        <f>'CUMPLIMIENTO '!E92</f>
        <v>2</v>
      </c>
      <c r="F92" s="61">
        <f>'CUMPLIMIENTO '!G92</f>
        <v>5.9583333333333335E-2</v>
      </c>
      <c r="G92" s="61">
        <f>'CUMPLIMIENTO '!H92</f>
        <v>0.25</v>
      </c>
    </row>
    <row r="93" spans="1:7" ht="15.75" hidden="1" x14ac:dyDescent="0.25">
      <c r="A93" s="202" t="str">
        <f>'CUMPLIMIENTO '!A93</f>
        <v>LINEA</v>
      </c>
      <c r="B93" s="203" t="str">
        <f>'CUMPLIMIENTO '!B93</f>
        <v>4.2</v>
      </c>
      <c r="C93" s="202" t="str">
        <f>'CUMPLIMIENTO '!C93</f>
        <v>BOLÍVAR PRIMERO EN DERECHOS HUMANOS</v>
      </c>
      <c r="D93" s="216">
        <f>'CUMPLIMIENTO '!D93</f>
        <v>7</v>
      </c>
      <c r="E93" s="216">
        <f>'CUMPLIMIENTO '!E93</f>
        <v>7</v>
      </c>
      <c r="F93" s="217">
        <f>'CUMPLIMIENTO '!G93</f>
        <v>0.3392857142857143</v>
      </c>
      <c r="G93" s="218">
        <f>'CUMPLIMIENTO '!H93</f>
        <v>0.51904761904761909</v>
      </c>
    </row>
    <row r="94" spans="1:7" ht="15.75" hidden="1" x14ac:dyDescent="0.25">
      <c r="A94" s="198" t="str">
        <f>'CUMPLIMIENTO '!A94</f>
        <v>PROGRAMA</v>
      </c>
      <c r="B94" s="106" t="str">
        <f>'CUMPLIMIENTO '!B94</f>
        <v>4.2.1</v>
      </c>
      <c r="C94" s="111" t="str">
        <f>'CUMPLIMIENTO '!C94</f>
        <v>Garantía integral de los derechos humanos.</v>
      </c>
      <c r="D94" s="199">
        <f>'CUMPLIMIENTO '!D94</f>
        <v>7</v>
      </c>
      <c r="E94" s="199">
        <f>'CUMPLIMIENTO '!E94</f>
        <v>7</v>
      </c>
      <c r="F94" s="61">
        <f>'CUMPLIMIENTO '!G94</f>
        <v>0.3392857142857143</v>
      </c>
      <c r="G94" s="61">
        <f>'CUMPLIMIENTO '!H94</f>
        <v>0.51904761904761909</v>
      </c>
    </row>
    <row r="95" spans="1:7" ht="15.75" hidden="1" x14ac:dyDescent="0.25">
      <c r="A95" s="202" t="str">
        <f>'CUMPLIMIENTO '!A95</f>
        <v>LINEA</v>
      </c>
      <c r="B95" s="203" t="str">
        <f>'CUMPLIMIENTO '!B95</f>
        <v>4.3</v>
      </c>
      <c r="C95" s="202" t="str">
        <f>'CUMPLIMIENTO '!C95</f>
        <v>BOLÍVAR CON SISTEMA INTEGRAL DE PLANIFICACION DEPARTAMENTAL</v>
      </c>
      <c r="D95" s="216">
        <f>'CUMPLIMIENTO '!D95</f>
        <v>13</v>
      </c>
      <c r="E95" s="216">
        <f>'CUMPLIMIENTO '!E95</f>
        <v>10</v>
      </c>
      <c r="F95" s="217">
        <f>'CUMPLIMIENTO '!G95</f>
        <v>0.3098710317460317</v>
      </c>
      <c r="G95" s="218">
        <f>'CUMPLIMIENTO '!H95</f>
        <v>0.30888888888888888</v>
      </c>
    </row>
    <row r="96" spans="1:7" ht="15.75" hidden="1" x14ac:dyDescent="0.25">
      <c r="A96" s="198" t="str">
        <f>'CUMPLIMIENTO '!A96</f>
        <v>PROGRAMA</v>
      </c>
      <c r="B96" s="106" t="str">
        <f>'CUMPLIMIENTO '!B96</f>
        <v>4.3.1</v>
      </c>
      <c r="C96" s="111" t="str">
        <f>'CUMPLIMIENTO '!C96</f>
        <v>Fortalecimiento al sistema de Planeación departamental.</v>
      </c>
      <c r="D96" s="199">
        <f>'CUMPLIMIENTO '!D96</f>
        <v>8</v>
      </c>
      <c r="E96" s="199">
        <f>'CUMPLIMIENTO '!E96</f>
        <v>7</v>
      </c>
      <c r="F96" s="61">
        <f>'CUMPLIMIENTO '!G96</f>
        <v>0.39196428571428565</v>
      </c>
      <c r="G96" s="61">
        <f>'CUMPLIMIENTO '!H96</f>
        <v>0.33333333333333331</v>
      </c>
    </row>
    <row r="97" spans="1:7" ht="15.75" hidden="1" x14ac:dyDescent="0.25">
      <c r="A97" s="198" t="str">
        <f>'CUMPLIMIENTO '!A97</f>
        <v>PROGRAMA</v>
      </c>
      <c r="B97" s="106" t="str">
        <f>'CUMPLIMIENTO '!B97</f>
        <v>4.3.2</v>
      </c>
      <c r="C97" s="111" t="str">
        <f>'CUMPLIMIENTO '!C97</f>
        <v>Programa Descentralización y planeación territorial</v>
      </c>
      <c r="D97" s="199">
        <f>'CUMPLIMIENTO '!D97</f>
        <v>5</v>
      </c>
      <c r="E97" s="199">
        <f>'CUMPLIMIENTO '!E97</f>
        <v>3</v>
      </c>
      <c r="F97" s="61">
        <f>'CUMPLIMIENTO '!G97</f>
        <v>0.22777777777777777</v>
      </c>
      <c r="G97" s="61">
        <f>'CUMPLIMIENTO '!H97</f>
        <v>0.28444444444444444</v>
      </c>
    </row>
    <row r="98" spans="1:7" ht="15.75" hidden="1" x14ac:dyDescent="0.25">
      <c r="A98" s="202" t="str">
        <f>'CUMPLIMIENTO '!A98</f>
        <v>LINEA</v>
      </c>
      <c r="B98" s="203" t="str">
        <f>'CUMPLIMIENTO '!B98</f>
        <v>4.4</v>
      </c>
      <c r="C98" s="202" t="str">
        <f>'CUMPLIMIENTO '!C98</f>
        <v xml:space="preserve">BOLÍVAR CON INSTITUCIONALIDAD AL SERVICIO DE LA CIUDADANÍA. </v>
      </c>
      <c r="D98" s="216">
        <f>'CUMPLIMIENTO '!D98</f>
        <v>26</v>
      </c>
      <c r="E98" s="216">
        <f>'CUMPLIMIENTO '!E98</f>
        <v>21</v>
      </c>
      <c r="F98" s="217">
        <f>'CUMPLIMIENTO '!G98</f>
        <v>0.34112987463808625</v>
      </c>
      <c r="G98" s="218">
        <f>'CUMPLIMIENTO '!H98</f>
        <v>0.12556249999999999</v>
      </c>
    </row>
    <row r="99" spans="1:7" ht="15.75" hidden="1" x14ac:dyDescent="0.25">
      <c r="A99" s="198" t="str">
        <f>'CUMPLIMIENTO '!A99</f>
        <v>PROGRAMA</v>
      </c>
      <c r="B99" s="106" t="str">
        <f>'CUMPLIMIENTO '!B99</f>
        <v>4.4.1</v>
      </c>
      <c r="C99" s="111" t="str">
        <f>'CUMPLIMIENTO '!C99</f>
        <v>Atención y servicios al ciudadano de calidad al alcance de todos.</v>
      </c>
      <c r="D99" s="199">
        <f>'CUMPLIMIENTO '!D99</f>
        <v>5</v>
      </c>
      <c r="E99" s="199">
        <f>'CUMPLIMIENTO '!E99</f>
        <v>2</v>
      </c>
      <c r="F99" s="61">
        <f>'CUMPLIMIENTO '!G99</f>
        <v>0.167625</v>
      </c>
      <c r="G99" s="61">
        <f>'CUMPLIMIENTO '!H99</f>
        <v>1.5000000000000001E-2</v>
      </c>
    </row>
    <row r="100" spans="1:7" ht="15.75" hidden="1" x14ac:dyDescent="0.25">
      <c r="A100" s="198" t="str">
        <f>'CUMPLIMIENTO '!A100</f>
        <v>PROGRAMA</v>
      </c>
      <c r="B100" s="106" t="str">
        <f>'CUMPLIMIENTO '!B100</f>
        <v>4.4.2</v>
      </c>
      <c r="C100" s="111" t="str">
        <f>'CUMPLIMIENTO '!C100</f>
        <v>Gestión Documental</v>
      </c>
      <c r="D100" s="199">
        <f>'CUMPLIMIENTO '!D100</f>
        <v>4</v>
      </c>
      <c r="E100" s="199">
        <f>'CUMPLIMIENTO '!E100</f>
        <v>2</v>
      </c>
      <c r="F100" s="61">
        <f>'CUMPLIMIENTO '!G100</f>
        <v>0.21513888888888891</v>
      </c>
      <c r="G100" s="61">
        <f>'CUMPLIMIENTO '!H100</f>
        <v>0.16999999999999998</v>
      </c>
    </row>
    <row r="101" spans="1:7" ht="15.75" hidden="1" x14ac:dyDescent="0.25">
      <c r="A101" s="198" t="str">
        <f>'CUMPLIMIENTO '!A101</f>
        <v>PROGRAMA</v>
      </c>
      <c r="B101" s="106" t="str">
        <f>'CUMPLIMIENTO '!B101</f>
        <v>4.4.3</v>
      </c>
      <c r="C101" s="111" t="str">
        <f>'CUMPLIMIENTO '!C101</f>
        <v>Gobierno Digital</v>
      </c>
      <c r="D101" s="199">
        <f>'CUMPLIMIENTO '!D101</f>
        <v>8</v>
      </c>
      <c r="E101" s="199">
        <f>'CUMPLIMIENTO '!E101</f>
        <v>8</v>
      </c>
      <c r="F101" s="61">
        <f>'CUMPLIMIENTO '!G101</f>
        <v>0.72017489035087723</v>
      </c>
      <c r="G101" s="61">
        <f>'CUMPLIMIENTO '!H101</f>
        <v>0.13200000000000001</v>
      </c>
    </row>
    <row r="102" spans="1:7" ht="15.75" hidden="1" x14ac:dyDescent="0.25">
      <c r="A102" s="198" t="str">
        <f>'CUMPLIMIENTO '!A102</f>
        <v>PROGRAMA</v>
      </c>
      <c r="B102" s="106" t="str">
        <f>'CUMPLIMIENTO '!B102</f>
        <v>4.4.4</v>
      </c>
      <c r="C102" s="111" t="str">
        <f>'CUMPLIMIENTO '!C102</f>
        <v>Infraestructura física para todos</v>
      </c>
      <c r="D102" s="199">
        <f>'CUMPLIMIENTO '!D102</f>
        <v>3</v>
      </c>
      <c r="E102" s="199">
        <f>'CUMPLIMIENTO '!E102</f>
        <v>3</v>
      </c>
      <c r="F102" s="61">
        <f>'CUMPLIMIENTO '!G102</f>
        <v>0.77276688453159048</v>
      </c>
      <c r="G102" s="61">
        <f>'CUMPLIMIENTO '!H102</f>
        <v>8.3333333333333329E-2</v>
      </c>
    </row>
    <row r="103" spans="1:7" ht="15.75" hidden="1" x14ac:dyDescent="0.25">
      <c r="A103" s="198" t="str">
        <f>'CUMPLIMIENTO '!A103</f>
        <v>PROGRAMA</v>
      </c>
      <c r="B103" s="106" t="str">
        <f>'CUMPLIMIENTO '!B103</f>
        <v>4.4.5</v>
      </c>
      <c r="C103" s="111" t="str">
        <f>'CUMPLIMIENTO '!C103</f>
        <v>Asistencia Municipal</v>
      </c>
      <c r="D103" s="199">
        <f>'CUMPLIMIENTO '!D103</f>
        <v>1</v>
      </c>
      <c r="E103" s="199">
        <f>'CUMPLIMIENTO '!E103</f>
        <v>1</v>
      </c>
      <c r="F103" s="61">
        <f>'CUMPLIMIENTO '!G103</f>
        <v>0.2</v>
      </c>
      <c r="G103" s="61">
        <f>'CUMPLIMIENTO '!H103</f>
        <v>0.25</v>
      </c>
    </row>
    <row r="104" spans="1:7" ht="15.75" hidden="1" x14ac:dyDescent="0.25">
      <c r="A104" s="198" t="str">
        <f>'CUMPLIMIENTO '!A104</f>
        <v>PROGRAMA</v>
      </c>
      <c r="B104" s="106" t="str">
        <f>'CUMPLIMIENTO '!B104</f>
        <v>4.4.6</v>
      </c>
      <c r="C104" s="111" t="str">
        <f>'CUMPLIMIENTO '!C104</f>
        <v>Programa: Cuerpos Bomberos</v>
      </c>
      <c r="D104" s="199">
        <f>'CUMPLIMIENTO '!D104</f>
        <v>1</v>
      </c>
      <c r="E104" s="199">
        <f>'CUMPLIMIENTO '!E104</f>
        <v>1</v>
      </c>
      <c r="F104" s="61">
        <f>'CUMPLIMIENTO '!G104</f>
        <v>0.12</v>
      </c>
      <c r="G104" s="61">
        <f>'CUMPLIMIENTO '!H104</f>
        <v>0.25</v>
      </c>
    </row>
    <row r="105" spans="1:7" ht="15.75" hidden="1" x14ac:dyDescent="0.25">
      <c r="A105" s="198" t="str">
        <f>'CUMPLIMIENTO '!A105</f>
        <v>PROGRAMA</v>
      </c>
      <c r="B105" s="106" t="str">
        <f>'CUMPLIMIENTO '!B105</f>
        <v>4.4.7</v>
      </c>
      <c r="C105" s="111" t="str">
        <f>'CUMPLIMIENTO '!C105</f>
        <v>Mejores funcionarios, mejor gobierno</v>
      </c>
      <c r="D105" s="199">
        <f>'CUMPLIMIENTO '!D105</f>
        <v>1</v>
      </c>
      <c r="E105" s="199">
        <f>'CUMPLIMIENTO '!E105</f>
        <v>1</v>
      </c>
      <c r="F105" s="61">
        <f>'CUMPLIMIENTO '!G105</f>
        <v>0.5</v>
      </c>
      <c r="G105" s="61">
        <f>'CUMPLIMIENTO '!H105</f>
        <v>0</v>
      </c>
    </row>
    <row r="106" spans="1:7" ht="15.75" hidden="1" x14ac:dyDescent="0.25">
      <c r="A106" s="198" t="str">
        <f>'CUMPLIMIENTO '!A106</f>
        <v>PROGRAMA</v>
      </c>
      <c r="B106" s="106" t="str">
        <f>'CUMPLIMIENTO '!B106</f>
        <v>4.4.8</v>
      </c>
      <c r="C106" s="111" t="str">
        <f>'CUMPLIMIENTO '!C106</f>
        <v>Bolívar primero en el territorio: diálogo y acción</v>
      </c>
      <c r="D106" s="199">
        <f>'CUMPLIMIENTO '!D106</f>
        <v>3</v>
      </c>
      <c r="E106" s="199">
        <f>'CUMPLIMIENTO '!E106</f>
        <v>3</v>
      </c>
      <c r="F106" s="61">
        <f>'CUMPLIMIENTO '!G106</f>
        <v>3.3333333333333333E-2</v>
      </c>
      <c r="G106" s="61">
        <f>'CUMPLIMIENTO '!H106</f>
        <v>0.10416666666666667</v>
      </c>
    </row>
    <row r="107" spans="1:7" ht="15.75" hidden="1" x14ac:dyDescent="0.25">
      <c r="A107" s="202" t="str">
        <f>'CUMPLIMIENTO '!A107</f>
        <v>LINEA</v>
      </c>
      <c r="B107" s="203" t="str">
        <f>'CUMPLIMIENTO '!B107</f>
        <v>4.5</v>
      </c>
      <c r="C107" s="202" t="str">
        <f>'CUMPLIMIENTO '!C107</f>
        <v xml:space="preserve">BOLÍVAR CONTROLA LAS FINANZAS PÚBLICAS. </v>
      </c>
      <c r="D107" s="216">
        <f>'CUMPLIMIENTO '!D107</f>
        <v>7</v>
      </c>
      <c r="E107" s="216">
        <f>'CUMPLIMIENTO '!E107</f>
        <v>2</v>
      </c>
      <c r="F107" s="217">
        <f>'CUMPLIMIENTO '!G107</f>
        <v>3.5714285714285712E-2</v>
      </c>
      <c r="G107" s="218">
        <f>'CUMPLIMIENTO '!H107</f>
        <v>0</v>
      </c>
    </row>
    <row r="108" spans="1:7" ht="24.6" hidden="1" customHeight="1" x14ac:dyDescent="0.25">
      <c r="A108" s="198" t="str">
        <f>'CUMPLIMIENTO '!A108</f>
        <v>PROGRAMA</v>
      </c>
      <c r="B108" s="106" t="str">
        <f>'CUMPLIMIENTO '!B108</f>
        <v>4.5.1</v>
      </c>
      <c r="C108" s="111" t="str">
        <f>'CUMPLIMIENTO '!C108</f>
        <v xml:space="preserve">Fortalecimiento financiero administrativo y fiscal de la secretaria de hacienda </v>
      </c>
      <c r="D108" s="199">
        <f>'CUMPLIMIENTO '!D108</f>
        <v>7</v>
      </c>
      <c r="E108" s="199">
        <f>'CUMPLIMIENTO '!E108</f>
        <v>2</v>
      </c>
      <c r="F108" s="61">
        <f>'CUMPLIMIENTO '!G108</f>
        <v>3.5714285714285712E-2</v>
      </c>
      <c r="G108" s="61">
        <f>'CUMPLIMIENTO '!H108</f>
        <v>0</v>
      </c>
    </row>
    <row r="109" spans="1:7" ht="15.75" hidden="1" x14ac:dyDescent="0.25">
      <c r="A109" s="202" t="str">
        <f>'CUMPLIMIENTO '!A109</f>
        <v>LINEA</v>
      </c>
      <c r="B109" s="203" t="str">
        <f>'CUMPLIMIENTO '!B109</f>
        <v>4.6</v>
      </c>
      <c r="C109" s="202" t="str">
        <f>'CUMPLIMIENTO '!C109</f>
        <v>BOLÍVAR PRIMERO PROPICIA LA PARTICIPACIÓN CIUDADANA.</v>
      </c>
      <c r="D109" s="216">
        <f>'CUMPLIMIENTO '!D109</f>
        <v>11</v>
      </c>
      <c r="E109" s="216">
        <f>'CUMPLIMIENTO '!E109</f>
        <v>5</v>
      </c>
      <c r="F109" s="217">
        <f>'CUMPLIMIENTO '!G109</f>
        <v>0.20555555555555557</v>
      </c>
      <c r="G109" s="218">
        <f>'CUMPLIMIENTO '!H109</f>
        <v>2.5000000000000001E-2</v>
      </c>
    </row>
    <row r="110" spans="1:7" ht="15.75" hidden="1" x14ac:dyDescent="0.25">
      <c r="A110" s="198" t="str">
        <f>'CUMPLIMIENTO '!A110</f>
        <v>PROGRAMA</v>
      </c>
      <c r="B110" s="106" t="str">
        <f>'CUMPLIMIENTO '!B110</f>
        <v>4.6.1</v>
      </c>
      <c r="C110" s="111" t="str">
        <f>'CUMPLIMIENTO '!C110</f>
        <v>Participación Ciudadana</v>
      </c>
      <c r="D110" s="199">
        <f>'CUMPLIMIENTO '!D110</f>
        <v>4</v>
      </c>
      <c r="E110" s="199">
        <f>'CUMPLIMIENTO '!E110</f>
        <v>2</v>
      </c>
      <c r="F110" s="61">
        <f>'CUMPLIMIENTO '!G110</f>
        <v>0.140625</v>
      </c>
      <c r="G110" s="61">
        <f>'CUMPLIMIENTO '!H110</f>
        <v>0.05</v>
      </c>
    </row>
    <row r="111" spans="1:7" ht="15.75" hidden="1" x14ac:dyDescent="0.25">
      <c r="A111" s="198" t="str">
        <f>'CUMPLIMIENTO '!A111</f>
        <v>PROGRAMA</v>
      </c>
      <c r="B111" s="106" t="str">
        <f>'CUMPLIMIENTO '!B111</f>
        <v xml:space="preserve">4.6.2 </v>
      </c>
      <c r="C111" s="111" t="str">
        <f>'CUMPLIMIENTO '!C111</f>
        <v>Organismos comunales</v>
      </c>
      <c r="D111" s="199">
        <f>'CUMPLIMIENTO '!D111</f>
        <v>3</v>
      </c>
      <c r="E111" s="199">
        <f>'CUMPLIMIENTO '!E111</f>
        <v>2</v>
      </c>
      <c r="F111" s="61">
        <f>'CUMPLIMIENTO '!G111</f>
        <v>0.11666666666666665</v>
      </c>
      <c r="G111" s="61">
        <f>'CUMPLIMIENTO '!H111</f>
        <v>0</v>
      </c>
    </row>
    <row r="112" spans="1:7" ht="15.75" hidden="1" x14ac:dyDescent="0.25">
      <c r="A112" s="198" t="str">
        <f>'CUMPLIMIENTO '!A112</f>
        <v>PROGRAMA</v>
      </c>
      <c r="B112" s="106" t="str">
        <f>'CUMPLIMIENTO '!B112</f>
        <v>4.6.3</v>
      </c>
      <c r="C112" s="111" t="str">
        <f>'CUMPLIMIENTO '!C112</f>
        <v>Procesos electorales</v>
      </c>
      <c r="D112" s="199">
        <f>'CUMPLIMIENTO '!D112</f>
        <v>1</v>
      </c>
      <c r="E112" s="199">
        <f>'CUMPLIMIENTO '!E112</f>
        <v>1</v>
      </c>
      <c r="F112" s="61">
        <f>'CUMPLIMIENTO '!G112</f>
        <v>0.5</v>
      </c>
      <c r="G112" s="61" t="str">
        <f>'CUMPLIMIENTO '!H112</f>
        <v>NP</v>
      </c>
    </row>
    <row r="113" spans="1:7" ht="15.75" hidden="1" x14ac:dyDescent="0.25">
      <c r="A113" s="198" t="str">
        <f>'CUMPLIMIENTO '!A113</f>
        <v>PROGRAMA</v>
      </c>
      <c r="B113" s="106" t="str">
        <f>'CUMPLIMIENTO '!B113</f>
        <v>4.6.4</v>
      </c>
      <c r="C113" s="111" t="str">
        <f>'CUMPLIMIENTO '!C113</f>
        <v>Construcción de Cultura Ciudadana</v>
      </c>
      <c r="D113" s="199">
        <f>'CUMPLIMIENTO '!D113</f>
        <v>3</v>
      </c>
      <c r="E113" s="199" t="str">
        <f>'CUMPLIMIENTO '!E113</f>
        <v>NP</v>
      </c>
      <c r="F113" s="61">
        <f>'CUMPLIMIENTO '!G113</f>
        <v>0</v>
      </c>
      <c r="G113" s="61" t="str">
        <f>'CUMPLIMIENTO '!H113</f>
        <v>NP</v>
      </c>
    </row>
    <row r="114" spans="1:7" ht="18.75" hidden="1" x14ac:dyDescent="0.25">
      <c r="A114" s="227" t="str">
        <f>'CUMPLIMIENTO '!A114</f>
        <v>EJE ESTRATEGICO</v>
      </c>
      <c r="B114" s="226">
        <f>'CUMPLIMIENTO '!B114</f>
        <v>5</v>
      </c>
      <c r="C114" s="227" t="str">
        <f>'CUMPLIMIENTO '!C114</f>
        <v>BOLÍVAR PRIMERO EN RURALIDAD</v>
      </c>
      <c r="D114" s="187">
        <f>'CUMPLIMIENTO '!D114</f>
        <v>34</v>
      </c>
      <c r="E114" s="187">
        <f>'CUMPLIMIENTO '!E114</f>
        <v>11</v>
      </c>
      <c r="F114" s="188">
        <f>'CUMPLIMIENTO '!G114</f>
        <v>0.31751547831253712</v>
      </c>
      <c r="G114" s="188">
        <f>'CUMPLIMIENTO '!H114</f>
        <v>0.37496305418719206</v>
      </c>
    </row>
    <row r="115" spans="1:7" ht="15.75" hidden="1" x14ac:dyDescent="0.25">
      <c r="A115" s="202" t="str">
        <f>'CUMPLIMIENTO '!A115</f>
        <v>LINEA</v>
      </c>
      <c r="B115" s="203" t="str">
        <f>'CUMPLIMIENTO '!B115</f>
        <v>5.1</v>
      </c>
      <c r="C115" s="202" t="str">
        <f>'CUMPLIMIENTO '!C115</f>
        <v>BOLÍVAR AL CAMPO: PLAN DE ATENCIÓN RURAL INTEGRAL Y PRIORITARIA - PARIP</v>
      </c>
      <c r="D115" s="216">
        <f>'CUMPLIMIENTO '!D115</f>
        <v>34</v>
      </c>
      <c r="E115" s="216">
        <f>'CUMPLIMIENTO '!E115</f>
        <v>11</v>
      </c>
      <c r="F115" s="217">
        <f>'CUMPLIMIENTO '!G115</f>
        <v>0.31751547831253712</v>
      </c>
      <c r="G115" s="218">
        <f>'CUMPLIMIENTO '!H115</f>
        <v>0.37496305418719206</v>
      </c>
    </row>
    <row r="116" spans="1:7" ht="15.75" hidden="1" x14ac:dyDescent="0.25">
      <c r="A116" s="198" t="str">
        <f>'CUMPLIMIENTO '!A116</f>
        <v>PROGRAMA</v>
      </c>
      <c r="B116" s="106" t="str">
        <f>'CUMPLIMIENTO '!B116</f>
        <v>5.1.1</v>
      </c>
      <c r="C116" s="111" t="str">
        <f>'CUMPLIMIENTO '!C116</f>
        <v xml:space="preserve">Bolívar garantiza derechos sociales en el campo.  </v>
      </c>
      <c r="D116" s="199">
        <f>'CUMPLIMIENTO '!D116</f>
        <v>9</v>
      </c>
      <c r="E116" s="199" t="str">
        <f>'CUMPLIMIENTO '!E116</f>
        <v>NP</v>
      </c>
      <c r="F116" s="61">
        <f>'CUMPLIMIENTO '!G116</f>
        <v>1.9166666666666665E-2</v>
      </c>
      <c r="G116" s="61">
        <f>'CUMPLIMIENTO '!H116</f>
        <v>0.12023809523809523</v>
      </c>
    </row>
    <row r="117" spans="1:7" ht="15.75" hidden="1" x14ac:dyDescent="0.25">
      <c r="A117" s="198" t="str">
        <f>'CUMPLIMIENTO '!A117</f>
        <v>PROGRAMA</v>
      </c>
      <c r="B117" s="106" t="str">
        <f>'CUMPLIMIENTO '!B117</f>
        <v>5.1.2</v>
      </c>
      <c r="C117" s="111" t="str">
        <f>'CUMPLIMIENTO '!C117</f>
        <v>Bolívar Educa en el campo</v>
      </c>
      <c r="D117" s="199">
        <f>'CUMPLIMIENTO '!D117</f>
        <v>4</v>
      </c>
      <c r="E117" s="199" t="str">
        <f>'CUMPLIMIENTO '!E117</f>
        <v>NP</v>
      </c>
      <c r="F117" s="61">
        <f>'CUMPLIMIENTO '!G117</f>
        <v>0.36909090909090914</v>
      </c>
      <c r="G117" s="61">
        <f>'CUMPLIMIENTO '!H117</f>
        <v>0.69620689655172407</v>
      </c>
    </row>
    <row r="118" spans="1:7" ht="15.75" hidden="1" x14ac:dyDescent="0.25">
      <c r="A118" s="198" t="str">
        <f>'CUMPLIMIENTO '!A118</f>
        <v>PROGRAMA</v>
      </c>
      <c r="B118" s="106" t="str">
        <f>'CUMPLIMIENTO '!B118</f>
        <v>5.1.3</v>
      </c>
      <c r="C118" s="111" t="str">
        <f>'CUMPLIMIENTO '!C118</f>
        <v>Bolívar lleva Servicios Públicos al campo.</v>
      </c>
      <c r="D118" s="199">
        <f>'CUMPLIMIENTO '!D118</f>
        <v>3</v>
      </c>
      <c r="E118" s="199">
        <f>'CUMPLIMIENTO '!E118</f>
        <v>1</v>
      </c>
      <c r="F118" s="61">
        <f>'CUMPLIMIENTO '!G118</f>
        <v>0.48</v>
      </c>
      <c r="G118" s="61">
        <f>'CUMPLIMIENTO '!H118</f>
        <v>0.375</v>
      </c>
    </row>
    <row r="119" spans="1:7" ht="15.75" hidden="1" x14ac:dyDescent="0.25">
      <c r="A119" s="198" t="str">
        <f>'CUMPLIMIENTO '!A119</f>
        <v>PROGRAMA</v>
      </c>
      <c r="B119" s="106" t="str">
        <f>'CUMPLIMIENTO '!B119</f>
        <v>5.1.4</v>
      </c>
      <c r="C119" s="111" t="str">
        <f>'CUMPLIMIENTO '!C119</f>
        <v xml:space="preserve">Ingreso, trabajo y productividad en el campo. </v>
      </c>
      <c r="D119" s="199">
        <f>'CUMPLIMIENTO '!D119</f>
        <v>10</v>
      </c>
      <c r="E119" s="199">
        <f>'CUMPLIMIENTO '!E119</f>
        <v>7</v>
      </c>
      <c r="F119" s="61">
        <f>'CUMPLIMIENTO '!G119</f>
        <v>0.28860000000000002</v>
      </c>
      <c r="G119" s="61">
        <f>'CUMPLIMIENTO '!H119</f>
        <v>5.5555555555555552E-2</v>
      </c>
    </row>
    <row r="120" spans="1:7" ht="15.75" hidden="1" x14ac:dyDescent="0.25">
      <c r="A120" s="198" t="str">
        <f>'CUMPLIMIENTO '!A120</f>
        <v>PROGRAMA</v>
      </c>
      <c r="B120" s="106" t="str">
        <f>'CUMPLIMIENTO '!B120</f>
        <v>5.1.5</v>
      </c>
      <c r="C120" s="111" t="str">
        <f>'CUMPLIMIENTO '!C120</f>
        <v>Infraestructura rural.</v>
      </c>
      <c r="D120" s="199">
        <f>'CUMPLIMIENTO '!D120</f>
        <v>2</v>
      </c>
      <c r="E120" s="199">
        <f>'CUMPLIMIENTO '!E120</f>
        <v>2</v>
      </c>
      <c r="F120" s="61">
        <f>'CUMPLIMIENTO '!G120</f>
        <v>0.71323529411764697</v>
      </c>
      <c r="G120" s="61">
        <f>'CUMPLIMIENTO '!H120</f>
        <v>0.85</v>
      </c>
    </row>
    <row r="121" spans="1:7" ht="15.75" hidden="1" x14ac:dyDescent="0.25">
      <c r="A121" s="198" t="str">
        <f>'CUMPLIMIENTO '!A121</f>
        <v>PROGRAMA</v>
      </c>
      <c r="B121" s="106" t="str">
        <f>'CUMPLIMIENTO '!B121</f>
        <v>5.1.6</v>
      </c>
      <c r="C121" s="111" t="str">
        <f>'CUMPLIMIENTO '!C121</f>
        <v>Cultura, deporte y recreación en el campo.</v>
      </c>
      <c r="D121" s="199">
        <f>'CUMPLIMIENTO '!D121</f>
        <v>6</v>
      </c>
      <c r="E121" s="199">
        <f>'CUMPLIMIENTO '!E121</f>
        <v>1</v>
      </c>
      <c r="F121" s="61">
        <f>'CUMPLIMIENTO '!G121</f>
        <v>3.5000000000000003E-2</v>
      </c>
      <c r="G121" s="61">
        <f>'CUMPLIMIENTO '!H121</f>
        <v>0.15277777777777776</v>
      </c>
    </row>
    <row r="122" spans="1:7" ht="18.75" hidden="1" x14ac:dyDescent="0.25">
      <c r="A122" s="230" t="str">
        <f>'CUMPLIMIENTO '!A122</f>
        <v>EJE ESTRATEGICO</v>
      </c>
      <c r="B122" s="229">
        <f>'CUMPLIMIENTO '!B122</f>
        <v>6</v>
      </c>
      <c r="C122" s="230" t="str">
        <f>'CUMPLIMIENTO '!C122</f>
        <v>GRUPOS POBLACIONALES</v>
      </c>
      <c r="D122" s="231">
        <f>'CUMPLIMIENTO '!D122</f>
        <v>128</v>
      </c>
      <c r="E122" s="231">
        <f>'CUMPLIMIENTO '!E122</f>
        <v>83</v>
      </c>
      <c r="F122" s="232">
        <f>'CUMPLIMIENTO '!G122</f>
        <v>0.29743627103134557</v>
      </c>
      <c r="G122" s="232">
        <f>'CUMPLIMIENTO '!H122</f>
        <v>0.18931768927175735</v>
      </c>
    </row>
    <row r="123" spans="1:7" ht="31.5" hidden="1" x14ac:dyDescent="0.25">
      <c r="A123" s="202" t="str">
        <f>'CUMPLIMIENTO '!A123</f>
        <v>LINEA</v>
      </c>
      <c r="B123" s="203" t="str">
        <f>'CUMPLIMIENTO '!B123</f>
        <v>6.1</v>
      </c>
      <c r="C123" s="221" t="str">
        <f>'CUMPLIMIENTO '!C123</f>
        <v xml:space="preserve">CAPITULO ATENCIÓN A VÍCTIMAS, CONSTRUCCIÓN DE PAZ Y RECONCILIACIÓN </v>
      </c>
      <c r="D123" s="216">
        <f>'CUMPLIMIENTO '!D123</f>
        <v>52</v>
      </c>
      <c r="E123" s="216">
        <f>'CUMPLIMIENTO '!E123</f>
        <v>38</v>
      </c>
      <c r="F123" s="217">
        <f>'CUMPLIMIENTO '!G123</f>
        <v>0.22420701145984015</v>
      </c>
      <c r="G123" s="218">
        <f>'CUMPLIMIENTO '!H123</f>
        <v>0.27793974732750243</v>
      </c>
    </row>
    <row r="124" spans="1:7" ht="15.75" hidden="1" x14ac:dyDescent="0.25">
      <c r="A124" s="198" t="str">
        <f>'CUMPLIMIENTO '!A124</f>
        <v>PROGRAMA</v>
      </c>
      <c r="B124" s="106" t="str">
        <f>'CUMPLIMIENTO '!B124</f>
        <v>6.1.1</v>
      </c>
      <c r="C124" s="111" t="str">
        <f>'CUMPLIMIENTO '!C124</f>
        <v>Atención y Asistencia</v>
      </c>
      <c r="D124" s="199">
        <f>'CUMPLIMIENTO '!D124</f>
        <v>16</v>
      </c>
      <c r="E124" s="199">
        <f>'CUMPLIMIENTO '!E124</f>
        <v>9</v>
      </c>
      <c r="F124" s="61">
        <f>'CUMPLIMIENTO '!G124</f>
        <v>0.25437813283208016</v>
      </c>
      <c r="G124" s="61">
        <f>'CUMPLIMIENTO '!H124</f>
        <v>0.29777777777777775</v>
      </c>
    </row>
    <row r="125" spans="1:7" ht="15.75" hidden="1" x14ac:dyDescent="0.25">
      <c r="A125" s="198" t="str">
        <f>'CUMPLIMIENTO '!A125</f>
        <v>PROGRAMA</v>
      </c>
      <c r="B125" s="106" t="str">
        <f>'CUMPLIMIENTO '!B125</f>
        <v>6.1.2</v>
      </c>
      <c r="C125" s="111" t="str">
        <f>'CUMPLIMIENTO '!C125</f>
        <v>Prevención y Protección</v>
      </c>
      <c r="D125" s="199">
        <f>'CUMPLIMIENTO '!D125</f>
        <v>5</v>
      </c>
      <c r="E125" s="199">
        <f>'CUMPLIMIENTO '!E125</f>
        <v>5</v>
      </c>
      <c r="F125" s="61">
        <f>'CUMPLIMIENTO '!G125</f>
        <v>0.16250000000000001</v>
      </c>
      <c r="G125" s="61">
        <f>'CUMPLIMIENTO '!H125</f>
        <v>0.2</v>
      </c>
    </row>
    <row r="126" spans="1:7" ht="15.75" hidden="1" x14ac:dyDescent="0.25">
      <c r="A126" s="198" t="str">
        <f>'CUMPLIMIENTO '!A126</f>
        <v>PROGRAMA</v>
      </c>
      <c r="B126" s="106" t="str">
        <f>'CUMPLIMIENTO '!B126</f>
        <v xml:space="preserve">6.1.3 </v>
      </c>
      <c r="C126" s="111" t="str">
        <f>'CUMPLIMIENTO '!C126</f>
        <v xml:space="preserve">Reparación Colectiva, retornos y reubicaciones </v>
      </c>
      <c r="D126" s="199">
        <f>'CUMPLIMIENTO '!D126</f>
        <v>3</v>
      </c>
      <c r="E126" s="199">
        <f>'CUMPLIMIENTO '!E126</f>
        <v>3</v>
      </c>
      <c r="F126" s="61">
        <f>'CUMPLIMIENTO '!G126</f>
        <v>0.16250000000000001</v>
      </c>
      <c r="G126" s="61">
        <f>'CUMPLIMIENTO '!H126</f>
        <v>0.12222222222222223</v>
      </c>
    </row>
    <row r="127" spans="1:7" ht="15.75" hidden="1" x14ac:dyDescent="0.25">
      <c r="A127" s="198" t="str">
        <f>'CUMPLIMIENTO '!A127</f>
        <v>PROGRAMA</v>
      </c>
      <c r="B127" s="106" t="str">
        <f>'CUMPLIMIENTO '!B127</f>
        <v xml:space="preserve">6.1.4 </v>
      </c>
      <c r="C127" s="111" t="str">
        <f>'CUMPLIMIENTO '!C127</f>
        <v>Participación efectiva</v>
      </c>
      <c r="D127" s="199">
        <f>'CUMPLIMIENTO '!D127</f>
        <v>5</v>
      </c>
      <c r="E127" s="199">
        <f>'CUMPLIMIENTO '!E127</f>
        <v>4</v>
      </c>
      <c r="F127" s="61">
        <f>'CUMPLIMIENTO '!G127</f>
        <v>0.10482336956521739</v>
      </c>
      <c r="G127" s="61">
        <f>'CUMPLIMIENTO '!H127</f>
        <v>0.10500000000000001</v>
      </c>
    </row>
    <row r="128" spans="1:7" ht="15.75" hidden="1" x14ac:dyDescent="0.25">
      <c r="A128" s="198" t="str">
        <f>'CUMPLIMIENTO '!A128</f>
        <v>PROGRAMA</v>
      </c>
      <c r="B128" s="106" t="str">
        <f>'CUMPLIMIENTO '!B128</f>
        <v xml:space="preserve">6.1.5 </v>
      </c>
      <c r="C128" s="111" t="str">
        <f>'CUMPLIMIENTO '!C128</f>
        <v xml:space="preserve">Fortalecimiento para la Gestión institucional y Sistemas de Información </v>
      </c>
      <c r="D128" s="199">
        <f>'CUMPLIMIENTO '!D128</f>
        <v>11</v>
      </c>
      <c r="E128" s="199">
        <f>'CUMPLIMIENTO '!E128</f>
        <v>10</v>
      </c>
      <c r="F128" s="61">
        <f>'CUMPLIMIENTO '!G128</f>
        <v>0.35759313766714318</v>
      </c>
      <c r="G128" s="61">
        <f>'CUMPLIMIENTO '!H128</f>
        <v>0.21224489795918369</v>
      </c>
    </row>
    <row r="129" spans="1:11" ht="15.75" hidden="1" x14ac:dyDescent="0.25">
      <c r="A129" s="198" t="str">
        <f>'CUMPLIMIENTO '!A129</f>
        <v>PROGRAMA</v>
      </c>
      <c r="B129" s="106" t="str">
        <f>'CUMPLIMIENTO '!B129</f>
        <v>6.1.6</v>
      </c>
      <c r="C129" s="111" t="str">
        <f>'CUMPLIMIENTO '!C129</f>
        <v>Restitución de tierras</v>
      </c>
      <c r="D129" s="199">
        <f>'CUMPLIMIENTO '!D129</f>
        <v>4</v>
      </c>
      <c r="E129" s="199">
        <f>'CUMPLIMIENTO '!E129</f>
        <v>4</v>
      </c>
      <c r="F129" s="61">
        <f>'CUMPLIMIENTO '!G129</f>
        <v>0.38063063063063063</v>
      </c>
      <c r="G129" s="61">
        <f>'CUMPLIMIENTO '!H129</f>
        <v>0.8</v>
      </c>
    </row>
    <row r="130" spans="1:11" ht="30" hidden="1" x14ac:dyDescent="0.25">
      <c r="A130" s="198" t="str">
        <f>'CUMPLIMIENTO '!A130</f>
        <v>PROGRAMA</v>
      </c>
      <c r="B130" s="106" t="str">
        <f>'CUMPLIMIENTO '!B130</f>
        <v>6.1.7</v>
      </c>
      <c r="C130" s="111" t="str">
        <f>'CUMPLIMIENTO '!C130</f>
        <v>Programa: Inclusión y reincorporación comunitaria para la consolidación de la paz</v>
      </c>
      <c r="D130" s="199">
        <f>'CUMPLIMIENTO '!D130</f>
        <v>8</v>
      </c>
      <c r="E130" s="199">
        <f>'CUMPLIMIENTO '!E130</f>
        <v>3</v>
      </c>
      <c r="F130" s="61">
        <f>'CUMPLIMIENTO '!G130</f>
        <v>0.14702380952380953</v>
      </c>
      <c r="G130" s="61">
        <f>'CUMPLIMIENTO '!H130</f>
        <v>0.20833333333333331</v>
      </c>
    </row>
    <row r="131" spans="1:11" ht="15.75" hidden="1" x14ac:dyDescent="0.25">
      <c r="A131" s="202" t="str">
        <f>'CUMPLIMIENTO '!A131</f>
        <v>LINEA</v>
      </c>
      <c r="B131" s="203" t="str">
        <f>'CUMPLIMIENTO '!B131</f>
        <v>6.2</v>
      </c>
      <c r="C131" s="202" t="str">
        <f>'CUMPLIMIENTO '!C131</f>
        <v>CAPITULO DE MINORÍAS ÉTNICAS.</v>
      </c>
      <c r="D131" s="216">
        <f>'CUMPLIMIENTO '!D131</f>
        <v>37</v>
      </c>
      <c r="E131" s="216">
        <f>'CUMPLIMIENTO '!E131</f>
        <v>10</v>
      </c>
      <c r="F131" s="217">
        <f>'CUMPLIMIENTO '!G131</f>
        <v>0.12273065476190476</v>
      </c>
      <c r="G131" s="218">
        <f>'CUMPLIMIENTO '!H131</f>
        <v>0.12968749999999998</v>
      </c>
    </row>
    <row r="132" spans="1:11" ht="15.75" hidden="1" x14ac:dyDescent="0.25">
      <c r="A132" s="198" t="str">
        <f>'CUMPLIMIENTO '!A132</f>
        <v>PROGRAMA</v>
      </c>
      <c r="B132" s="106" t="str">
        <f>'CUMPLIMIENTO '!B132</f>
        <v>6.2.1</v>
      </c>
      <c r="C132" s="111" t="str">
        <f>'CUMPLIMIENTO '!C132</f>
        <v xml:space="preserve">Fortalecimiento de los procesos organizacionales de la población NARP. </v>
      </c>
      <c r="D132" s="199">
        <f>'CUMPLIMIENTO '!D132</f>
        <v>4</v>
      </c>
      <c r="E132" s="199">
        <f>'CUMPLIMIENTO '!E132</f>
        <v>4</v>
      </c>
      <c r="F132" s="61">
        <f>'CUMPLIMIENTO '!G132</f>
        <v>0.453125</v>
      </c>
      <c r="G132" s="61">
        <f>'CUMPLIMIENTO '!H132</f>
        <v>0.4375</v>
      </c>
    </row>
    <row r="133" spans="1:11" ht="30" hidden="1" x14ac:dyDescent="0.25">
      <c r="A133" s="198" t="str">
        <f>'CUMPLIMIENTO '!A133</f>
        <v>PROGRAMA</v>
      </c>
      <c r="B133" s="106" t="str">
        <f>'CUMPLIMIENTO '!B133</f>
        <v>6.2.2</v>
      </c>
      <c r="C133" s="111" t="str">
        <f>'CUMPLIMIENTO '!C133</f>
        <v>Mujer y género en población negra, afrocolombiana, raizal, palenquera, indígena y rom</v>
      </c>
      <c r="D133" s="199">
        <f>'CUMPLIMIENTO '!D133</f>
        <v>4</v>
      </c>
      <c r="E133" s="199">
        <f>'CUMPLIMIENTO '!E133</f>
        <v>2</v>
      </c>
      <c r="F133" s="61">
        <f>'CUMPLIMIENTO '!G133</f>
        <v>4.0625000000000001E-2</v>
      </c>
      <c r="G133" s="61">
        <f>'CUMPLIMIENTO '!H133</f>
        <v>0.1</v>
      </c>
    </row>
    <row r="134" spans="1:11" ht="15.75" hidden="1" x14ac:dyDescent="0.25">
      <c r="A134" s="198" t="str">
        <f>'CUMPLIMIENTO '!A134</f>
        <v>PROGRAMA</v>
      </c>
      <c r="B134" s="106" t="str">
        <f>'CUMPLIMIENTO '!B134</f>
        <v>6.2.3</v>
      </c>
      <c r="C134" s="111" t="str">
        <f>'CUMPLIMIENTO '!C134</f>
        <v>Arte, cultura y patrimonio</v>
      </c>
      <c r="D134" s="199">
        <f>'CUMPLIMIENTO '!D134</f>
        <v>7</v>
      </c>
      <c r="E134" s="199" t="str">
        <f>'CUMPLIMIENTO '!E134</f>
        <v>NP</v>
      </c>
      <c r="F134" s="61">
        <f>'CUMPLIMIENTO '!G134</f>
        <v>0</v>
      </c>
      <c r="G134" s="61">
        <f>'CUMPLIMIENTO '!H134</f>
        <v>0</v>
      </c>
    </row>
    <row r="135" spans="1:11" ht="15.75" hidden="1" x14ac:dyDescent="0.25">
      <c r="A135" s="198" t="str">
        <f>'CUMPLIMIENTO '!A135</f>
        <v>PROGRAMA</v>
      </c>
      <c r="B135" s="106" t="str">
        <f>'CUMPLIMIENTO '!B135</f>
        <v>6,2,4</v>
      </c>
      <c r="C135" s="111" t="str">
        <f>'CUMPLIMIENTO '!C135</f>
        <v>Recreación y deporte.</v>
      </c>
      <c r="D135" s="199">
        <f>'CUMPLIMIENTO '!D135</f>
        <v>1</v>
      </c>
      <c r="E135" s="199" t="str">
        <f>'CUMPLIMIENTO '!E135</f>
        <v>NP</v>
      </c>
      <c r="F135" s="61">
        <f>'CUMPLIMIENTO '!G135</f>
        <v>0</v>
      </c>
      <c r="G135" s="61">
        <f>'CUMPLIMIENTO '!H135</f>
        <v>0</v>
      </c>
    </row>
    <row r="136" spans="1:11" ht="15.75" hidden="1" x14ac:dyDescent="0.25">
      <c r="A136" s="198" t="str">
        <f>'CUMPLIMIENTO '!A136</f>
        <v>PROGRAMA</v>
      </c>
      <c r="B136" s="106" t="str">
        <f>'CUMPLIMIENTO '!B136</f>
        <v>6,2,5</v>
      </c>
      <c r="C136" s="111" t="str">
        <f>'CUMPLIMIENTO '!C136</f>
        <v>Desarrollo económico</v>
      </c>
      <c r="D136" s="199">
        <f>'CUMPLIMIENTO '!D136</f>
        <v>7</v>
      </c>
      <c r="E136" s="199">
        <f>'CUMPLIMIENTO '!E136</f>
        <v>1</v>
      </c>
      <c r="F136" s="61">
        <f>'CUMPLIMIENTO '!G136</f>
        <v>7.1428571428571425E-2</v>
      </c>
      <c r="G136" s="61">
        <f>'CUMPLIMIENTO '!H136</f>
        <v>0.16666666666666666</v>
      </c>
    </row>
    <row r="137" spans="1:11" ht="15.75" hidden="1" x14ac:dyDescent="0.25">
      <c r="A137" s="198" t="str">
        <f>'CUMPLIMIENTO '!A137</f>
        <v>PROGRAMA</v>
      </c>
      <c r="B137" s="106" t="str">
        <f>'CUMPLIMIENTO '!B137</f>
        <v>6.2.6</v>
      </c>
      <c r="C137" s="111" t="str">
        <f>'CUMPLIMIENTO '!C137</f>
        <v>Educación</v>
      </c>
      <c r="D137" s="199">
        <f>'CUMPLIMIENTO '!D137</f>
        <v>6</v>
      </c>
      <c r="E137" s="199" t="str">
        <f>'CUMPLIMIENTO '!E137</f>
        <v>NP</v>
      </c>
      <c r="F137" s="61">
        <f>'CUMPLIMIENTO '!G137</f>
        <v>0</v>
      </c>
      <c r="G137" s="61">
        <f>'CUMPLIMIENTO '!H137</f>
        <v>0</v>
      </c>
    </row>
    <row r="138" spans="1:11" ht="15.75" hidden="1" x14ac:dyDescent="0.25">
      <c r="A138" s="198" t="str">
        <f>'CUMPLIMIENTO '!A138</f>
        <v>PROGRAMA</v>
      </c>
      <c r="B138" s="106" t="str">
        <f>'CUMPLIMIENTO '!B138</f>
        <v>6.2.7</v>
      </c>
      <c r="C138" s="111" t="str">
        <f>'CUMPLIMIENTO '!C138</f>
        <v>Derechos Humanos</v>
      </c>
      <c r="D138" s="199">
        <f>'CUMPLIMIENTO '!D138</f>
        <v>3</v>
      </c>
      <c r="E138" s="199">
        <f>'CUMPLIMIENTO '!E138</f>
        <v>1</v>
      </c>
      <c r="F138" s="61">
        <f>'CUMPLIMIENTO '!G138</f>
        <v>0.16666666666666666</v>
      </c>
      <c r="G138" s="61">
        <f>'CUMPLIMIENTO '!H138</f>
        <v>0</v>
      </c>
    </row>
    <row r="139" spans="1:11" ht="15.75" hidden="1" x14ac:dyDescent="0.25">
      <c r="A139" s="198" t="str">
        <f>'CUMPLIMIENTO '!A139</f>
        <v>PROGRAMA</v>
      </c>
      <c r="B139" s="106" t="str">
        <f>'CUMPLIMIENTO '!B139</f>
        <v>6.2.8</v>
      </c>
      <c r="C139" s="111" t="str">
        <f>'CUMPLIMIENTO '!C139</f>
        <v>Atención a población indígena.</v>
      </c>
      <c r="D139" s="199">
        <f>'CUMPLIMIENTO '!D139</f>
        <v>5</v>
      </c>
      <c r="E139" s="199">
        <f>'CUMPLIMIENTO '!E139</f>
        <v>2</v>
      </c>
      <c r="F139" s="61">
        <f>'CUMPLIMIENTO '!G139</f>
        <v>0.25</v>
      </c>
      <c r="G139" s="61">
        <f>'CUMPLIMIENTO '!H139</f>
        <v>0.33333333333333331</v>
      </c>
      <c r="H139" s="62"/>
    </row>
    <row r="140" spans="1:11" ht="31.5" hidden="1" x14ac:dyDescent="0.25">
      <c r="A140" s="202" t="str">
        <f>'CUMPLIMIENTO '!A140</f>
        <v>LINEA</v>
      </c>
      <c r="B140" s="203" t="str">
        <f>'CUMPLIMIENTO '!B140</f>
        <v>6.3</v>
      </c>
      <c r="C140" s="221" t="str">
        <f>'CUMPLIMIENTO '!C140</f>
        <v>CAPITULO NIÑOS Y NIÑAS EN SU PRIMERA INFANCIA, INFANCIA Y ADOLESCENCIA.</v>
      </c>
      <c r="D140" s="216">
        <f>'CUMPLIMIENTO '!D140</f>
        <v>9</v>
      </c>
      <c r="E140" s="216">
        <f>'CUMPLIMIENTO '!E140</f>
        <v>7</v>
      </c>
      <c r="F140" s="217">
        <f>'CUMPLIMIENTO '!G140</f>
        <v>0.53456790123456799</v>
      </c>
      <c r="G140" s="218">
        <f>'CUMPLIMIENTO '!H140</f>
        <v>0.25</v>
      </c>
    </row>
    <row r="141" spans="1:11" ht="15.75" hidden="1" x14ac:dyDescent="0.25">
      <c r="A141" s="198" t="str">
        <f>'CUMPLIMIENTO '!A141</f>
        <v>PROGRAMA</v>
      </c>
      <c r="B141" s="106" t="str">
        <f>'CUMPLIMIENTO '!B141</f>
        <v>6.3.1</v>
      </c>
      <c r="C141" s="111" t="str">
        <f>'CUMPLIMIENTO '!C141</f>
        <v>Niños y niñas en su primera infancia, infancia y adolescencia</v>
      </c>
      <c r="D141" s="199">
        <f>'CUMPLIMIENTO '!D141</f>
        <v>9</v>
      </c>
      <c r="E141" s="199">
        <f>'CUMPLIMIENTO '!E141</f>
        <v>7</v>
      </c>
      <c r="F141" s="61">
        <f>'CUMPLIMIENTO '!G141</f>
        <v>0.53456790123456799</v>
      </c>
      <c r="G141" s="61">
        <f>'CUMPLIMIENTO '!H141</f>
        <v>0.25</v>
      </c>
    </row>
    <row r="142" spans="1:11" ht="15.75" hidden="1" x14ac:dyDescent="0.25">
      <c r="A142" s="202" t="str">
        <f>'CUMPLIMIENTO '!A142</f>
        <v>LINEA</v>
      </c>
      <c r="B142" s="203" t="str">
        <f>'CUMPLIMIENTO '!B142</f>
        <v>6.4</v>
      </c>
      <c r="C142" s="202" t="str">
        <f>'CUMPLIMIENTO '!C142</f>
        <v>JUVENTUD</v>
      </c>
      <c r="D142" s="216">
        <f>'CUMPLIMIENTO '!D142</f>
        <v>4</v>
      </c>
      <c r="E142" s="216">
        <f>'CUMPLIMIENTO '!E142</f>
        <v>4</v>
      </c>
      <c r="F142" s="217">
        <f>'CUMPLIMIENTO '!G142</f>
        <v>0.44374999999999998</v>
      </c>
      <c r="G142" s="218">
        <f>'CUMPLIMIENTO '!H142</f>
        <v>0.35638297872340424</v>
      </c>
      <c r="J142" s="77"/>
      <c r="K142" s="77"/>
    </row>
    <row r="143" spans="1:11" ht="15.75" hidden="1" x14ac:dyDescent="0.25">
      <c r="A143" s="198" t="str">
        <f>'CUMPLIMIENTO '!A143</f>
        <v>PROGRAMA</v>
      </c>
      <c r="B143" s="106" t="str">
        <f>'CUMPLIMIENTO '!B143</f>
        <v>6.4.1</v>
      </c>
      <c r="C143" s="111" t="str">
        <f>'CUMPLIMIENTO '!C143</f>
        <v>Juventud</v>
      </c>
      <c r="D143" s="199">
        <f>'CUMPLIMIENTO '!D143</f>
        <v>4</v>
      </c>
      <c r="E143" s="199">
        <f>'CUMPLIMIENTO '!E143</f>
        <v>4</v>
      </c>
      <c r="F143" s="61">
        <f>'CUMPLIMIENTO '!G143</f>
        <v>0.44374999999999998</v>
      </c>
      <c r="G143" s="61">
        <f>'CUMPLIMIENTO '!H143</f>
        <v>0.35638297872340424</v>
      </c>
      <c r="J143" s="77"/>
      <c r="K143" s="77"/>
    </row>
    <row r="144" spans="1:11" ht="30" hidden="1" x14ac:dyDescent="0.25">
      <c r="A144" s="202" t="str">
        <f>'CUMPLIMIENTO '!A144</f>
        <v>LINEA</v>
      </c>
      <c r="B144" s="203" t="str">
        <f>'CUMPLIMIENTO '!B144</f>
        <v>6.5</v>
      </c>
      <c r="C144" s="213" t="str">
        <f>'CUMPLIMIENTO '!C144</f>
        <v xml:space="preserve">BOLÍVAR GARANTIZA DERECHOS Y CUBRE LAS NECESIDADES DE ENVEJECIMIENTO Y VEJEZ. </v>
      </c>
      <c r="D144" s="216">
        <f>'CUMPLIMIENTO '!D144</f>
        <v>7</v>
      </c>
      <c r="E144" s="216">
        <f>'CUMPLIMIENTO '!E144</f>
        <v>6</v>
      </c>
      <c r="F144" s="217">
        <f>'CUMPLIMIENTO '!G144</f>
        <v>0.38174603174603178</v>
      </c>
      <c r="G144" s="218">
        <f>'CUMPLIMIENTO '!H144</f>
        <v>0</v>
      </c>
      <c r="J144" s="77"/>
      <c r="K144" s="77"/>
    </row>
    <row r="145" spans="1:11" ht="30" hidden="1" x14ac:dyDescent="0.25">
      <c r="A145" s="198" t="str">
        <f>'CUMPLIMIENTO '!A145</f>
        <v>PROGRAMA</v>
      </c>
      <c r="B145" s="106" t="str">
        <f>'CUMPLIMIENTO '!B145</f>
        <v>6.5.1</v>
      </c>
      <c r="C145" s="111" t="str">
        <f>'CUMPLIMIENTO '!C145</f>
        <v>Bolívar garantiza derechos y cubre las necesidades de envejecimiento y vejez.</v>
      </c>
      <c r="D145" s="199">
        <f>'CUMPLIMIENTO '!D145</f>
        <v>7</v>
      </c>
      <c r="E145" s="199">
        <f>'CUMPLIMIENTO '!E145</f>
        <v>6</v>
      </c>
      <c r="F145" s="61">
        <f>'CUMPLIMIENTO '!G145</f>
        <v>0.38174603174603178</v>
      </c>
      <c r="G145" s="61">
        <f>'CUMPLIMIENTO '!H145</f>
        <v>0</v>
      </c>
      <c r="J145" s="77"/>
      <c r="K145" s="77"/>
    </row>
    <row r="146" spans="1:11" ht="30" hidden="1" x14ac:dyDescent="0.25">
      <c r="A146" s="202" t="str">
        <f>'CUMPLIMIENTO '!A146</f>
        <v>LINEA</v>
      </c>
      <c r="B146" s="203" t="str">
        <f>'CUMPLIMIENTO '!B146</f>
        <v>6.6</v>
      </c>
      <c r="C146" s="213" t="str">
        <f>'CUMPLIMIENTO '!C146</f>
        <v>BOLÍVAR PRIMERO GARANTIZA LA EQUIDAD DE GÉNERO Y LA AUTONOMÍA DE LA MUJER BOLIVARENSE.</v>
      </c>
      <c r="D146" s="216">
        <f>'CUMPLIMIENTO '!D146</f>
        <v>9</v>
      </c>
      <c r="E146" s="216">
        <f>'CUMPLIMIENTO '!E146</f>
        <v>8</v>
      </c>
      <c r="F146" s="217">
        <f>'CUMPLIMIENTO '!G146</f>
        <v>0.44444444444444442</v>
      </c>
      <c r="G146" s="218">
        <f>'CUMPLIMIENTO '!H146</f>
        <v>0.25</v>
      </c>
      <c r="J146" s="77"/>
      <c r="K146" s="77"/>
    </row>
    <row r="147" spans="1:11" ht="15.75" hidden="1" x14ac:dyDescent="0.25">
      <c r="A147" s="198" t="str">
        <f>'CUMPLIMIENTO '!A147</f>
        <v>PROGRAMA</v>
      </c>
      <c r="B147" s="106" t="str">
        <f>'CUMPLIMIENTO '!B147</f>
        <v>6.6.1</v>
      </c>
      <c r="C147" s="111" t="str">
        <f>'CUMPLIMIENTO '!C147</f>
        <v>Mujer Bolivarense</v>
      </c>
      <c r="D147" s="199">
        <f>'CUMPLIMIENTO '!D147</f>
        <v>9</v>
      </c>
      <c r="E147" s="199">
        <f>'CUMPLIMIENTO '!E147</f>
        <v>8</v>
      </c>
      <c r="F147" s="61">
        <f>'CUMPLIMIENTO '!G147</f>
        <v>0.44444444444444442</v>
      </c>
      <c r="G147" s="61">
        <f>'CUMPLIMIENTO '!H147</f>
        <v>0.25</v>
      </c>
      <c r="J147" s="77"/>
      <c r="K147" s="77"/>
    </row>
    <row r="148" spans="1:11" ht="15.75" hidden="1" x14ac:dyDescent="0.25">
      <c r="A148" s="202" t="str">
        <f>'CUMPLIMIENTO '!A148</f>
        <v>LINEA</v>
      </c>
      <c r="B148" s="203" t="str">
        <f>'CUMPLIMIENTO '!B148</f>
        <v>6.7</v>
      </c>
      <c r="C148" s="202" t="str">
        <f>'CUMPLIMIENTO '!C148</f>
        <v>CAPITULO LGTBIQ</v>
      </c>
      <c r="D148" s="216">
        <f>'CUMPLIMIENTO '!D148</f>
        <v>4</v>
      </c>
      <c r="E148" s="216">
        <f>'CUMPLIMIENTO '!E148</f>
        <v>4</v>
      </c>
      <c r="F148" s="217">
        <f>'CUMPLIMIENTO '!G148</f>
        <v>0.47291666666666665</v>
      </c>
      <c r="G148" s="218">
        <f>'CUMPLIMIENTO '!H148</f>
        <v>0.14583333333333331</v>
      </c>
      <c r="J148" s="150"/>
      <c r="K148" s="150"/>
    </row>
    <row r="149" spans="1:11" ht="15.75" hidden="1" x14ac:dyDescent="0.25">
      <c r="A149" s="198" t="str">
        <f>'CUMPLIMIENTO '!A149</f>
        <v>PROGRAMA</v>
      </c>
      <c r="B149" s="106" t="str">
        <f>'CUMPLIMIENTO '!B149</f>
        <v>6.7.1</v>
      </c>
      <c r="C149" s="111" t="str">
        <f>'CUMPLIMIENTO '!C149</f>
        <v>LGTBIQ</v>
      </c>
      <c r="D149" s="199">
        <f>'CUMPLIMIENTO '!D149</f>
        <v>4</v>
      </c>
      <c r="E149" s="199">
        <f>'CUMPLIMIENTO '!E149</f>
        <v>4</v>
      </c>
      <c r="F149" s="61">
        <f>'CUMPLIMIENTO '!G149</f>
        <v>0.47291666666666665</v>
      </c>
      <c r="G149" s="61">
        <f>'CUMPLIMIENTO '!H149</f>
        <v>0.14583333333333331</v>
      </c>
    </row>
    <row r="150" spans="1:11" ht="15.75" hidden="1" x14ac:dyDescent="0.25">
      <c r="A150" s="202" t="str">
        <f>'CUMPLIMIENTO '!A150</f>
        <v>LINEA</v>
      </c>
      <c r="B150" s="203" t="str">
        <f>'CUMPLIMIENTO '!B150</f>
        <v>6.8</v>
      </c>
      <c r="C150" s="202" t="str">
        <f>'CUMPLIMIENTO '!C150</f>
        <v>CAPITULO POBLACIÓN EN SITUACIÓN DE DISCAPACIDAD</v>
      </c>
      <c r="D150" s="216">
        <f>'CUMPLIMIENTO '!D150</f>
        <v>2</v>
      </c>
      <c r="E150" s="216">
        <f>'CUMPLIMIENTO '!E150</f>
        <v>2</v>
      </c>
      <c r="F150" s="217">
        <f>'CUMPLIMIENTO '!G150</f>
        <v>0.2</v>
      </c>
      <c r="G150" s="218">
        <f>'CUMPLIMIENTO '!H150</f>
        <v>0.31666666666666665</v>
      </c>
    </row>
    <row r="151" spans="1:11" ht="15.75" hidden="1" x14ac:dyDescent="0.25">
      <c r="A151" s="198" t="str">
        <f>'CUMPLIMIENTO '!A151</f>
        <v>PROGRAMA</v>
      </c>
      <c r="B151" s="106" t="str">
        <f>'CUMPLIMIENTO '!B151</f>
        <v>6.8.1</v>
      </c>
      <c r="C151" s="111" t="str">
        <f>'CUMPLIMIENTO '!C151</f>
        <v>Población en situación de discapacidad</v>
      </c>
      <c r="D151" s="199">
        <f>'CUMPLIMIENTO '!D151</f>
        <v>2</v>
      </c>
      <c r="E151" s="199">
        <f>'CUMPLIMIENTO '!E151</f>
        <v>2</v>
      </c>
      <c r="F151" s="61">
        <f>'CUMPLIMIENTO '!G151</f>
        <v>0.2</v>
      </c>
      <c r="G151" s="61">
        <f>'CUMPLIMIENTO '!H151</f>
        <v>0.31666666666666665</v>
      </c>
    </row>
    <row r="152" spans="1:11" ht="15.75" hidden="1" x14ac:dyDescent="0.25">
      <c r="A152" s="202" t="str">
        <f>'CUMPLIMIENTO '!A152</f>
        <v>LINEA</v>
      </c>
      <c r="B152" s="203" t="str">
        <f>'CUMPLIMIENTO '!B152</f>
        <v>6.9</v>
      </c>
      <c r="C152" s="202" t="str">
        <f>'CUMPLIMIENTO '!C152</f>
        <v>ASUNTOS RELIGIOSOS</v>
      </c>
      <c r="D152" s="216">
        <f>'CUMPLIMIENTO '!D152</f>
        <v>2</v>
      </c>
      <c r="E152" s="216">
        <f>'CUMPLIMIENTO '!E152</f>
        <v>2</v>
      </c>
      <c r="F152" s="217">
        <f>'CUMPLIMIENTO '!G152</f>
        <v>0.15</v>
      </c>
      <c r="G152" s="218">
        <f>'CUMPLIMIENTO '!H152</f>
        <v>0.16666666666666666</v>
      </c>
    </row>
    <row r="153" spans="1:11" ht="15.75" hidden="1" x14ac:dyDescent="0.25">
      <c r="A153" s="198" t="str">
        <f>'CUMPLIMIENTO '!A153</f>
        <v>PROGRAMA</v>
      </c>
      <c r="B153" s="106" t="str">
        <f>'CUMPLIMIENTO '!B153</f>
        <v>6.9.1</v>
      </c>
      <c r="C153" s="111" t="str">
        <f>'CUMPLIMIENTO '!C153</f>
        <v>Asuntos religiosos</v>
      </c>
      <c r="D153" s="199">
        <f>'CUMPLIMIENTO '!D153</f>
        <v>2</v>
      </c>
      <c r="E153" s="199">
        <f>'CUMPLIMIENTO '!E153</f>
        <v>2</v>
      </c>
      <c r="F153" s="61">
        <f>'CUMPLIMIENTO '!G153</f>
        <v>0.15</v>
      </c>
      <c r="G153" s="61">
        <f>'CUMPLIMIENTO '!H153</f>
        <v>0.16666666666666666</v>
      </c>
    </row>
    <row r="154" spans="1:11" ht="15.75" hidden="1" x14ac:dyDescent="0.25">
      <c r="A154" s="202" t="str">
        <f>'CUMPLIMIENTO '!A154</f>
        <v>LINEA</v>
      </c>
      <c r="B154" s="203" t="str">
        <f>'CUMPLIMIENTO '!B154</f>
        <v>6.10</v>
      </c>
      <c r="C154" s="202" t="str">
        <f>'CUMPLIMIENTO '!C154</f>
        <v>SISTEMA PENITENCIARIO</v>
      </c>
      <c r="D154" s="216">
        <f>'CUMPLIMIENTO '!D154</f>
        <v>2</v>
      </c>
      <c r="E154" s="216">
        <f>'CUMPLIMIENTO '!E154</f>
        <v>2</v>
      </c>
      <c r="F154" s="217">
        <f>'CUMPLIMIENTO '!G154</f>
        <v>0</v>
      </c>
      <c r="G154" s="218">
        <f>'CUMPLIMIENTO '!H154</f>
        <v>0</v>
      </c>
    </row>
    <row r="155" spans="1:11" ht="15.75" hidden="1" x14ac:dyDescent="0.25">
      <c r="A155" s="198" t="str">
        <f>'CUMPLIMIENTO '!A155</f>
        <v>PROGRAMA</v>
      </c>
      <c r="B155" s="106" t="str">
        <f>'CUMPLIMIENTO '!B155</f>
        <v>6.10.1</v>
      </c>
      <c r="C155" s="111" t="str">
        <f>'CUMPLIMIENTO '!C155</f>
        <v>Sistema Penitenciario</v>
      </c>
      <c r="D155" s="199">
        <f>'CUMPLIMIENTO '!D155</f>
        <v>2</v>
      </c>
      <c r="E155" s="199">
        <f>'CUMPLIMIENTO '!E155</f>
        <v>2</v>
      </c>
      <c r="F155" s="61">
        <f>'CUMPLIMIENTO '!G155</f>
        <v>0</v>
      </c>
      <c r="G155" s="61">
        <f>'CUMPLIMIENTO '!H155</f>
        <v>0</v>
      </c>
    </row>
    <row r="157" spans="1:11" ht="23.25" x14ac:dyDescent="0.35">
      <c r="A157" s="625" t="str">
        <f>C42</f>
        <v>BOLÍVAR COMPETITIVO PARA LA INCLUSIÓN SOCIAL</v>
      </c>
      <c r="B157" s="625"/>
      <c r="C157" s="625"/>
      <c r="D157" s="625"/>
      <c r="E157" s="625"/>
      <c r="F157" s="625"/>
      <c r="G157" s="625"/>
    </row>
    <row r="187" spans="7:9" ht="18.75" x14ac:dyDescent="0.3">
      <c r="G187" s="518"/>
      <c r="H187" s="522" t="s">
        <v>2033</v>
      </c>
      <c r="I187" s="522" t="s">
        <v>2034</v>
      </c>
    </row>
    <row r="188" spans="7:9" x14ac:dyDescent="0.25">
      <c r="G188" s="519"/>
      <c r="H188" s="523" t="s">
        <v>2035</v>
      </c>
      <c r="I188" s="517" t="s">
        <v>2037</v>
      </c>
    </row>
    <row r="189" spans="7:9" x14ac:dyDescent="0.25">
      <c r="G189" s="520"/>
      <c r="H189" s="523" t="s">
        <v>2036</v>
      </c>
      <c r="I189" s="517" t="s">
        <v>2038</v>
      </c>
    </row>
    <row r="190" spans="7:9" x14ac:dyDescent="0.25">
      <c r="G190" s="521"/>
      <c r="H190" s="523" t="s">
        <v>2040</v>
      </c>
      <c r="I190" s="517" t="s">
        <v>2039</v>
      </c>
    </row>
  </sheetData>
  <autoFilter ref="A9:G155" xr:uid="{A9C5D684-4882-4199-835C-A4262CB1F79C}">
    <filterColumn colId="1">
      <filters>
        <filter val="2"/>
        <filter val="2.1"/>
        <filter val="2.10"/>
        <filter val="2.2"/>
        <filter val="2.3"/>
        <filter val="2.4"/>
        <filter val="2.5"/>
        <filter val="2.6"/>
        <filter val="2.7"/>
        <filter val="2.8"/>
        <filter val="2.9"/>
      </filters>
    </filterColumn>
    <filterColumn colId="4">
      <filters>
        <filter val="1"/>
        <filter val="11"/>
        <filter val="3"/>
        <filter val="4"/>
        <filter val="47"/>
        <filter val="5"/>
        <filter val="6"/>
      </filters>
    </filterColumn>
  </autoFilter>
  <mergeCells count="2">
    <mergeCell ref="A3:D6"/>
    <mergeCell ref="A157:G157"/>
  </mergeCells>
  <printOptions horizontalCentered="1"/>
  <pageMargins left="0.51181102362204722" right="0.51181102362204722" top="0" bottom="0" header="0.11811023622047245" footer="0.11811023622047245"/>
  <pageSetup scale="7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927B4-E33F-4A53-96A4-ABA1F3912FA3}">
  <sheetPr codeName="Hoja9" filterMode="1">
    <pageSetUpPr fitToPage="1"/>
  </sheetPr>
  <dimension ref="A3:L189"/>
  <sheetViews>
    <sheetView zoomScale="70" zoomScaleNormal="70" workbookViewId="0">
      <selection activeCell="J186" sqref="J186:L189"/>
    </sheetView>
  </sheetViews>
  <sheetFormatPr baseColWidth="10" defaultRowHeight="15" x14ac:dyDescent="0.25"/>
  <cols>
    <col min="1" max="1" width="23.5703125" customWidth="1"/>
    <col min="2" max="2" width="8.28515625" style="214" customWidth="1"/>
    <col min="3" max="3" width="70.7109375" style="109" customWidth="1"/>
    <col min="4" max="7" width="14.7109375" customWidth="1"/>
    <col min="9" max="9" width="7.7109375" bestFit="1" customWidth="1"/>
    <col min="12" max="12" width="19.42578125" customWidth="1"/>
  </cols>
  <sheetData>
    <row r="3" spans="1:9" x14ac:dyDescent="0.25">
      <c r="A3" s="623" t="s">
        <v>2023</v>
      </c>
      <c r="B3" s="624"/>
      <c r="C3" s="624"/>
      <c r="D3" s="624"/>
    </row>
    <row r="4" spans="1:9" x14ac:dyDescent="0.25">
      <c r="A4" s="624"/>
      <c r="B4" s="624"/>
      <c r="C4" s="624"/>
      <c r="D4" s="624"/>
    </row>
    <row r="5" spans="1:9" x14ac:dyDescent="0.25">
      <c r="A5" s="624"/>
      <c r="B5" s="624"/>
      <c r="C5" s="624"/>
      <c r="D5" s="624"/>
    </row>
    <row r="6" spans="1:9" x14ac:dyDescent="0.25">
      <c r="A6" s="624"/>
      <c r="B6" s="624"/>
      <c r="C6" s="624"/>
      <c r="D6" s="624"/>
    </row>
    <row r="7" spans="1:9" x14ac:dyDescent="0.25">
      <c r="A7" t="s">
        <v>1836</v>
      </c>
      <c r="B7" s="214" t="s">
        <v>2022</v>
      </c>
    </row>
    <row r="8" spans="1:9" x14ac:dyDescent="0.25">
      <c r="A8" t="s">
        <v>1837</v>
      </c>
      <c r="B8" s="214" t="s">
        <v>1838</v>
      </c>
    </row>
    <row r="9" spans="1:9" ht="63" x14ac:dyDescent="0.25">
      <c r="A9" s="201" t="s">
        <v>1834</v>
      </c>
      <c r="B9" s="201" t="s">
        <v>1833</v>
      </c>
      <c r="C9" s="201" t="s">
        <v>1835</v>
      </c>
      <c r="D9" s="201" t="s">
        <v>1813</v>
      </c>
      <c r="E9" s="201" t="s">
        <v>1814</v>
      </c>
      <c r="F9" s="496" t="s">
        <v>1811</v>
      </c>
      <c r="G9" s="497" t="s">
        <v>2030</v>
      </c>
    </row>
    <row r="10" spans="1:9" ht="21" hidden="1" x14ac:dyDescent="0.35">
      <c r="A10" s="192" t="str">
        <f>'CUMPLIMIENTO '!A10</f>
        <v>PDD</v>
      </c>
      <c r="B10" s="215">
        <f>'CUMPLIMIENTO '!B10</f>
        <v>0</v>
      </c>
      <c r="C10" s="193" t="str">
        <f>'CUMPLIMIENTO '!C10</f>
        <v>BOLIVAR PRIMERO 2020 - 2023</v>
      </c>
      <c r="D10" s="219">
        <f>'CUMPLIMIENTO '!D10</f>
        <v>554</v>
      </c>
      <c r="E10" s="219">
        <f>'CUMPLIMIENTO '!E10</f>
        <v>388</v>
      </c>
      <c r="F10" s="220">
        <f>'CUMPLIMIENTO '!G10</f>
        <v>0.26338387305792299</v>
      </c>
      <c r="G10" s="220">
        <f>'CUMPLIMIENTO '!H10</f>
        <v>0.28726565544596755</v>
      </c>
    </row>
    <row r="11" spans="1:9" ht="18.75" hidden="1" x14ac:dyDescent="0.25">
      <c r="A11" s="222" t="str">
        <f>'CUMPLIMIENTO '!A11</f>
        <v>EJE ESTRATEGICO</v>
      </c>
      <c r="B11" s="223">
        <f>'CUMPLIMIENTO '!B11</f>
        <v>1</v>
      </c>
      <c r="C11" s="222" t="str">
        <f>'CUMPLIMIENTO '!C11</f>
        <v>BOLIVAR PROGRESA, SUPERACIÓN DE LA POBREZA</v>
      </c>
      <c r="D11" s="224">
        <f>'CUMPLIMIENTO '!D11</f>
        <v>219</v>
      </c>
      <c r="E11" s="224">
        <f>'CUMPLIMIENTO '!E11</f>
        <v>188</v>
      </c>
      <c r="F11" s="225">
        <f>'CUMPLIMIENTO '!G11</f>
        <v>0.28346507642507995</v>
      </c>
      <c r="G11" s="225">
        <f>'CUMPLIMIENTO '!H11</f>
        <v>0.33973499765782816</v>
      </c>
    </row>
    <row r="12" spans="1:9" s="110" customFormat="1" ht="15.75" hidden="1" x14ac:dyDescent="0.25">
      <c r="A12" s="202" t="str">
        <f>'CUMPLIMIENTO '!A12</f>
        <v>LINEA</v>
      </c>
      <c r="B12" s="203" t="str">
        <f>'CUMPLIMIENTO '!B12</f>
        <v xml:space="preserve">1.1 </v>
      </c>
      <c r="C12" s="202" t="str">
        <f>'CUMPLIMIENTO '!C12</f>
        <v>PLAN DEPARTAMENTAL DE EMERGENCIA SOCIAL PARA LA IGUALDAD Y LA INCLUSIÓN</v>
      </c>
      <c r="D12" s="216">
        <f>'CUMPLIMIENTO '!D12</f>
        <v>14</v>
      </c>
      <c r="E12" s="216">
        <f>'CUMPLIMIENTO '!E12</f>
        <v>6</v>
      </c>
      <c r="F12" s="217">
        <f>'CUMPLIMIENTO '!G12</f>
        <v>0.10410714285714286</v>
      </c>
      <c r="G12" s="218">
        <f>'CUMPLIMIENTO '!H12</f>
        <v>0.33333333333333331</v>
      </c>
      <c r="I12"/>
    </row>
    <row r="13" spans="1:9" s="110" customFormat="1" ht="30" hidden="1" x14ac:dyDescent="0.25">
      <c r="A13" s="208" t="str">
        <f>'CUMPLIMIENTO '!A13</f>
        <v>PROGRAMA</v>
      </c>
      <c r="B13" s="209" t="str">
        <f>'CUMPLIMIENTO '!B13</f>
        <v>1.1.1</v>
      </c>
      <c r="C13" s="210" t="str">
        <f>'CUMPLIMIENTO '!C13</f>
        <v>Plan departamental de emergencia social para la igualdad y la inclusión PLADES.</v>
      </c>
      <c r="D13" s="211">
        <f>'CUMPLIMIENTO '!D13</f>
        <v>14</v>
      </c>
      <c r="E13" s="211">
        <f>'CUMPLIMIENTO '!E13</f>
        <v>6</v>
      </c>
      <c r="F13" s="212">
        <f>'CUMPLIMIENTO '!G13</f>
        <v>0.10410714285714286</v>
      </c>
      <c r="G13" s="212">
        <f>'CUMPLIMIENTO '!H13</f>
        <v>0.33333333333333331</v>
      </c>
      <c r="I13"/>
    </row>
    <row r="14" spans="1:9" ht="15.75" hidden="1" x14ac:dyDescent="0.25">
      <c r="A14" s="251" t="str">
        <f>'CUMPLIMIENTO '!A14</f>
        <v>LINEA</v>
      </c>
      <c r="B14" s="252" t="str">
        <f>'CUMPLIMIENTO '!B14</f>
        <v xml:space="preserve">1.2 </v>
      </c>
      <c r="C14" s="251" t="str">
        <f>'CUMPLIMIENTO '!C14</f>
        <v>BOLÍVAR PRIMERO EDUCA</v>
      </c>
      <c r="D14" s="253">
        <f>'CUMPLIMIENTO '!D14</f>
        <v>43</v>
      </c>
      <c r="E14" s="253">
        <f>'CUMPLIMIENTO '!E14</f>
        <v>34</v>
      </c>
      <c r="F14" s="254">
        <f>'CUMPLIMIENTO '!G14</f>
        <v>0.380217289810165</v>
      </c>
      <c r="G14" s="255">
        <f>'CUMPLIMIENTO '!H14</f>
        <v>0.35092007988259732</v>
      </c>
    </row>
    <row r="15" spans="1:9" ht="15.75" hidden="1" x14ac:dyDescent="0.25">
      <c r="A15" s="198" t="str">
        <f>'CUMPLIMIENTO '!A15</f>
        <v>PROGRAMA</v>
      </c>
      <c r="B15" s="106" t="str">
        <f>'CUMPLIMIENTO '!B15</f>
        <v>1.2.1</v>
      </c>
      <c r="C15" s="111" t="str">
        <f>'CUMPLIMIENTO '!C15</f>
        <v>Bolívar Primero en calidad educativa.</v>
      </c>
      <c r="D15" s="199">
        <f>'CUMPLIMIENTO '!D15</f>
        <v>21</v>
      </c>
      <c r="E15" s="199">
        <f>'CUMPLIMIENTO '!E15</f>
        <v>15</v>
      </c>
      <c r="F15" s="61">
        <f>'CUMPLIMIENTO '!G15</f>
        <v>0.34098599173680866</v>
      </c>
      <c r="G15" s="61">
        <f>'CUMPLIMIENTO '!H15</f>
        <v>0.12839000155255395</v>
      </c>
    </row>
    <row r="16" spans="1:9" ht="15.75" hidden="1" x14ac:dyDescent="0.25">
      <c r="A16" s="198" t="str">
        <f>'CUMPLIMIENTO '!A16</f>
        <v>PROGRAMA</v>
      </c>
      <c r="B16" s="106" t="str">
        <f>'CUMPLIMIENTO '!B16</f>
        <v>1.2.2</v>
      </c>
      <c r="C16" s="111" t="str">
        <f>'CUMPLIMIENTO '!C16</f>
        <v>Bolívar primero en cobertura.</v>
      </c>
      <c r="D16" s="199">
        <f>'CUMPLIMIENTO '!D16</f>
        <v>8</v>
      </c>
      <c r="E16" s="199">
        <f>'CUMPLIMIENTO '!E16</f>
        <v>7</v>
      </c>
      <c r="F16" s="61">
        <f>'CUMPLIMIENTO '!G16</f>
        <v>0.38777812259164557</v>
      </c>
      <c r="G16" s="61">
        <f>'CUMPLIMIENTO '!H16</f>
        <v>0.40960833333333335</v>
      </c>
    </row>
    <row r="17" spans="1:7" ht="15.75" hidden="1" x14ac:dyDescent="0.25">
      <c r="A17" s="198" t="str">
        <f>'CUMPLIMIENTO '!A17</f>
        <v>PROGRAMA</v>
      </c>
      <c r="B17" s="106" t="str">
        <f>'CUMPLIMIENTO '!B17</f>
        <v>1.2.3</v>
      </c>
      <c r="C17" s="111" t="str">
        <f>'CUMPLIMIENTO '!C17</f>
        <v>Bolívar primero en eficiencia y fortalecimiento institucional de la educación</v>
      </c>
      <c r="D17" s="199">
        <f>'CUMPLIMIENTO '!D17</f>
        <v>14</v>
      </c>
      <c r="E17" s="199">
        <f>'CUMPLIMIENTO '!E17</f>
        <v>12</v>
      </c>
      <c r="F17" s="61">
        <f>'CUMPLIMIENTO '!G17</f>
        <v>0.41188775510204084</v>
      </c>
      <c r="G17" s="61">
        <f>'CUMPLIMIENTO '!H17</f>
        <v>0.51476190476190475</v>
      </c>
    </row>
    <row r="18" spans="1:7" ht="15.75" hidden="1" x14ac:dyDescent="0.25">
      <c r="A18" s="202" t="str">
        <f>'CUMPLIMIENTO '!A18</f>
        <v>LINEA</v>
      </c>
      <c r="B18" s="203" t="str">
        <f>'CUMPLIMIENTO '!B18</f>
        <v>1.3</v>
      </c>
      <c r="C18" s="202" t="str">
        <f>'CUMPLIMIENTO '!C18</f>
        <v>BOLIVAR PRIMERO EN SALUD</v>
      </c>
      <c r="D18" s="216">
        <f>'CUMPLIMIENTO '!D18</f>
        <v>100</v>
      </c>
      <c r="E18" s="216">
        <f>'CUMPLIMIENTO '!E18</f>
        <v>100</v>
      </c>
      <c r="F18" s="217">
        <f>'CUMPLIMIENTO '!G18</f>
        <v>0.28725768020702352</v>
      </c>
      <c r="G18" s="218">
        <f>'CUMPLIMIENTO '!H18</f>
        <v>0.12644126449682005</v>
      </c>
    </row>
    <row r="19" spans="1:7" ht="15.75" hidden="1" x14ac:dyDescent="0.25">
      <c r="A19" s="198" t="str">
        <f>'CUMPLIMIENTO '!A19</f>
        <v>PROGRAMA</v>
      </c>
      <c r="B19" s="106" t="str">
        <f>'CUMPLIMIENTO '!B19</f>
        <v xml:space="preserve">1.3.1 </v>
      </c>
      <c r="C19" s="111" t="str">
        <f>'CUMPLIMIENTO '!C19</f>
        <v>Salud Ambiental</v>
      </c>
      <c r="D19" s="199">
        <f>'CUMPLIMIENTO '!D19</f>
        <v>6</v>
      </c>
      <c r="E19" s="199">
        <f>'CUMPLIMIENTO '!E19</f>
        <v>6</v>
      </c>
      <c r="F19" s="61">
        <f>'CUMPLIMIENTO '!G19</f>
        <v>0.30396365309408785</v>
      </c>
      <c r="G19" s="61">
        <f>'CUMPLIMIENTO '!H19</f>
        <v>8.8888888888888889E-3</v>
      </c>
    </row>
    <row r="20" spans="1:7" ht="15.75" hidden="1" x14ac:dyDescent="0.25">
      <c r="A20" s="198" t="str">
        <f>'CUMPLIMIENTO '!A20</f>
        <v>PROGRAMA</v>
      </c>
      <c r="B20" s="106" t="str">
        <f>'CUMPLIMIENTO '!B20</f>
        <v>1.3.2</v>
      </c>
      <c r="C20" s="111" t="str">
        <f>'CUMPLIMIENTO '!C20</f>
        <v>Vida Saludables y Condiciones no Transmisibles</v>
      </c>
      <c r="D20" s="199">
        <f>'CUMPLIMIENTO '!D20</f>
        <v>6</v>
      </c>
      <c r="E20" s="199">
        <f>'CUMPLIMIENTO '!E20</f>
        <v>6</v>
      </c>
      <c r="F20" s="61">
        <f>'CUMPLIMIENTO '!G20</f>
        <v>0.17453703703703705</v>
      </c>
      <c r="G20" s="61">
        <f>'CUMPLIMIENTO '!H20</f>
        <v>0</v>
      </c>
    </row>
    <row r="21" spans="1:7" ht="15.75" hidden="1" x14ac:dyDescent="0.25">
      <c r="A21" s="198" t="str">
        <f>'CUMPLIMIENTO '!A21</f>
        <v>PROGRAMA</v>
      </c>
      <c r="B21" s="106" t="str">
        <f>'CUMPLIMIENTO '!B21</f>
        <v>1.3.3</v>
      </c>
      <c r="C21" s="111" t="str">
        <f>'CUMPLIMIENTO '!C21</f>
        <v xml:space="preserve">Convivencia Social y Salud Mental </v>
      </c>
      <c r="D21" s="199">
        <f>'CUMPLIMIENTO '!D21</f>
        <v>4</v>
      </c>
      <c r="E21" s="199">
        <f>'CUMPLIMIENTO '!E21</f>
        <v>4</v>
      </c>
      <c r="F21" s="61">
        <f>'CUMPLIMIENTO '!G21</f>
        <v>0.22361111111111109</v>
      </c>
      <c r="G21" s="61">
        <f>'CUMPLIMIENTO '!H21</f>
        <v>6.1111111111111109E-2</v>
      </c>
    </row>
    <row r="22" spans="1:7" ht="15.75" hidden="1" x14ac:dyDescent="0.25">
      <c r="A22" s="198" t="str">
        <f>'CUMPLIMIENTO '!A22</f>
        <v>PROGRAMA</v>
      </c>
      <c r="B22" s="106" t="str">
        <f>'CUMPLIMIENTO '!B22</f>
        <v>1.3.4</v>
      </c>
      <c r="C22" s="111" t="str">
        <f>'CUMPLIMIENTO '!C22</f>
        <v>Seguridad Alimentaria y Nutricional</v>
      </c>
      <c r="D22" s="199">
        <f>'CUMPLIMIENTO '!D22</f>
        <v>9</v>
      </c>
      <c r="E22" s="199">
        <f>'CUMPLIMIENTO '!E22</f>
        <v>8</v>
      </c>
      <c r="F22" s="61">
        <f>'CUMPLIMIENTO '!G22</f>
        <v>0.16396604938271606</v>
      </c>
      <c r="G22" s="61">
        <f>'CUMPLIMIENTO '!H22</f>
        <v>7.407407407407407E-2</v>
      </c>
    </row>
    <row r="23" spans="1:7" ht="15.75" hidden="1" x14ac:dyDescent="0.25">
      <c r="A23" s="198" t="str">
        <f>'CUMPLIMIENTO '!A23</f>
        <v>PROGRAMA</v>
      </c>
      <c r="B23" s="106" t="str">
        <f>'CUMPLIMIENTO '!B23</f>
        <v>1.3.5</v>
      </c>
      <c r="C23" s="111" t="str">
        <f>'CUMPLIMIENTO '!C23</f>
        <v>Sexualidad, Derechos Sexuales y Reproductivos</v>
      </c>
      <c r="D23" s="199">
        <f>'CUMPLIMIENTO '!D23</f>
        <v>6</v>
      </c>
      <c r="E23" s="199">
        <f>'CUMPLIMIENTO '!E23</f>
        <v>6</v>
      </c>
      <c r="F23" s="61">
        <f>'CUMPLIMIENTO '!G23</f>
        <v>0.61435185185185182</v>
      </c>
      <c r="G23" s="61">
        <f>'CUMPLIMIENTO '!H23</f>
        <v>0.11851851851851848</v>
      </c>
    </row>
    <row r="24" spans="1:7" ht="15.75" hidden="1" x14ac:dyDescent="0.25">
      <c r="A24" s="198" t="str">
        <f>'CUMPLIMIENTO '!A24</f>
        <v>PROGRAMA</v>
      </c>
      <c r="B24" s="106" t="str">
        <f>'CUMPLIMIENTO '!B24</f>
        <v>1.3.6</v>
      </c>
      <c r="C24" s="111" t="str">
        <f>'CUMPLIMIENTO '!C24</f>
        <v>Vida Saludable y Enfermedades transmisibles</v>
      </c>
      <c r="D24" s="199">
        <f>'CUMPLIMIENTO '!D24</f>
        <v>10</v>
      </c>
      <c r="E24" s="199">
        <f>'CUMPLIMIENTO '!E24</f>
        <v>11</v>
      </c>
      <c r="F24" s="61">
        <f>'CUMPLIMIENTO '!G24</f>
        <v>0.38444444444444448</v>
      </c>
      <c r="G24" s="61">
        <f>'CUMPLIMIENTO '!H24</f>
        <v>0.35833333333333334</v>
      </c>
    </row>
    <row r="25" spans="1:7" ht="15.75" hidden="1" x14ac:dyDescent="0.25">
      <c r="A25" s="198" t="str">
        <f>'CUMPLIMIENTO '!A25</f>
        <v>PROGRAMA</v>
      </c>
      <c r="B25" s="106" t="str">
        <f>'CUMPLIMIENTO '!B25</f>
        <v>1.3.7</v>
      </c>
      <c r="C25" s="111" t="str">
        <f>'CUMPLIMIENTO '!C25</f>
        <v>Salud Publica en Emergencias y Desastres</v>
      </c>
      <c r="D25" s="199">
        <f>'CUMPLIMIENTO '!D25</f>
        <v>5</v>
      </c>
      <c r="E25" s="199">
        <f>'CUMPLIMIENTO '!E25</f>
        <v>4</v>
      </c>
      <c r="F25" s="61">
        <f>'CUMPLIMIENTO '!G25</f>
        <v>0.27913043478260868</v>
      </c>
      <c r="G25" s="61">
        <f>'CUMPLIMIENTO '!H25</f>
        <v>0.25</v>
      </c>
    </row>
    <row r="26" spans="1:7" ht="15.75" hidden="1" x14ac:dyDescent="0.25">
      <c r="A26" s="198" t="str">
        <f>'CUMPLIMIENTO '!A26</f>
        <v>PROGRAMA</v>
      </c>
      <c r="B26" s="106" t="str">
        <f>'CUMPLIMIENTO '!B26</f>
        <v>1.3.8</v>
      </c>
      <c r="C26" s="111" t="str">
        <f>'CUMPLIMIENTO '!C26</f>
        <v>Salud y Ambito Laboral</v>
      </c>
      <c r="D26" s="199">
        <f>'CUMPLIMIENTO '!D26</f>
        <v>4</v>
      </c>
      <c r="E26" s="199">
        <f>'CUMPLIMIENTO '!E26</f>
        <v>4</v>
      </c>
      <c r="F26" s="61">
        <f>'CUMPLIMIENTO '!G26</f>
        <v>0.21906565656565657</v>
      </c>
      <c r="G26" s="61">
        <f>'CUMPLIMIENTO '!H26</f>
        <v>0.25</v>
      </c>
    </row>
    <row r="27" spans="1:7" ht="15.75" hidden="1" x14ac:dyDescent="0.25">
      <c r="A27" s="198" t="str">
        <f>'CUMPLIMIENTO '!A27</f>
        <v>PROGRAMA</v>
      </c>
      <c r="B27" s="106" t="str">
        <f>'CUMPLIMIENTO '!B27</f>
        <v>1.3.9</v>
      </c>
      <c r="C27" s="111" t="str">
        <f>'CUMPLIMIENTO '!C27</f>
        <v>Gestión Diferencial de las Poblaciones Vulnerables</v>
      </c>
      <c r="D27" s="199">
        <f>'CUMPLIMIENTO '!D27</f>
        <v>22</v>
      </c>
      <c r="E27" s="199">
        <f>'CUMPLIMIENTO '!E27</f>
        <v>22</v>
      </c>
      <c r="F27" s="61">
        <f>'CUMPLIMIENTO '!G27</f>
        <v>0.22224888359369785</v>
      </c>
      <c r="G27" s="61">
        <f>'CUMPLIMIENTO '!H27</f>
        <v>1.7045454545454544E-2</v>
      </c>
    </row>
    <row r="28" spans="1:7" ht="15.75" hidden="1" x14ac:dyDescent="0.25">
      <c r="A28" s="198" t="str">
        <f>'CUMPLIMIENTO '!A28</f>
        <v>PROGRAMA</v>
      </c>
      <c r="B28" s="106" t="str">
        <f>'CUMPLIMIENTO '!B28</f>
        <v>1.3.10</v>
      </c>
      <c r="C28" s="111" t="str">
        <f>'CUMPLIMIENTO '!C28</f>
        <v>Fortalecimiento de la Autoridad Sanitaria en Salud</v>
      </c>
      <c r="D28" s="199">
        <f>'CUMPLIMIENTO '!D28</f>
        <v>28</v>
      </c>
      <c r="E28" s="200">
        <f>'CUMPLIMIENTO '!E28</f>
        <v>29</v>
      </c>
      <c r="F28" s="61">
        <f>'CUMPLIMIENTO '!G28</f>
        <v>0.29796334722086598</v>
      </c>
      <c r="G28" s="61">
        <f>'CUMPLIMIENTO '!H28</f>
        <v>0.29579782790309106</v>
      </c>
    </row>
    <row r="29" spans="1:7" ht="15.75" hidden="1" x14ac:dyDescent="0.25">
      <c r="A29" s="251" t="str">
        <f>'CUMPLIMIENTO '!A29</f>
        <v>LINEA</v>
      </c>
      <c r="B29" s="252" t="str">
        <f>'CUMPLIMIENTO '!B29</f>
        <v>1.4</v>
      </c>
      <c r="C29" s="251" t="str">
        <f>'CUMPLIMIENTO '!C29</f>
        <v>HÁBITAT</v>
      </c>
      <c r="D29" s="253">
        <f>'CUMPLIMIENTO '!D29</f>
        <v>8</v>
      </c>
      <c r="E29" s="253">
        <f>'CUMPLIMIENTO '!E29</f>
        <v>5</v>
      </c>
      <c r="F29" s="254">
        <f>'CUMPLIMIENTO '!G29</f>
        <v>0.19584814814814816</v>
      </c>
      <c r="G29" s="255">
        <f>'CUMPLIMIENTO '!H29</f>
        <v>0.63424242424242427</v>
      </c>
    </row>
    <row r="30" spans="1:7" ht="15.75" hidden="1" x14ac:dyDescent="0.25">
      <c r="A30" s="198" t="str">
        <f>'CUMPLIMIENTO '!A30</f>
        <v>PROGRAMA</v>
      </c>
      <c r="B30" s="106" t="str">
        <f>'CUMPLIMIENTO '!B30</f>
        <v>1.4.1</v>
      </c>
      <c r="C30" s="111" t="str">
        <f>'CUMPLIMIENTO '!C30</f>
        <v>Primero la vivienda</v>
      </c>
      <c r="D30" s="199">
        <f>'CUMPLIMIENTO '!D30</f>
        <v>2</v>
      </c>
      <c r="E30" s="199" t="str">
        <f>'CUMPLIMIENTO '!E30</f>
        <v>NP</v>
      </c>
      <c r="F30" s="61">
        <f>'CUMPLIMIENTO '!G30</f>
        <v>0.15540000000000001</v>
      </c>
      <c r="G30" s="61">
        <f>'CUMPLIMIENTO '!H30</f>
        <v>0.94181818181818178</v>
      </c>
    </row>
    <row r="31" spans="1:7" ht="15.75" hidden="1" x14ac:dyDescent="0.25">
      <c r="A31" s="198" t="str">
        <f>'CUMPLIMIENTO '!A31</f>
        <v>PROGRAMA</v>
      </c>
      <c r="B31" s="106" t="str">
        <f>'CUMPLIMIENTO '!B31</f>
        <v>1.4.2</v>
      </c>
      <c r="C31" s="111" t="str">
        <f>'CUMPLIMIENTO '!C31</f>
        <v>Primero el Agua</v>
      </c>
      <c r="D31" s="199">
        <f>'CUMPLIMIENTO '!D31</f>
        <v>6</v>
      </c>
      <c r="E31" s="199">
        <f>'CUMPLIMIENTO '!E31</f>
        <v>5</v>
      </c>
      <c r="F31" s="61">
        <f>'CUMPLIMIENTO '!G31</f>
        <v>0.23629629629629631</v>
      </c>
      <c r="G31" s="61">
        <f>'CUMPLIMIENTO '!H31</f>
        <v>0.32666666666666666</v>
      </c>
    </row>
    <row r="32" spans="1:7" ht="15.75" hidden="1" x14ac:dyDescent="0.25">
      <c r="A32" s="202" t="str">
        <f>'CUMPLIMIENTO '!A32</f>
        <v>LINEA</v>
      </c>
      <c r="B32" s="203" t="str">
        <f>'CUMPLIMIENTO '!B32</f>
        <v>1.5</v>
      </c>
      <c r="C32" s="202" t="str">
        <f>'CUMPLIMIENTO '!C32</f>
        <v>BOLÍVAR PRIMERO EN RECREACIÓN Y DEPORTES</v>
      </c>
      <c r="D32" s="216">
        <f>'CUMPLIMIENTO '!D32</f>
        <v>36</v>
      </c>
      <c r="E32" s="216">
        <f>'CUMPLIMIENTO '!E32</f>
        <v>31</v>
      </c>
      <c r="F32" s="217">
        <f>'CUMPLIMIENTO '!G32</f>
        <v>0.36201956749579395</v>
      </c>
      <c r="G32" s="218">
        <f>'CUMPLIMIENTO '!H32</f>
        <v>9.3472883991794042E-2</v>
      </c>
    </row>
    <row r="33" spans="1:7" ht="15.75" hidden="1" x14ac:dyDescent="0.25">
      <c r="A33" s="198" t="str">
        <f>'CUMPLIMIENTO '!A33</f>
        <v>PROGRAMA</v>
      </c>
      <c r="B33" s="106" t="str">
        <f>'CUMPLIMIENTO '!B33</f>
        <v>1.5.1</v>
      </c>
      <c r="C33" s="111" t="str">
        <f>'CUMPLIMIENTO '!C33</f>
        <v>Infraestructura Deportiva</v>
      </c>
      <c r="D33" s="199">
        <f>'CUMPLIMIENTO '!D33</f>
        <v>4</v>
      </c>
      <c r="E33" s="199">
        <f>'CUMPLIMIENTO '!E33</f>
        <v>1</v>
      </c>
      <c r="F33" s="61">
        <f>'CUMPLIMIENTO '!G33</f>
        <v>1.2500000000000001E-2</v>
      </c>
      <c r="G33" s="61">
        <f>'CUMPLIMIENTO '!H33</f>
        <v>0</v>
      </c>
    </row>
    <row r="34" spans="1:7" ht="15.75" hidden="1" x14ac:dyDescent="0.25">
      <c r="A34" s="198" t="str">
        <f>'CUMPLIMIENTO '!A34</f>
        <v>PROGRAMA</v>
      </c>
      <c r="B34" s="106" t="str">
        <f>'CUMPLIMIENTO '!B34</f>
        <v>1.5.2</v>
      </c>
      <c r="C34" s="111" t="str">
        <f>'CUMPLIMIENTO '!C34</f>
        <v>Altos logros y liderazgo deportivo Bolívar en los juegos nacionales 2023</v>
      </c>
      <c r="D34" s="199">
        <f>'CUMPLIMIENTO '!D34</f>
        <v>13</v>
      </c>
      <c r="E34" s="199">
        <f>'CUMPLIMIENTO '!E34</f>
        <v>12</v>
      </c>
      <c r="F34" s="61">
        <f>'CUMPLIMIENTO '!G34</f>
        <v>0.57189542483660138</v>
      </c>
      <c r="G34" s="61">
        <f>'CUMPLIMIENTO '!H34</f>
        <v>0.39417063728409762</v>
      </c>
    </row>
    <row r="35" spans="1:7" ht="30" hidden="1" x14ac:dyDescent="0.25">
      <c r="A35" s="198" t="str">
        <f>'CUMPLIMIENTO '!A35</f>
        <v>PROGRAMA</v>
      </c>
      <c r="B35" s="106" t="str">
        <f>'CUMPLIMIENTO '!B35</f>
        <v>1.5.3</v>
      </c>
      <c r="C35" s="111" t="str">
        <f>'CUMPLIMIENTO '!C35</f>
        <v>Deporte formativo escuelas para todos  y  Deporte formativo supérate Intercolegiados</v>
      </c>
      <c r="D35" s="199">
        <f>'CUMPLIMIENTO '!D35</f>
        <v>4</v>
      </c>
      <c r="E35" s="199">
        <f>'CUMPLIMIENTO '!E35</f>
        <v>4</v>
      </c>
      <c r="F35" s="61">
        <f>'CUMPLIMIENTO '!G35</f>
        <v>0.4841583333333333</v>
      </c>
      <c r="G35" s="61">
        <f>'CUMPLIMIENTO '!H35</f>
        <v>0</v>
      </c>
    </row>
    <row r="36" spans="1:7" ht="15.75" hidden="1" x14ac:dyDescent="0.25">
      <c r="A36" s="198" t="str">
        <f>'CUMPLIMIENTO '!A36</f>
        <v>PROGRAMA</v>
      </c>
      <c r="B36" s="106" t="str">
        <f>'CUMPLIMIENTO '!B36</f>
        <v>1.5.4</v>
      </c>
      <c r="C36" s="111" t="str">
        <f>'CUMPLIMIENTO '!C36</f>
        <v>Deporte social Comunitario</v>
      </c>
      <c r="D36" s="199">
        <f>'CUMPLIMIENTO '!D36</f>
        <v>3</v>
      </c>
      <c r="E36" s="199">
        <f>'CUMPLIMIENTO '!E36</f>
        <v>3</v>
      </c>
      <c r="F36" s="61">
        <f>'CUMPLIMIENTO '!G36</f>
        <v>0.46812996031746029</v>
      </c>
      <c r="G36" s="61">
        <f>'CUMPLIMIENTO '!H36</f>
        <v>0</v>
      </c>
    </row>
    <row r="37" spans="1:7" ht="15.75" hidden="1" x14ac:dyDescent="0.25">
      <c r="A37" s="198" t="str">
        <f>'CUMPLIMIENTO '!A37</f>
        <v>PROGRAMA</v>
      </c>
      <c r="B37" s="106" t="str">
        <f>'CUMPLIMIENTO '!B37</f>
        <v>1.5.5</v>
      </c>
      <c r="C37" s="111" t="str">
        <f>'CUMPLIMIENTO '!C37</f>
        <v>Las escuelas recreativas…un espacio lúdico del Bolívar primero</v>
      </c>
      <c r="D37" s="199">
        <f>'CUMPLIMIENTO '!D37</f>
        <v>6</v>
      </c>
      <c r="E37" s="199">
        <f>'CUMPLIMIENTO '!E37</f>
        <v>6</v>
      </c>
      <c r="F37" s="61">
        <f>'CUMPLIMIENTO '!G37</f>
        <v>0.3675913461538462</v>
      </c>
      <c r="G37" s="61">
        <f>'CUMPLIMIENTO '!H37</f>
        <v>0</v>
      </c>
    </row>
    <row r="38" spans="1:7" ht="15.75" hidden="1" x14ac:dyDescent="0.25">
      <c r="A38" s="198" t="str">
        <f>'CUMPLIMIENTO '!A38</f>
        <v>PROGRAMA</v>
      </c>
      <c r="B38" s="106" t="str">
        <f>'CUMPLIMIENTO '!B38</f>
        <v>1.5.6</v>
      </c>
      <c r="C38" s="111" t="str">
        <f>'CUMPLIMIENTO '!C38</f>
        <v>Hábitos y estilos de vida saludable “Bolívar primero…por tú salud ponte pilas</v>
      </c>
      <c r="D38" s="199">
        <f>'CUMPLIMIENTO '!D38</f>
        <v>6</v>
      </c>
      <c r="E38" s="199">
        <f>'CUMPLIMIENTO '!E38</f>
        <v>5</v>
      </c>
      <c r="F38" s="61">
        <f>'CUMPLIMIENTO '!G38</f>
        <v>0.26784234033352255</v>
      </c>
      <c r="G38" s="61">
        <f>'CUMPLIMIENTO '!H38</f>
        <v>0.16666666666666666</v>
      </c>
    </row>
    <row r="39" spans="1:7" ht="15.75" hidden="1" x14ac:dyDescent="0.25">
      <c r="A39" s="251" t="str">
        <f>'CUMPLIMIENTO '!A39</f>
        <v>LINEA</v>
      </c>
      <c r="B39" s="252" t="str">
        <f>'CUMPLIMIENTO '!B39</f>
        <v>1.6</v>
      </c>
      <c r="C39" s="251" t="str">
        <f>'CUMPLIMIENTO '!C39</f>
        <v>BOLÍVAR PROMUEVE EL ARTE, LA CULTURA Y SALVAGUARDA SU PATRIMONIO</v>
      </c>
      <c r="D39" s="253">
        <f>'CUMPLIMIENTO '!D39</f>
        <v>18</v>
      </c>
      <c r="E39" s="253">
        <f>'CUMPLIMIENTO '!E39</f>
        <v>12</v>
      </c>
      <c r="F39" s="254">
        <f>'CUMPLIMIENTO '!G39</f>
        <v>0.37134063003220613</v>
      </c>
      <c r="G39" s="255">
        <f>'CUMPLIMIENTO '!H39</f>
        <v>0.5</v>
      </c>
    </row>
    <row r="40" spans="1:7" ht="15.75" hidden="1" x14ac:dyDescent="0.25">
      <c r="A40" s="198" t="str">
        <f>'CUMPLIMIENTO '!A40</f>
        <v>PROGRAMA</v>
      </c>
      <c r="B40" s="106" t="str">
        <f>'CUMPLIMIENTO '!B40</f>
        <v>1.6.1</v>
      </c>
      <c r="C40" s="111" t="str">
        <f>'CUMPLIMIENTO '!C40</f>
        <v>Bolívar primero en arte y patrimonio</v>
      </c>
      <c r="D40" s="199">
        <f>'CUMPLIMIENTO '!D40</f>
        <v>6</v>
      </c>
      <c r="E40" s="199">
        <f>'CUMPLIMIENTO '!E40</f>
        <v>4</v>
      </c>
      <c r="F40" s="61">
        <f>'CUMPLIMIENTO '!G40</f>
        <v>0.24822916666666664</v>
      </c>
      <c r="G40" s="61">
        <f>'CUMPLIMIENTO '!H40</f>
        <v>0.41</v>
      </c>
    </row>
    <row r="41" spans="1:7" ht="15.75" hidden="1" x14ac:dyDescent="0.25">
      <c r="A41" s="198" t="str">
        <f>'CUMPLIMIENTO '!A41</f>
        <v>PROGRAMA</v>
      </c>
      <c r="B41" s="106" t="str">
        <f>'CUMPLIMIENTO '!B41</f>
        <v>1.6.2</v>
      </c>
      <c r="C41" s="111" t="str">
        <f>'CUMPLIMIENTO '!C41</f>
        <v>Bolívar primero en cultura</v>
      </c>
      <c r="D41" s="199">
        <f>'CUMPLIMIENTO '!D41</f>
        <v>12</v>
      </c>
      <c r="E41" s="199">
        <f>'CUMPLIMIENTO '!E41</f>
        <v>8</v>
      </c>
      <c r="F41" s="61">
        <f>'CUMPLIMIENTO '!G41</f>
        <v>0.4944520933977456</v>
      </c>
      <c r="G41" s="61">
        <f>'CUMPLIMIENTO '!H41</f>
        <v>0.59000000000000008</v>
      </c>
    </row>
    <row r="42" spans="1:7" ht="18.75" hidden="1" x14ac:dyDescent="0.25">
      <c r="A42" s="256" t="str">
        <f>'CUMPLIMIENTO '!A42</f>
        <v>EJE ESTRATEGICO</v>
      </c>
      <c r="B42" s="257">
        <f>'CUMPLIMIENTO '!B42</f>
        <v>2</v>
      </c>
      <c r="C42" s="258" t="str">
        <f>'CUMPLIMIENTO '!C42</f>
        <v>BOLÍVAR COMPETITIVO PARA LA INCLUSIÓN SOCIAL</v>
      </c>
      <c r="D42" s="259">
        <f>'CUMPLIMIENTO '!D42</f>
        <v>82</v>
      </c>
      <c r="E42" s="259">
        <f>'CUMPLIMIENTO '!E42</f>
        <v>45</v>
      </c>
      <c r="F42" s="260">
        <f>'CUMPLIMIENTO '!G42</f>
        <v>0.24329478481946754</v>
      </c>
      <c r="G42" s="260">
        <f>'CUMPLIMIENTO '!H42</f>
        <v>0.32985855013965804</v>
      </c>
    </row>
    <row r="43" spans="1:7" ht="15.75" hidden="1" x14ac:dyDescent="0.25">
      <c r="A43" s="202" t="str">
        <f>'CUMPLIMIENTO '!A43</f>
        <v>LINEA</v>
      </c>
      <c r="B43" s="203" t="str">
        <f>'CUMPLIMIENTO '!B43</f>
        <v>2.1</v>
      </c>
      <c r="C43" s="202" t="str">
        <f>'CUMPLIMIENTO '!C43</f>
        <v>BOLÍVAR PRIMERO EN INFRAESTRUCTURA Y TRANSPORTE</v>
      </c>
      <c r="D43" s="216">
        <f>'CUMPLIMIENTO '!D43</f>
        <v>4</v>
      </c>
      <c r="E43" s="216">
        <f>'CUMPLIMIENTO '!E43</f>
        <v>4</v>
      </c>
      <c r="F43" s="217">
        <f>'CUMPLIMIENTO '!G43</f>
        <v>0.52222222222222225</v>
      </c>
      <c r="G43" s="218">
        <f>'CUMPLIMIENTO '!H43</f>
        <v>0.49444444444444446</v>
      </c>
    </row>
    <row r="44" spans="1:7" ht="15.75" hidden="1" x14ac:dyDescent="0.25">
      <c r="A44" s="198" t="str">
        <f>'CUMPLIMIENTO '!A44</f>
        <v>PROGRAMA</v>
      </c>
      <c r="B44" s="106" t="str">
        <f>'CUMPLIMIENTO '!B44</f>
        <v>2.1.1</v>
      </c>
      <c r="C44" s="111" t="str">
        <f>'CUMPLIMIENTO '!C44</f>
        <v>Plan de conectividad para Bolívar</v>
      </c>
      <c r="D44" s="199">
        <f>'CUMPLIMIENTO '!D44</f>
        <v>3</v>
      </c>
      <c r="E44" s="199">
        <f>'CUMPLIMIENTO '!E44</f>
        <v>3</v>
      </c>
      <c r="F44" s="61">
        <f>'CUMPLIMIENTO '!G44</f>
        <v>0.64444444444444449</v>
      </c>
      <c r="G44" s="61">
        <f>'CUMPLIMIENTO '!H44</f>
        <v>0.48888888888888893</v>
      </c>
    </row>
    <row r="45" spans="1:7" ht="15.75" hidden="1" x14ac:dyDescent="0.25">
      <c r="A45" s="198" t="str">
        <f>'CUMPLIMIENTO '!A45</f>
        <v>PROGRAMA</v>
      </c>
      <c r="B45" s="106" t="str">
        <f>'CUMPLIMIENTO '!B45</f>
        <v xml:space="preserve">2.1.2 </v>
      </c>
      <c r="C45" s="111" t="str">
        <f>'CUMPLIMIENTO '!C45</f>
        <v>Bolívar se desarrolla por el Río</v>
      </c>
      <c r="D45" s="199">
        <f>'CUMPLIMIENTO '!D45</f>
        <v>1</v>
      </c>
      <c r="E45" s="199">
        <f>'CUMPLIMIENTO '!E45</f>
        <v>1</v>
      </c>
      <c r="F45" s="61">
        <f>'CUMPLIMIENTO '!G45</f>
        <v>0.4</v>
      </c>
      <c r="G45" s="61">
        <f>'CUMPLIMIENTO '!H45</f>
        <v>0.5</v>
      </c>
    </row>
    <row r="46" spans="1:7" ht="15.75" hidden="1" x14ac:dyDescent="0.25">
      <c r="A46" s="251" t="str">
        <f>'CUMPLIMIENTO '!A46</f>
        <v>LINEA</v>
      </c>
      <c r="B46" s="252" t="str">
        <f>'CUMPLIMIENTO '!B46</f>
        <v>2.2</v>
      </c>
      <c r="C46" s="251" t="str">
        <f>'CUMPLIMIENTO '!C46</f>
        <v>BOLÍVAR PRIMERO EN MOVILIDAD</v>
      </c>
      <c r="D46" s="253">
        <f>'CUMPLIMIENTO '!D46</f>
        <v>7</v>
      </c>
      <c r="E46" s="253">
        <f>'CUMPLIMIENTO '!E46</f>
        <v>3</v>
      </c>
      <c r="F46" s="254">
        <f>'CUMPLIMIENTO '!G46</f>
        <v>0.21714285714285717</v>
      </c>
      <c r="G46" s="255">
        <f>'CUMPLIMIENTO '!H46</f>
        <v>0.125</v>
      </c>
    </row>
    <row r="47" spans="1:7" ht="15.75" hidden="1" x14ac:dyDescent="0.25">
      <c r="A47" s="198" t="str">
        <f>'CUMPLIMIENTO '!A47</f>
        <v>PROGRAMA</v>
      </c>
      <c r="B47" s="106" t="str">
        <f>'CUMPLIMIENTO '!B47</f>
        <v>2.2.1</v>
      </c>
      <c r="C47" s="111" t="str">
        <f>'CUMPLIMIENTO '!C47</f>
        <v>Bolívar Primero con Movilidad Segura.</v>
      </c>
      <c r="D47" s="199">
        <f>'CUMPLIMIENTO '!D47</f>
        <v>5</v>
      </c>
      <c r="E47" s="199">
        <f>'CUMPLIMIENTO '!E47</f>
        <v>3</v>
      </c>
      <c r="F47" s="61">
        <f>'CUMPLIMIENTO '!G47</f>
        <v>0.43428571428571433</v>
      </c>
      <c r="G47" s="61">
        <f>'CUMPLIMIENTO '!H47</f>
        <v>0.25</v>
      </c>
    </row>
    <row r="48" spans="1:7" ht="15.75" hidden="1" x14ac:dyDescent="0.25">
      <c r="A48" s="198" t="str">
        <f>'CUMPLIMIENTO '!A48</f>
        <v>PROGRAMA</v>
      </c>
      <c r="B48" s="106" t="str">
        <f>'CUMPLIMIENTO '!B48</f>
        <v xml:space="preserve">2.2.2 </v>
      </c>
      <c r="C48" s="111" t="str">
        <f>'CUMPLIMIENTO '!C48</f>
        <v>Bolívar Primero con Infraestructura y Transporte y Movilidad Activa</v>
      </c>
      <c r="D48" s="199">
        <f>'CUMPLIMIENTO '!D48</f>
        <v>2</v>
      </c>
      <c r="E48" s="199" t="str">
        <f>'CUMPLIMIENTO '!E48</f>
        <v>NP</v>
      </c>
      <c r="F48" s="61">
        <f>'CUMPLIMIENTO '!G48</f>
        <v>0</v>
      </c>
      <c r="G48" s="61">
        <f>'CUMPLIMIENTO '!H48</f>
        <v>0</v>
      </c>
    </row>
    <row r="49" spans="1:7" ht="15.75" hidden="1" x14ac:dyDescent="0.25">
      <c r="A49" s="202" t="str">
        <f>'CUMPLIMIENTO '!A49</f>
        <v>LINEA</v>
      </c>
      <c r="B49" s="203" t="str">
        <f>'CUMPLIMIENTO '!B49</f>
        <v>2.3</v>
      </c>
      <c r="C49" s="202" t="str">
        <f>'CUMPLIMIENTO '!C49</f>
        <v>BOLÍVAR PRIMERO EN TECNOLOGÍAS DE LA INFORMACIÓN Y LAS COMUNICACIONES</v>
      </c>
      <c r="D49" s="216">
        <f>'CUMPLIMIENTO '!D49</f>
        <v>4</v>
      </c>
      <c r="E49" s="216">
        <f>'CUMPLIMIENTO '!E49</f>
        <v>1</v>
      </c>
      <c r="F49" s="217">
        <f>'CUMPLIMIENTO '!G49</f>
        <v>0.33750000000000002</v>
      </c>
      <c r="G49" s="218">
        <f>'CUMPLIMIENTO '!H49</f>
        <v>0.10625000000000001</v>
      </c>
    </row>
    <row r="50" spans="1:7" ht="15.75" hidden="1" x14ac:dyDescent="0.25">
      <c r="A50" s="198" t="str">
        <f>'CUMPLIMIENTO '!A50</f>
        <v>PROGRAMA</v>
      </c>
      <c r="B50" s="106" t="str">
        <f>'CUMPLIMIENTO '!B50</f>
        <v>2.3.1</v>
      </c>
      <c r="C50" s="111" t="str">
        <f>'CUMPLIMIENTO '!C50</f>
        <v>TIC’s para la competitividad y la inclusión social</v>
      </c>
      <c r="D50" s="199">
        <f>'CUMPLIMIENTO '!D50</f>
        <v>4</v>
      </c>
      <c r="E50" s="199">
        <f>'CUMPLIMIENTO '!E50</f>
        <v>1</v>
      </c>
      <c r="F50" s="61">
        <f>'CUMPLIMIENTO '!G50</f>
        <v>0.33750000000000002</v>
      </c>
      <c r="G50" s="61">
        <f>'CUMPLIMIENTO '!H50</f>
        <v>0.10625000000000001</v>
      </c>
    </row>
    <row r="51" spans="1:7" ht="15.75" hidden="1" x14ac:dyDescent="0.25">
      <c r="A51" s="251" t="str">
        <f>'CUMPLIMIENTO '!A51</f>
        <v>LINEA</v>
      </c>
      <c r="B51" s="252" t="str">
        <f>'CUMPLIMIENTO '!B51</f>
        <v>2.4</v>
      </c>
      <c r="C51" s="251" t="str">
        <f>'CUMPLIMIENTO '!C51</f>
        <v>BOLÍVAR PRIMERO EN DESARROLLO ECONÓMICO</v>
      </c>
      <c r="D51" s="253">
        <f>'CUMPLIMIENTO '!D51</f>
        <v>7</v>
      </c>
      <c r="E51" s="253">
        <f>'CUMPLIMIENTO '!E51</f>
        <v>3</v>
      </c>
      <c r="F51" s="254">
        <f>'CUMPLIMIENTO '!G51</f>
        <v>0.28287037037037033</v>
      </c>
      <c r="G51" s="255">
        <f>'CUMPLIMIENTO '!H51</f>
        <v>0.45833333333333331</v>
      </c>
    </row>
    <row r="52" spans="1:7" ht="15.75" hidden="1" x14ac:dyDescent="0.25">
      <c r="A52" s="198" t="str">
        <f>'CUMPLIMIENTO '!A52</f>
        <v>PROGRAMA</v>
      </c>
      <c r="B52" s="106" t="str">
        <f>'CUMPLIMIENTO '!B52</f>
        <v>2.4.1</v>
      </c>
      <c r="C52" s="111" t="str">
        <f>'CUMPLIMIENTO '!C52</f>
        <v>2.4.1.	Promoción del Departamento para la competitividad</v>
      </c>
      <c r="D52" s="199">
        <f>'CUMPLIMIENTO '!D52</f>
        <v>4</v>
      </c>
      <c r="E52" s="199">
        <f>'CUMPLIMIENTO '!E52</f>
        <v>2</v>
      </c>
      <c r="F52" s="61">
        <f>'CUMPLIMIENTO '!G52</f>
        <v>0.19166666666666665</v>
      </c>
      <c r="G52" s="61">
        <f>'CUMPLIMIENTO '!H52</f>
        <v>0.25</v>
      </c>
    </row>
    <row r="53" spans="1:7" ht="15.75" hidden="1" x14ac:dyDescent="0.25">
      <c r="A53" s="198" t="str">
        <f>'CUMPLIMIENTO '!A53</f>
        <v>PROGRAMA</v>
      </c>
      <c r="B53" s="106" t="str">
        <f>'CUMPLIMIENTO '!B53</f>
        <v>2.4.2</v>
      </c>
      <c r="C53" s="111" t="str">
        <f>'CUMPLIMIENTO '!C53</f>
        <v>Bolivar Primero en emprendimiento y encadenamientos productivos</v>
      </c>
      <c r="D53" s="199">
        <f>'CUMPLIMIENTO '!D53</f>
        <v>3</v>
      </c>
      <c r="E53" s="199">
        <f>'CUMPLIMIENTO '!E53</f>
        <v>1</v>
      </c>
      <c r="F53" s="61">
        <f>'CUMPLIMIENTO '!G53</f>
        <v>0.37407407407407406</v>
      </c>
      <c r="G53" s="61">
        <f>'CUMPLIMIENTO '!H53</f>
        <v>0.66666666666666663</v>
      </c>
    </row>
    <row r="54" spans="1:7" ht="15.75" hidden="1" x14ac:dyDescent="0.25">
      <c r="A54" s="202" t="str">
        <f>'CUMPLIMIENTO '!A54</f>
        <v>LINEA</v>
      </c>
      <c r="B54" s="203" t="str">
        <f>'CUMPLIMIENTO '!B54</f>
        <v>2.5</v>
      </c>
      <c r="C54" s="202" t="str">
        <f>'CUMPLIMIENTO '!C54</f>
        <v>BOLÍVAR PRIMERO EN AGRICULTURA, EXPLOTACIONES PECUARIAS, PESCA FORESTAL Y SEGURIDAD ALIMENTARIA</v>
      </c>
      <c r="D54" s="216">
        <f>'CUMPLIMIENTO '!D54</f>
        <v>8</v>
      </c>
      <c r="E54" s="216">
        <f>'CUMPLIMIENTO '!E54</f>
        <v>6</v>
      </c>
      <c r="F54" s="217">
        <f>'CUMPLIMIENTO '!G54</f>
        <v>0.26021690090122751</v>
      </c>
      <c r="G54" s="218">
        <f>'CUMPLIMIENTO '!H54</f>
        <v>0.37503049785364378</v>
      </c>
    </row>
    <row r="55" spans="1:7" ht="15.75" hidden="1" x14ac:dyDescent="0.25">
      <c r="A55" s="198" t="str">
        <f>'CUMPLIMIENTO '!A55</f>
        <v>PROGRAMA</v>
      </c>
      <c r="B55" s="106" t="str">
        <f>'CUMPLIMIENTO '!B55</f>
        <v>2.5.1</v>
      </c>
      <c r="C55" s="111" t="str">
        <f>'CUMPLIMIENTO '!C55</f>
        <v>Tecnología al campo</v>
      </c>
      <c r="D55" s="199">
        <f>'CUMPLIMIENTO '!D55</f>
        <v>1</v>
      </c>
      <c r="E55" s="199">
        <f>'CUMPLIMIENTO '!E55</f>
        <v>1</v>
      </c>
      <c r="F55" s="61">
        <f>'CUMPLIMIENTO '!G55</f>
        <v>2.032520325203252E-2</v>
      </c>
      <c r="G55" s="61">
        <f>'CUMPLIMIENTO '!H55</f>
        <v>0.1360544217687075</v>
      </c>
    </row>
    <row r="56" spans="1:7" ht="15.75" hidden="1" x14ac:dyDescent="0.25">
      <c r="A56" s="198" t="str">
        <f>'CUMPLIMIENTO '!A56</f>
        <v>PROGRAMA</v>
      </c>
      <c r="B56" s="106" t="str">
        <f>'CUMPLIMIENTO '!B56</f>
        <v>2.5.2</v>
      </c>
      <c r="C56" s="111" t="str">
        <f>'CUMPLIMIENTO '!C56</f>
        <v>Bolívar fomenta la agroindustria</v>
      </c>
      <c r="D56" s="199">
        <f>'CUMPLIMIENTO '!D56</f>
        <v>1</v>
      </c>
      <c r="E56" s="199">
        <f>'CUMPLIMIENTO '!E56</f>
        <v>1</v>
      </c>
      <c r="F56" s="61">
        <f>'CUMPLIMIENTO '!G56</f>
        <v>6.6559999999999994E-2</v>
      </c>
      <c r="G56" s="61">
        <f>'CUMPLIMIENTO '!H56</f>
        <v>2.8307508939213348E-2</v>
      </c>
    </row>
    <row r="57" spans="1:7" ht="15.75" hidden="1" x14ac:dyDescent="0.25">
      <c r="A57" s="198" t="str">
        <f>'CUMPLIMIENTO '!A57</f>
        <v>PROGRAMA</v>
      </c>
      <c r="B57" s="106" t="str">
        <f>'CUMPLIMIENTO '!B57</f>
        <v>2.5.3</v>
      </c>
      <c r="C57" s="111" t="str">
        <f>'CUMPLIMIENTO '!C57</f>
        <v>Del campo al mercado</v>
      </c>
      <c r="D57" s="199">
        <f>'CUMPLIMIENTO '!D57</f>
        <v>3</v>
      </c>
      <c r="E57" s="199">
        <f>'CUMPLIMIENTO '!E57</f>
        <v>2</v>
      </c>
      <c r="F57" s="61">
        <f>'CUMPLIMIENTO '!G57</f>
        <v>0.10006837606837608</v>
      </c>
      <c r="G57" s="61">
        <f>'CUMPLIMIENTO '!H57</f>
        <v>0.54842975206611566</v>
      </c>
    </row>
    <row r="58" spans="1:7" ht="15.75" hidden="1" x14ac:dyDescent="0.25">
      <c r="A58" s="198" t="str">
        <f>'CUMPLIMIENTO '!A58</f>
        <v>PROGRAMA</v>
      </c>
      <c r="B58" s="106" t="str">
        <f>'CUMPLIMIENTO '!B58</f>
        <v>2.5.4</v>
      </c>
      <c r="C58" s="111" t="str">
        <f>'CUMPLIMIENTO '!C58</f>
        <v>Apoyo a los municipios en el ordenamiento social de la propiedad.</v>
      </c>
      <c r="D58" s="199">
        <f>'CUMPLIMIENTO '!D58</f>
        <v>1</v>
      </c>
      <c r="E58" s="199">
        <f>'CUMPLIMIENTO '!E58</f>
        <v>1</v>
      </c>
      <c r="F58" s="61">
        <f>'CUMPLIMIENTO '!G58</f>
        <v>0.30434782608695654</v>
      </c>
      <c r="G58" s="61">
        <f>'CUMPLIMIENTO '!H58</f>
        <v>0.21739130434782608</v>
      </c>
    </row>
    <row r="59" spans="1:7" ht="15.75" hidden="1" x14ac:dyDescent="0.25">
      <c r="A59" s="198" t="str">
        <f>'CUMPLIMIENTO '!A59</f>
        <v>PROGRAMA</v>
      </c>
      <c r="B59" s="106" t="str">
        <f>'CUMPLIMIENTO '!B59</f>
        <v xml:space="preserve">2.5.5 </v>
      </c>
      <c r="C59" s="111" t="str">
        <f>'CUMPLIMIENTO '!C59</f>
        <v xml:space="preserve">Bancarización </v>
      </c>
      <c r="D59" s="199">
        <f>'CUMPLIMIENTO '!D59</f>
        <v>1</v>
      </c>
      <c r="E59" s="199">
        <f>'CUMPLIMIENTO '!E59</f>
        <v>1</v>
      </c>
      <c r="F59" s="61">
        <f>'CUMPLIMIENTO '!G59</f>
        <v>7.0000000000000007E-2</v>
      </c>
      <c r="G59" s="61">
        <f>'CUMPLIMIENTO '!H59</f>
        <v>0.32</v>
      </c>
    </row>
    <row r="60" spans="1:7" ht="15.75" hidden="1" x14ac:dyDescent="0.25">
      <c r="A60" s="198" t="str">
        <f>'CUMPLIMIENTO '!A60</f>
        <v>PROGRAMA</v>
      </c>
      <c r="B60" s="106" t="str">
        <f>'CUMPLIMIENTO '!B60</f>
        <v>2.5.6</v>
      </c>
      <c r="C60" s="111" t="str">
        <f>'CUMPLIMIENTO '!C60</f>
        <v xml:space="preserve">Seguridad alimentaria </v>
      </c>
      <c r="D60" s="199">
        <f>'CUMPLIMIENTO '!D60</f>
        <v>1</v>
      </c>
      <c r="E60" s="199" t="str">
        <f>'CUMPLIMIENTO '!E60</f>
        <v>NP</v>
      </c>
      <c r="F60" s="61">
        <f>'CUMPLIMIENTO '!G60</f>
        <v>1</v>
      </c>
      <c r="G60" s="61">
        <f>'CUMPLIMIENTO '!H60</f>
        <v>1</v>
      </c>
    </row>
    <row r="61" spans="1:7" ht="15.75" hidden="1" x14ac:dyDescent="0.25">
      <c r="A61" s="251" t="str">
        <f>'CUMPLIMIENTO '!A61</f>
        <v>LINEA</v>
      </c>
      <c r="B61" s="252" t="str">
        <f>'CUMPLIMIENTO '!B61</f>
        <v>2.6</v>
      </c>
      <c r="C61" s="251" t="str">
        <f>'CUMPLIMIENTO '!C61</f>
        <v>BOLIVAR PRIMERO EN PRODUCTIVIDAD Y COMPETITIVIDAD MINERO ENERGÉTICA</v>
      </c>
      <c r="D61" s="253">
        <f>'CUMPLIMIENTO '!D61</f>
        <v>18</v>
      </c>
      <c r="E61" s="253">
        <f>'CUMPLIMIENTO '!E61</f>
        <v>6</v>
      </c>
      <c r="F61" s="254">
        <f>'CUMPLIMIENTO '!G61</f>
        <v>0.14849206349206351</v>
      </c>
      <c r="G61" s="255">
        <f>'CUMPLIMIENTO '!H61</f>
        <v>0.23641470737153236</v>
      </c>
    </row>
    <row r="62" spans="1:7" ht="15.75" hidden="1" x14ac:dyDescent="0.25">
      <c r="A62" s="198" t="str">
        <f>'CUMPLIMIENTO '!A62</f>
        <v>PROGRAMA</v>
      </c>
      <c r="B62" s="106" t="str">
        <f>'CUMPLIMIENTO '!B62</f>
        <v>2.6.1</v>
      </c>
      <c r="C62" s="111" t="str">
        <f>'CUMPLIMIENTO '!C62</f>
        <v>Minería responsable y segura</v>
      </c>
      <c r="D62" s="199">
        <f>'CUMPLIMIENTO '!D62</f>
        <v>3</v>
      </c>
      <c r="E62" s="199" t="str">
        <f>'CUMPLIMIENTO '!E62</f>
        <v>NP</v>
      </c>
      <c r="F62" s="61">
        <f>'CUMPLIMIENTO '!G62</f>
        <v>5.5555555555555552E-2</v>
      </c>
      <c r="G62" s="61">
        <f>'CUMPLIMIENTO '!H62</f>
        <v>0.16666666666666666</v>
      </c>
    </row>
    <row r="63" spans="1:7" ht="15.75" hidden="1" x14ac:dyDescent="0.25">
      <c r="A63" s="198" t="str">
        <f>'CUMPLIMIENTO '!A63</f>
        <v>PROGRAMA</v>
      </c>
      <c r="B63" s="106" t="str">
        <f>'CUMPLIMIENTO '!B63</f>
        <v>2.6.2</v>
      </c>
      <c r="C63" s="111" t="str">
        <f>'CUMPLIMIENTO '!C63</f>
        <v xml:space="preserve">Minería productiva y competitiva. </v>
      </c>
      <c r="D63" s="199">
        <f>'CUMPLIMIENTO '!D63</f>
        <v>4</v>
      </c>
      <c r="E63" s="199">
        <f>'CUMPLIMIENTO '!E63</f>
        <v>3</v>
      </c>
      <c r="F63" s="61">
        <f>'CUMPLIMIENTO '!G63</f>
        <v>0.17857142857142858</v>
      </c>
      <c r="G63" s="61">
        <f>'CUMPLIMIENTO '!H63</f>
        <v>0.2</v>
      </c>
    </row>
    <row r="64" spans="1:7" ht="15.75" hidden="1" x14ac:dyDescent="0.25">
      <c r="A64" s="198" t="str">
        <f>'CUMPLIMIENTO '!A64</f>
        <v>PROGRAMA</v>
      </c>
      <c r="B64" s="106" t="str">
        <f>'CUMPLIMIENTO '!B64</f>
        <v>2.6.3</v>
      </c>
      <c r="C64" s="111" t="str">
        <f>'CUMPLIMIENTO '!C64</f>
        <v>Ambiente y Minería de la mano, bajo el marco de la legalidad.</v>
      </c>
      <c r="D64" s="199">
        <f>'CUMPLIMIENTO '!D64</f>
        <v>5</v>
      </c>
      <c r="E64" s="199">
        <f>'CUMPLIMIENTO '!E64</f>
        <v>1</v>
      </c>
      <c r="F64" s="61">
        <f>'CUMPLIMIENTO '!G64</f>
        <v>0.155</v>
      </c>
      <c r="G64" s="61">
        <f>'CUMPLIMIENTO '!H64</f>
        <v>0.2298008095849346</v>
      </c>
    </row>
    <row r="65" spans="1:7" ht="15.75" hidden="1" x14ac:dyDescent="0.25">
      <c r="A65" s="198" t="str">
        <f>'CUMPLIMIENTO '!A65</f>
        <v>PROGRAMA</v>
      </c>
      <c r="B65" s="106" t="str">
        <f>'CUMPLIMIENTO '!B65</f>
        <v>2.6.4</v>
      </c>
      <c r="C65" s="111" t="str">
        <f>'CUMPLIMIENTO '!C65</f>
        <v xml:space="preserve">Minería y el desarrollo social participativo </v>
      </c>
      <c r="D65" s="199">
        <f>'CUMPLIMIENTO '!D65</f>
        <v>3</v>
      </c>
      <c r="E65" s="199">
        <f>'CUMPLIMIENTO '!E65</f>
        <v>1</v>
      </c>
      <c r="F65" s="61">
        <f>'CUMPLIMIENTO '!G65</f>
        <v>8.111111111111112E-2</v>
      </c>
      <c r="G65" s="61">
        <f>'CUMPLIMIENTO '!H65</f>
        <v>6.0606060606060608E-2</v>
      </c>
    </row>
    <row r="66" spans="1:7" ht="15.75" hidden="1" x14ac:dyDescent="0.25">
      <c r="A66" s="198" t="str">
        <f>'CUMPLIMIENTO '!A66</f>
        <v>PROGRAMA</v>
      </c>
      <c r="B66" s="106" t="str">
        <f>'CUMPLIMIENTO '!B66</f>
        <v>2.6.5</v>
      </c>
      <c r="C66" s="111" t="str">
        <f>'CUMPLIMIENTO '!C66</f>
        <v xml:space="preserve">Bolívar primero en gas y energía para todos </v>
      </c>
      <c r="D66" s="199">
        <f>'CUMPLIMIENTO '!D66</f>
        <v>3</v>
      </c>
      <c r="E66" s="199">
        <f>'CUMPLIMIENTO '!E66</f>
        <v>1</v>
      </c>
      <c r="F66" s="61">
        <f>'CUMPLIMIENTO '!G66</f>
        <v>0.2722222222222222</v>
      </c>
      <c r="G66" s="61">
        <f>'CUMPLIMIENTO '!H66</f>
        <v>0.52500000000000002</v>
      </c>
    </row>
    <row r="67" spans="1:7" ht="15.75" hidden="1" x14ac:dyDescent="0.25">
      <c r="A67" s="202" t="str">
        <f>'CUMPLIMIENTO '!A67</f>
        <v>LINEA</v>
      </c>
      <c r="B67" s="203" t="str">
        <f>'CUMPLIMIENTO '!B67</f>
        <v>2.7</v>
      </c>
      <c r="C67" s="202" t="str">
        <f>'CUMPLIMIENTO '!C67</f>
        <v>BOLIVAR PRIMERO EN TURISMO</v>
      </c>
      <c r="D67" s="216">
        <f>'CUMPLIMIENTO '!D67</f>
        <v>15</v>
      </c>
      <c r="E67" s="216">
        <f>'CUMPLIMIENTO '!E67</f>
        <v>11</v>
      </c>
      <c r="F67" s="217">
        <f>'CUMPLIMIENTO '!G67</f>
        <v>0.40225641025641029</v>
      </c>
      <c r="G67" s="218">
        <f>'CUMPLIMIENTO '!H67</f>
        <v>0.47361111111111104</v>
      </c>
    </row>
    <row r="68" spans="1:7" ht="15.75" hidden="1" x14ac:dyDescent="0.25">
      <c r="A68" s="198" t="str">
        <f>'CUMPLIMIENTO '!A68</f>
        <v>PROGRAMA</v>
      </c>
      <c r="B68" s="106" t="str">
        <f>'CUMPLIMIENTO '!B68</f>
        <v xml:space="preserve">2.7.1 </v>
      </c>
      <c r="C68" s="111" t="str">
        <f>'CUMPLIMIENTO '!C68</f>
        <v>Bolívar primero en turismo, destinos mágicos</v>
      </c>
      <c r="D68" s="199">
        <f>'CUMPLIMIENTO '!D68</f>
        <v>15</v>
      </c>
      <c r="E68" s="199">
        <f>'CUMPLIMIENTO '!E68</f>
        <v>11</v>
      </c>
      <c r="F68" s="61">
        <f>'CUMPLIMIENTO '!G68</f>
        <v>0.40225641025641029</v>
      </c>
      <c r="G68" s="61">
        <f>'CUMPLIMIENTO '!H68</f>
        <v>0.47361111111111104</v>
      </c>
    </row>
    <row r="69" spans="1:7" ht="15.75" hidden="1" x14ac:dyDescent="0.25">
      <c r="A69" s="251" t="str">
        <f>'CUMPLIMIENTO '!A69</f>
        <v>LINEA</v>
      </c>
      <c r="B69" s="252" t="str">
        <f>'CUMPLIMIENTO '!B69</f>
        <v>2.8</v>
      </c>
      <c r="C69" s="251" t="str">
        <f>'CUMPLIMIENTO '!C69</f>
        <v>TRABAJO DECENTE Y SOSTENIBILIDAD DEL EMPLEO EN ESCENARIOS DE AMENAZAS</v>
      </c>
      <c r="D69" s="253">
        <f>'CUMPLIMIENTO '!D69</f>
        <v>4</v>
      </c>
      <c r="E69" s="253" t="str">
        <f>'CUMPLIMIENTO '!E69</f>
        <v>NP</v>
      </c>
      <c r="F69" s="254">
        <f>'CUMPLIMIENTO '!G69</f>
        <v>8.3333333333333343E-2</v>
      </c>
      <c r="G69" s="255">
        <f>'CUMPLIMIENTO '!H69</f>
        <v>0.19642857142857142</v>
      </c>
    </row>
    <row r="70" spans="1:7" ht="15.75" hidden="1" x14ac:dyDescent="0.25">
      <c r="A70" s="198" t="str">
        <f>'CUMPLIMIENTO '!A70</f>
        <v>PROGRAMA</v>
      </c>
      <c r="B70" s="106" t="str">
        <f>'CUMPLIMIENTO '!B70</f>
        <v xml:space="preserve">2.8.1 </v>
      </c>
      <c r="C70" s="111" t="str">
        <f>'CUMPLIMIENTO '!C70</f>
        <v>Empleo y trabajo decente</v>
      </c>
      <c r="D70" s="199">
        <f>'CUMPLIMIENTO '!D70</f>
        <v>3</v>
      </c>
      <c r="E70" s="199" t="str">
        <f>'CUMPLIMIENTO '!E70</f>
        <v>NP</v>
      </c>
      <c r="F70" s="61">
        <f>'CUMPLIMIENTO '!G70</f>
        <v>6.6666666666666666E-2</v>
      </c>
      <c r="G70" s="61">
        <f>'CUMPLIMIENTO '!H70</f>
        <v>0.14285714285714285</v>
      </c>
    </row>
    <row r="71" spans="1:7" ht="15.75" hidden="1" x14ac:dyDescent="0.25">
      <c r="A71" s="198" t="str">
        <f>'CUMPLIMIENTO '!A71</f>
        <v>PROGRAMA</v>
      </c>
      <c r="B71" s="106" t="str">
        <f>'CUMPLIMIENTO '!B71</f>
        <v>2.8.2</v>
      </c>
      <c r="C71" s="111" t="str">
        <f>'CUMPLIMIENTO '!C71</f>
        <v>Bolívar Primero en beneficios BEPS y desempleo</v>
      </c>
      <c r="D71" s="199">
        <f>'CUMPLIMIENTO '!D71</f>
        <v>1</v>
      </c>
      <c r="E71" s="199" t="str">
        <f>'CUMPLIMIENTO '!E71</f>
        <v>NP</v>
      </c>
      <c r="F71" s="61">
        <f>'CUMPLIMIENTO '!G71</f>
        <v>0.1</v>
      </c>
      <c r="G71" s="61">
        <f>'CUMPLIMIENTO '!H71</f>
        <v>0.25</v>
      </c>
    </row>
    <row r="72" spans="1:7" ht="15.75" hidden="1" x14ac:dyDescent="0.25">
      <c r="A72" s="202" t="str">
        <f>'CUMPLIMIENTO '!A72</f>
        <v>LINEA</v>
      </c>
      <c r="B72" s="203" t="str">
        <f>'CUMPLIMIENTO '!B72</f>
        <v>2.9</v>
      </c>
      <c r="C72" s="202" t="str">
        <f>'CUMPLIMIENTO '!C72</f>
        <v>BOLIVAR PRIMERO EN CIENCIA TECNOLOGÍA E INNOVACIÓN</v>
      </c>
      <c r="D72" s="216">
        <f>'CUMPLIMIENTO '!D72</f>
        <v>11</v>
      </c>
      <c r="E72" s="216">
        <f>'CUMPLIMIENTO '!E72</f>
        <v>11</v>
      </c>
      <c r="F72" s="217">
        <f>'CUMPLIMIENTO '!G72</f>
        <v>0.17891369047619049</v>
      </c>
      <c r="G72" s="218">
        <f>'CUMPLIMIENTO '!H72</f>
        <v>0.50321428571428573</v>
      </c>
    </row>
    <row r="73" spans="1:7" ht="15.75" hidden="1" x14ac:dyDescent="0.25">
      <c r="A73" s="198" t="str">
        <f>'CUMPLIMIENTO '!A73</f>
        <v>PROGRAMA</v>
      </c>
      <c r="B73" s="106" t="str">
        <f>'CUMPLIMIENTO '!B73</f>
        <v>2.9.1</v>
      </c>
      <c r="C73" s="111" t="str">
        <f>'CUMPLIMIENTO '!C73</f>
        <v>Fortalecimiento del sistema territorial del CTI.</v>
      </c>
      <c r="D73" s="199">
        <f>'CUMPLIMIENTO '!D73</f>
        <v>2</v>
      </c>
      <c r="E73" s="199">
        <f>'CUMPLIMIENTO '!E73</f>
        <v>2</v>
      </c>
      <c r="F73" s="61">
        <f>'CUMPLIMIENTO '!G73</f>
        <v>0.37500000000000006</v>
      </c>
      <c r="G73" s="61">
        <f>'CUMPLIMIENTO '!H73</f>
        <v>1</v>
      </c>
    </row>
    <row r="74" spans="1:7" ht="30" hidden="1" x14ac:dyDescent="0.25">
      <c r="A74" s="198" t="str">
        <f>'CUMPLIMIENTO '!A74</f>
        <v>PROGRAMA</v>
      </c>
      <c r="B74" s="106" t="str">
        <f>'CUMPLIMIENTO '!B74</f>
        <v>2.9.2</v>
      </c>
      <c r="C74" s="111" t="str">
        <f>'CUMPLIMIENTO '!C74</f>
        <v>Apropiación social del CTEI y vocaciones para la consolidación de una sociedad del conocimiento.</v>
      </c>
      <c r="D74" s="199">
        <f>'CUMPLIMIENTO '!D74</f>
        <v>6</v>
      </c>
      <c r="E74" s="199">
        <f>'CUMPLIMIENTO '!E74</f>
        <v>6</v>
      </c>
      <c r="F74" s="61">
        <f>'CUMPLIMIENTO '!G74</f>
        <v>0.13208333333333333</v>
      </c>
      <c r="G74" s="61">
        <f>'CUMPLIMIENTO '!H74</f>
        <v>0.41285714285714292</v>
      </c>
    </row>
    <row r="75" spans="1:7" ht="15.75" hidden="1" x14ac:dyDescent="0.25">
      <c r="A75" s="198" t="str">
        <f>'CUMPLIMIENTO '!A75</f>
        <v>PROGRAMA</v>
      </c>
      <c r="B75" s="106" t="str">
        <f>'CUMPLIMIENTO '!B75</f>
        <v>2.9.3</v>
      </c>
      <c r="C75" s="111" t="str">
        <f>'CUMPLIMIENTO '!C75</f>
        <v>Formación del capital humano de alto nivel del CTEI</v>
      </c>
      <c r="D75" s="199">
        <f>'CUMPLIMIENTO '!D75</f>
        <v>2</v>
      </c>
      <c r="E75" s="199">
        <f>'CUMPLIMIENTO '!E75</f>
        <v>2</v>
      </c>
      <c r="F75" s="61">
        <f>'CUMPLIMIENTO '!G75</f>
        <v>0.17857142857142858</v>
      </c>
      <c r="G75" s="61">
        <f>'CUMPLIMIENTO '!H75</f>
        <v>0.5</v>
      </c>
    </row>
    <row r="76" spans="1:7" ht="15.75" hidden="1" x14ac:dyDescent="0.25">
      <c r="A76" s="198" t="str">
        <f>'CUMPLIMIENTO '!A76</f>
        <v>PROGRAMA</v>
      </c>
      <c r="B76" s="106" t="str">
        <f>'CUMPLIMIENTO '!B76</f>
        <v>2.9.4</v>
      </c>
      <c r="C76" s="111" t="str">
        <f>'CUMPLIMIENTO '!C76</f>
        <v>Innovación para el desarrollo sostenible</v>
      </c>
      <c r="D76" s="199">
        <f>'CUMPLIMIENTO '!D76</f>
        <v>1</v>
      </c>
      <c r="E76" s="199">
        <f>'CUMPLIMIENTO '!E76</f>
        <v>1</v>
      </c>
      <c r="F76" s="61">
        <f>'CUMPLIMIENTO '!G76</f>
        <v>0.03</v>
      </c>
      <c r="G76" s="61">
        <f>'CUMPLIMIENTO '!H76</f>
        <v>0.1</v>
      </c>
    </row>
    <row r="77" spans="1:7" ht="15.75" hidden="1" x14ac:dyDescent="0.25">
      <c r="A77" s="251" t="str">
        <f>'CUMPLIMIENTO '!A77</f>
        <v>LINEA</v>
      </c>
      <c r="B77" s="252" t="str">
        <f>'CUMPLIMIENTO '!B77</f>
        <v>2.10</v>
      </c>
      <c r="C77" s="251" t="str">
        <f>'CUMPLIMIENTO '!C77</f>
        <v>FORMACIÓN PARA EL TRABAJO</v>
      </c>
      <c r="D77" s="253">
        <f>'CUMPLIMIENTO '!D77</f>
        <v>4</v>
      </c>
      <c r="E77" s="253" t="str">
        <f>'CUMPLIMIENTO '!E77</f>
        <v>NP</v>
      </c>
      <c r="F77" s="254">
        <f>'CUMPLIMIENTO '!G77</f>
        <v>0</v>
      </c>
      <c r="G77" s="255" t="str">
        <f>'CUMPLIMIENTO '!H77</f>
        <v>NP</v>
      </c>
    </row>
    <row r="78" spans="1:7" ht="30" hidden="1" x14ac:dyDescent="0.25">
      <c r="A78" s="198" t="str">
        <f>'CUMPLIMIENTO '!A78</f>
        <v>PROGRAMA</v>
      </c>
      <c r="B78" s="106" t="str">
        <f>'CUMPLIMIENTO '!B78</f>
        <v>2.10.1</v>
      </c>
      <c r="C78" s="111" t="str">
        <f>'CUMPLIMIENTO '!C78</f>
        <v>Bolívar primero facilita el acceso a la educación superior, la educación para el trabajo y el desarrollo humano</v>
      </c>
      <c r="D78" s="199">
        <f>'CUMPLIMIENTO '!D78</f>
        <v>4</v>
      </c>
      <c r="E78" s="199" t="str">
        <f>'CUMPLIMIENTO '!E78</f>
        <v>NP</v>
      </c>
      <c r="F78" s="61">
        <f>'CUMPLIMIENTO '!G78</f>
        <v>0</v>
      </c>
      <c r="G78" s="61" t="str">
        <f>'CUMPLIMIENTO '!H78</f>
        <v>NP</v>
      </c>
    </row>
    <row r="79" spans="1:7" ht="18.75" x14ac:dyDescent="0.25">
      <c r="A79" s="227" t="str">
        <f>'CUMPLIMIENTO '!A79</f>
        <v>EJE ESTRATEGICO</v>
      </c>
      <c r="B79" s="226">
        <f>'CUMPLIMIENTO '!B79</f>
        <v>3</v>
      </c>
      <c r="C79" s="227" t="str">
        <f>'CUMPLIMIENTO '!C79</f>
        <v xml:space="preserve">GESTIÓN AMBIENTAL Y ORDENAMIENTO TERRITORIAL
</v>
      </c>
      <c r="D79" s="187">
        <f>'CUMPLIMIENTO '!D79</f>
        <v>23</v>
      </c>
      <c r="E79" s="187">
        <f>'CUMPLIMIENTO '!F79</f>
        <v>17</v>
      </c>
      <c r="F79" s="188">
        <f>'CUMPLIMIENTO '!G79</f>
        <v>0.22340166188027338</v>
      </c>
      <c r="G79" s="188">
        <f>'CUMPLIMIENTO '!H79</f>
        <v>0.28496980676328504</v>
      </c>
    </row>
    <row r="80" spans="1:7" ht="22.15" customHeight="1" x14ac:dyDescent="0.25">
      <c r="A80" s="202" t="str">
        <f>'CUMPLIMIENTO '!A80</f>
        <v>LINEA</v>
      </c>
      <c r="B80" s="203" t="str">
        <f>'CUMPLIMIENTO '!B80</f>
        <v>3.1</v>
      </c>
      <c r="C80" s="202" t="str">
        <f>'CUMPLIMIENTO '!C80</f>
        <v>BOLIVAR PRIMERO GESTIÓN AMBIENTAL Y DESARROLLO TERRITORIAL</v>
      </c>
      <c r="D80" s="216">
        <f>'CUMPLIMIENTO '!D80</f>
        <v>5</v>
      </c>
      <c r="E80" s="216">
        <f>'CUMPLIMIENTO '!F80</f>
        <v>2</v>
      </c>
      <c r="F80" s="217">
        <f>'CUMPLIMIENTO '!G80</f>
        <v>0.2</v>
      </c>
      <c r="G80" s="218">
        <f>'CUMPLIMIENTO '!H80</f>
        <v>0.5</v>
      </c>
    </row>
    <row r="81" spans="1:7" ht="15.75" hidden="1" x14ac:dyDescent="0.25">
      <c r="A81" s="198" t="str">
        <f>'CUMPLIMIENTO '!A81</f>
        <v>PROGRAMA</v>
      </c>
      <c r="B81" s="106" t="str">
        <f>'CUMPLIMIENTO '!B81</f>
        <v xml:space="preserve">3.1.1 </v>
      </c>
      <c r="C81" s="111" t="str">
        <f>'CUMPLIMIENTO '!C81</f>
        <v>Ordenamiento territorial y para un bolívar primero en institucionalidad</v>
      </c>
      <c r="D81" s="199">
        <f>'CUMPLIMIENTO '!D81</f>
        <v>5</v>
      </c>
      <c r="E81" s="199">
        <f>'CUMPLIMIENTO '!E81</f>
        <v>2</v>
      </c>
      <c r="F81" s="61">
        <f>'CUMPLIMIENTO '!G81</f>
        <v>0.2</v>
      </c>
      <c r="G81" s="61">
        <f>'CUMPLIMIENTO '!H81</f>
        <v>0.5</v>
      </c>
    </row>
    <row r="82" spans="1:7" ht="22.15" customHeight="1" x14ac:dyDescent="0.25">
      <c r="A82" s="268" t="str">
        <f>'CUMPLIMIENTO '!A82</f>
        <v>LINEA</v>
      </c>
      <c r="B82" s="269" t="str">
        <f>'CUMPLIMIENTO '!B82</f>
        <v>3.2</v>
      </c>
      <c r="C82" s="268" t="str">
        <f>'CUMPLIMIENTO '!C82</f>
        <v>BOLÍVAR PRIMERO EN CONSERVACIÓN AMBIENTAL</v>
      </c>
      <c r="D82" s="270">
        <f>'CUMPLIMIENTO '!D82</f>
        <v>5</v>
      </c>
      <c r="E82" s="270">
        <f>'CUMPLIMIENTO '!F82</f>
        <v>4</v>
      </c>
      <c r="F82" s="271">
        <f>'CUMPLIMIENTO '!G82</f>
        <v>0.23333333333333334</v>
      </c>
      <c r="G82" s="272">
        <f>'CUMPLIMIENTO '!H82</f>
        <v>0.25</v>
      </c>
    </row>
    <row r="83" spans="1:7" ht="15.75" hidden="1" x14ac:dyDescent="0.25">
      <c r="A83" s="198" t="str">
        <f>'CUMPLIMIENTO '!A83</f>
        <v>PROGRAMA</v>
      </c>
      <c r="B83" s="106" t="str">
        <f>'CUMPLIMIENTO '!B83</f>
        <v>3.2.1</v>
      </c>
      <c r="C83" s="111" t="str">
        <f>'CUMPLIMIENTO '!C83</f>
        <v>Ambiente por un Bolívar primero en conservación</v>
      </c>
      <c r="D83" s="199">
        <f>'CUMPLIMIENTO '!D83</f>
        <v>5</v>
      </c>
      <c r="E83" s="199">
        <f>'CUMPLIMIENTO '!E83</f>
        <v>4</v>
      </c>
      <c r="F83" s="61">
        <f>'CUMPLIMIENTO '!G83</f>
        <v>0.23333333333333334</v>
      </c>
      <c r="G83" s="61">
        <f>'CUMPLIMIENTO '!H83</f>
        <v>0.25</v>
      </c>
    </row>
    <row r="84" spans="1:7" ht="30.6" hidden="1" customHeight="1" x14ac:dyDescent="0.25">
      <c r="A84" s="202" t="str">
        <f>'CUMPLIMIENTO '!A84</f>
        <v>LINEA</v>
      </c>
      <c r="B84" s="203" t="str">
        <f>'CUMPLIMIENTO '!B84</f>
        <v>3.3</v>
      </c>
      <c r="C84" s="221" t="str">
        <f>'CUMPLIMIENTO '!C84</f>
        <v>BOLIVAR PRIMERO EN ADAPTACIÓN Y MITIGACIÓN DEL CAMBIO CLIMÁTICO</v>
      </c>
      <c r="D84" s="216">
        <f>'CUMPLIMIENTO '!D84</f>
        <v>2</v>
      </c>
      <c r="E84" s="216">
        <f>'CUMPLIMIENTO '!E84</f>
        <v>1</v>
      </c>
      <c r="F84" s="217">
        <f>'CUMPLIMIENTO '!G84</f>
        <v>2.5000000000000001E-2</v>
      </c>
      <c r="G84" s="218">
        <f>'CUMPLIMIENTO '!H84</f>
        <v>0.05</v>
      </c>
    </row>
    <row r="85" spans="1:7" ht="15.75" hidden="1" x14ac:dyDescent="0.25">
      <c r="A85" s="198" t="str">
        <f>'CUMPLIMIENTO '!A85</f>
        <v>PROGRAMA</v>
      </c>
      <c r="B85" s="106" t="str">
        <f>'CUMPLIMIENTO '!B85</f>
        <v>3.3.1</v>
      </c>
      <c r="C85" s="111" t="str">
        <f>'CUMPLIMIENTO '!C85</f>
        <v>Cambio Climatico</v>
      </c>
      <c r="D85" s="199">
        <f>'CUMPLIMIENTO '!D85</f>
        <v>2</v>
      </c>
      <c r="E85" s="199" t="str">
        <f>'CUMPLIMIENTO '!E85</f>
        <v>NP</v>
      </c>
      <c r="F85" s="61">
        <f>'CUMPLIMIENTO '!G85</f>
        <v>2.5000000000000001E-2</v>
      </c>
      <c r="G85" s="61">
        <f>'CUMPLIMIENTO '!H85</f>
        <v>0.05</v>
      </c>
    </row>
    <row r="86" spans="1:7" ht="22.15" customHeight="1" x14ac:dyDescent="0.25">
      <c r="A86" s="268" t="str">
        <f>'CUMPLIMIENTO '!A86</f>
        <v>LINEA</v>
      </c>
      <c r="B86" s="269" t="str">
        <f>'CUMPLIMIENTO '!B86</f>
        <v>3.4</v>
      </c>
      <c r="C86" s="268" t="str">
        <f>'CUMPLIMIENTO '!C86</f>
        <v>GESTIÓN DEL RIESGO</v>
      </c>
      <c r="D86" s="270">
        <f>'CUMPLIMIENTO '!D86</f>
        <v>11</v>
      </c>
      <c r="E86" s="270">
        <f>'CUMPLIMIENTO '!F86</f>
        <v>10</v>
      </c>
      <c r="F86" s="271">
        <f>'CUMPLIMIENTO '!G86</f>
        <v>0.43527331418776022</v>
      </c>
      <c r="G86" s="272">
        <f>'CUMPLIMIENTO '!H86</f>
        <v>0.33987922705314011</v>
      </c>
    </row>
    <row r="87" spans="1:7" ht="15.75" hidden="1" x14ac:dyDescent="0.25">
      <c r="A87" s="198" t="str">
        <f>'CUMPLIMIENTO '!A87</f>
        <v>PROGRAMA</v>
      </c>
      <c r="B87" s="106" t="str">
        <f>'CUMPLIMIENTO '!B87</f>
        <v xml:space="preserve">3.4.1 </v>
      </c>
      <c r="C87" s="111" t="str">
        <f>'CUMPLIMIENTO '!C87</f>
        <v>Conocimiento del Riesgo</v>
      </c>
      <c r="D87" s="199">
        <f>'CUMPLIMIENTO '!D87</f>
        <v>3</v>
      </c>
      <c r="E87" s="199">
        <f>'CUMPLIMIENTO '!E87</f>
        <v>1</v>
      </c>
      <c r="F87" s="61">
        <f>'CUMPLIMIENTO '!G87</f>
        <v>0.28354037267080745</v>
      </c>
      <c r="G87" s="61">
        <f>'CUMPLIMIENTO '!H87</f>
        <v>0.52463768115942022</v>
      </c>
    </row>
    <row r="88" spans="1:7" ht="15.75" hidden="1" x14ac:dyDescent="0.25">
      <c r="A88" s="198" t="str">
        <f>'CUMPLIMIENTO '!A88</f>
        <v>PROGRAMA</v>
      </c>
      <c r="B88" s="106" t="str">
        <f>'CUMPLIMIENTO '!B88</f>
        <v xml:space="preserve">3.4.2 </v>
      </c>
      <c r="C88" s="111" t="str">
        <f>'CUMPLIMIENTO '!C88</f>
        <v>Disminución y/o Elimicación del Riesgo</v>
      </c>
      <c r="D88" s="199">
        <f>'CUMPLIMIENTO '!D88</f>
        <v>3</v>
      </c>
      <c r="E88" s="199">
        <f>'CUMPLIMIENTO '!E88</f>
        <v>3</v>
      </c>
      <c r="F88" s="61">
        <f>'CUMPLIMIENTO '!G88</f>
        <v>0.55161290322580647</v>
      </c>
      <c r="G88" s="61">
        <f>'CUMPLIMIENTO '!H88</f>
        <v>7.4999999999999997E-2</v>
      </c>
    </row>
    <row r="89" spans="1:7" ht="15.75" hidden="1" x14ac:dyDescent="0.25">
      <c r="A89" s="198" t="str">
        <f>'CUMPLIMIENTO '!A89</f>
        <v>PROGRAMA</v>
      </c>
      <c r="B89" s="106" t="str">
        <f>'CUMPLIMIENTO '!B89</f>
        <v>3.4.3</v>
      </c>
      <c r="C89" s="111" t="str">
        <f>'CUMPLIMIENTO '!C89</f>
        <v>Atencion de Desastre</v>
      </c>
      <c r="D89" s="199">
        <f>'CUMPLIMIENTO '!D89</f>
        <v>5</v>
      </c>
      <c r="E89" s="199">
        <f>'CUMPLIMIENTO '!E89</f>
        <v>3</v>
      </c>
      <c r="F89" s="61">
        <f>'CUMPLIMIENTO '!G89</f>
        <v>0.47066666666666668</v>
      </c>
      <c r="G89" s="61">
        <f>'CUMPLIMIENTO '!H89</f>
        <v>0.42000000000000004</v>
      </c>
    </row>
    <row r="90" spans="1:7" ht="18.75" hidden="1" x14ac:dyDescent="0.25">
      <c r="A90" s="230" t="str">
        <f>'CUMPLIMIENTO '!A90</f>
        <v>EJE ESTRATEGICO</v>
      </c>
      <c r="B90" s="229">
        <f>'CUMPLIMIENTO '!B90</f>
        <v>4</v>
      </c>
      <c r="C90" s="230" t="str">
        <f>'CUMPLIMIENTO '!C90</f>
        <v>BOLÍVAR PRIMERO EN FORTALECIMIENTO INSTITUCIONAL Y SEGURIDAD EFECTIVA PARA TODOS</v>
      </c>
      <c r="D90" s="231">
        <f>'CUMPLIMIENTO '!D90</f>
        <v>68</v>
      </c>
      <c r="E90" s="231">
        <f>'CUMPLIMIENTO '!E90</f>
        <v>47</v>
      </c>
      <c r="F90" s="232">
        <f>'CUMPLIMIENTO '!G90</f>
        <v>0.21518996587883446</v>
      </c>
      <c r="G90" s="232">
        <f>'CUMPLIMIENTO '!H90</f>
        <v>0.20474983465608465</v>
      </c>
    </row>
    <row r="91" spans="1:7" ht="15.75" hidden="1" x14ac:dyDescent="0.25">
      <c r="A91" s="202" t="str">
        <f>'CUMPLIMIENTO '!A91</f>
        <v>LINEA</v>
      </c>
      <c r="B91" s="203" t="str">
        <f>'CUMPLIMIENTO '!B91</f>
        <v>4.1</v>
      </c>
      <c r="C91" s="202" t="str">
        <f>'CUMPLIMIENTO '!C91</f>
        <v>BOLÍVAR SEGURO</v>
      </c>
      <c r="D91" s="216">
        <f>'CUMPLIMIENTO '!D91</f>
        <v>4</v>
      </c>
      <c r="E91" s="216">
        <f>'CUMPLIMIENTO '!E91</f>
        <v>2</v>
      </c>
      <c r="F91" s="217">
        <f>'CUMPLIMIENTO '!G91</f>
        <v>5.9583333333333335E-2</v>
      </c>
      <c r="G91" s="218">
        <f>'CUMPLIMIENTO '!H91</f>
        <v>0.25</v>
      </c>
    </row>
    <row r="92" spans="1:7" ht="15.75" hidden="1" x14ac:dyDescent="0.25">
      <c r="A92" s="198" t="str">
        <f>'CUMPLIMIENTO '!A92</f>
        <v>PROGRAMA</v>
      </c>
      <c r="B92" s="106" t="str">
        <f>'CUMPLIMIENTO '!B92</f>
        <v>4.1.1</v>
      </c>
      <c r="C92" s="111" t="str">
        <f>'CUMPLIMIENTO '!C92</f>
        <v>Fortalecimiento integral de la seguridad y convivencia</v>
      </c>
      <c r="D92" s="199">
        <f>'CUMPLIMIENTO '!D92</f>
        <v>4</v>
      </c>
      <c r="E92" s="199">
        <f>'CUMPLIMIENTO '!E92</f>
        <v>2</v>
      </c>
      <c r="F92" s="61">
        <f>'CUMPLIMIENTO '!G92</f>
        <v>5.9583333333333335E-2</v>
      </c>
      <c r="G92" s="61">
        <f>'CUMPLIMIENTO '!H92</f>
        <v>0.25</v>
      </c>
    </row>
    <row r="93" spans="1:7" ht="15.75" hidden="1" x14ac:dyDescent="0.25">
      <c r="A93" s="202" t="str">
        <f>'CUMPLIMIENTO '!A93</f>
        <v>LINEA</v>
      </c>
      <c r="B93" s="203" t="str">
        <f>'CUMPLIMIENTO '!B93</f>
        <v>4.2</v>
      </c>
      <c r="C93" s="202" t="str">
        <f>'CUMPLIMIENTO '!C93</f>
        <v>BOLÍVAR PRIMERO EN DERECHOS HUMANOS</v>
      </c>
      <c r="D93" s="216">
        <f>'CUMPLIMIENTO '!D93</f>
        <v>7</v>
      </c>
      <c r="E93" s="216">
        <f>'CUMPLIMIENTO '!E93</f>
        <v>7</v>
      </c>
      <c r="F93" s="217">
        <f>'CUMPLIMIENTO '!G93</f>
        <v>0.3392857142857143</v>
      </c>
      <c r="G93" s="218">
        <f>'CUMPLIMIENTO '!H93</f>
        <v>0.51904761904761909</v>
      </c>
    </row>
    <row r="94" spans="1:7" ht="15.75" hidden="1" x14ac:dyDescent="0.25">
      <c r="A94" s="198" t="str">
        <f>'CUMPLIMIENTO '!A94</f>
        <v>PROGRAMA</v>
      </c>
      <c r="B94" s="106" t="str">
        <f>'CUMPLIMIENTO '!B94</f>
        <v>4.2.1</v>
      </c>
      <c r="C94" s="111" t="str">
        <f>'CUMPLIMIENTO '!C94</f>
        <v>Garantía integral de los derechos humanos.</v>
      </c>
      <c r="D94" s="199">
        <f>'CUMPLIMIENTO '!D94</f>
        <v>7</v>
      </c>
      <c r="E94" s="199">
        <f>'CUMPLIMIENTO '!E94</f>
        <v>7</v>
      </c>
      <c r="F94" s="61">
        <f>'CUMPLIMIENTO '!G94</f>
        <v>0.3392857142857143</v>
      </c>
      <c r="G94" s="61">
        <f>'CUMPLIMIENTO '!H94</f>
        <v>0.51904761904761909</v>
      </c>
    </row>
    <row r="95" spans="1:7" ht="15.75" hidden="1" x14ac:dyDescent="0.25">
      <c r="A95" s="202" t="str">
        <f>'CUMPLIMIENTO '!A95</f>
        <v>LINEA</v>
      </c>
      <c r="B95" s="203" t="str">
        <f>'CUMPLIMIENTO '!B95</f>
        <v>4.3</v>
      </c>
      <c r="C95" s="202" t="str">
        <f>'CUMPLIMIENTO '!C95</f>
        <v>BOLÍVAR CON SISTEMA INTEGRAL DE PLANIFICACION DEPARTAMENTAL</v>
      </c>
      <c r="D95" s="216">
        <f>'CUMPLIMIENTO '!D95</f>
        <v>13</v>
      </c>
      <c r="E95" s="216">
        <f>'CUMPLIMIENTO '!E95</f>
        <v>10</v>
      </c>
      <c r="F95" s="217">
        <f>'CUMPLIMIENTO '!G95</f>
        <v>0.3098710317460317</v>
      </c>
      <c r="G95" s="218">
        <f>'CUMPLIMIENTO '!H95</f>
        <v>0.30888888888888888</v>
      </c>
    </row>
    <row r="96" spans="1:7" ht="15.75" hidden="1" x14ac:dyDescent="0.25">
      <c r="A96" s="198" t="str">
        <f>'CUMPLIMIENTO '!A96</f>
        <v>PROGRAMA</v>
      </c>
      <c r="B96" s="106" t="str">
        <f>'CUMPLIMIENTO '!B96</f>
        <v>4.3.1</v>
      </c>
      <c r="C96" s="111" t="str">
        <f>'CUMPLIMIENTO '!C96</f>
        <v>Fortalecimiento al sistema de Planeación departamental.</v>
      </c>
      <c r="D96" s="199">
        <f>'CUMPLIMIENTO '!D96</f>
        <v>8</v>
      </c>
      <c r="E96" s="199">
        <f>'CUMPLIMIENTO '!E96</f>
        <v>7</v>
      </c>
      <c r="F96" s="61">
        <f>'CUMPLIMIENTO '!G96</f>
        <v>0.39196428571428565</v>
      </c>
      <c r="G96" s="61">
        <f>'CUMPLIMIENTO '!H96</f>
        <v>0.33333333333333331</v>
      </c>
    </row>
    <row r="97" spans="1:7" ht="15.75" hidden="1" x14ac:dyDescent="0.25">
      <c r="A97" s="198" t="str">
        <f>'CUMPLIMIENTO '!A97</f>
        <v>PROGRAMA</v>
      </c>
      <c r="B97" s="106" t="str">
        <f>'CUMPLIMIENTO '!B97</f>
        <v>4.3.2</v>
      </c>
      <c r="C97" s="111" t="str">
        <f>'CUMPLIMIENTO '!C97</f>
        <v>Programa Descentralización y planeación territorial</v>
      </c>
      <c r="D97" s="199">
        <f>'CUMPLIMIENTO '!D97</f>
        <v>5</v>
      </c>
      <c r="E97" s="199">
        <f>'CUMPLIMIENTO '!E97</f>
        <v>3</v>
      </c>
      <c r="F97" s="61">
        <f>'CUMPLIMIENTO '!G97</f>
        <v>0.22777777777777777</v>
      </c>
      <c r="G97" s="61">
        <f>'CUMPLIMIENTO '!H97</f>
        <v>0.28444444444444444</v>
      </c>
    </row>
    <row r="98" spans="1:7" ht="15.75" hidden="1" x14ac:dyDescent="0.25">
      <c r="A98" s="202" t="str">
        <f>'CUMPLIMIENTO '!A98</f>
        <v>LINEA</v>
      </c>
      <c r="B98" s="203" t="str">
        <f>'CUMPLIMIENTO '!B98</f>
        <v>4.4</v>
      </c>
      <c r="C98" s="202" t="str">
        <f>'CUMPLIMIENTO '!C98</f>
        <v xml:space="preserve">BOLÍVAR CON INSTITUCIONALIDAD AL SERVICIO DE LA CIUDADANÍA. </v>
      </c>
      <c r="D98" s="216">
        <f>'CUMPLIMIENTO '!D98</f>
        <v>26</v>
      </c>
      <c r="E98" s="216">
        <f>'CUMPLIMIENTO '!E98</f>
        <v>21</v>
      </c>
      <c r="F98" s="217">
        <f>'CUMPLIMIENTO '!G98</f>
        <v>0.34112987463808625</v>
      </c>
      <c r="G98" s="218">
        <f>'CUMPLIMIENTO '!H98</f>
        <v>0.12556249999999999</v>
      </c>
    </row>
    <row r="99" spans="1:7" ht="15.75" hidden="1" x14ac:dyDescent="0.25">
      <c r="A99" s="198" t="str">
        <f>'CUMPLIMIENTO '!A99</f>
        <v>PROGRAMA</v>
      </c>
      <c r="B99" s="106" t="str">
        <f>'CUMPLIMIENTO '!B99</f>
        <v>4.4.1</v>
      </c>
      <c r="C99" s="111" t="str">
        <f>'CUMPLIMIENTO '!C99</f>
        <v>Atención y servicios al ciudadano de calidad al alcance de todos.</v>
      </c>
      <c r="D99" s="199">
        <f>'CUMPLIMIENTO '!D99</f>
        <v>5</v>
      </c>
      <c r="E99" s="199">
        <f>'CUMPLIMIENTO '!E99</f>
        <v>2</v>
      </c>
      <c r="F99" s="61">
        <f>'CUMPLIMIENTO '!G99</f>
        <v>0.167625</v>
      </c>
      <c r="G99" s="61">
        <f>'CUMPLIMIENTO '!H99</f>
        <v>1.5000000000000001E-2</v>
      </c>
    </row>
    <row r="100" spans="1:7" ht="15.75" hidden="1" x14ac:dyDescent="0.25">
      <c r="A100" s="198" t="str">
        <f>'CUMPLIMIENTO '!A100</f>
        <v>PROGRAMA</v>
      </c>
      <c r="B100" s="106" t="str">
        <f>'CUMPLIMIENTO '!B100</f>
        <v>4.4.2</v>
      </c>
      <c r="C100" s="111" t="str">
        <f>'CUMPLIMIENTO '!C100</f>
        <v>Gestión Documental</v>
      </c>
      <c r="D100" s="199">
        <f>'CUMPLIMIENTO '!D100</f>
        <v>4</v>
      </c>
      <c r="E100" s="199">
        <f>'CUMPLIMIENTO '!E100</f>
        <v>2</v>
      </c>
      <c r="F100" s="61">
        <f>'CUMPLIMIENTO '!G100</f>
        <v>0.21513888888888891</v>
      </c>
      <c r="G100" s="61">
        <f>'CUMPLIMIENTO '!H100</f>
        <v>0.16999999999999998</v>
      </c>
    </row>
    <row r="101" spans="1:7" ht="15.75" hidden="1" x14ac:dyDescent="0.25">
      <c r="A101" s="198" t="str">
        <f>'CUMPLIMIENTO '!A101</f>
        <v>PROGRAMA</v>
      </c>
      <c r="B101" s="106" t="str">
        <f>'CUMPLIMIENTO '!B101</f>
        <v>4.4.3</v>
      </c>
      <c r="C101" s="111" t="str">
        <f>'CUMPLIMIENTO '!C101</f>
        <v>Gobierno Digital</v>
      </c>
      <c r="D101" s="199">
        <f>'CUMPLIMIENTO '!D101</f>
        <v>8</v>
      </c>
      <c r="E101" s="199">
        <f>'CUMPLIMIENTO '!E101</f>
        <v>8</v>
      </c>
      <c r="F101" s="61">
        <f>'CUMPLIMIENTO '!G101</f>
        <v>0.72017489035087723</v>
      </c>
      <c r="G101" s="61">
        <f>'CUMPLIMIENTO '!H101</f>
        <v>0.13200000000000001</v>
      </c>
    </row>
    <row r="102" spans="1:7" ht="15.75" hidden="1" x14ac:dyDescent="0.25">
      <c r="A102" s="198" t="str">
        <f>'CUMPLIMIENTO '!A102</f>
        <v>PROGRAMA</v>
      </c>
      <c r="B102" s="106" t="str">
        <f>'CUMPLIMIENTO '!B102</f>
        <v>4.4.4</v>
      </c>
      <c r="C102" s="111" t="str">
        <f>'CUMPLIMIENTO '!C102</f>
        <v>Infraestructura física para todos</v>
      </c>
      <c r="D102" s="199">
        <f>'CUMPLIMIENTO '!D102</f>
        <v>3</v>
      </c>
      <c r="E102" s="199">
        <f>'CUMPLIMIENTO '!E102</f>
        <v>3</v>
      </c>
      <c r="F102" s="61">
        <f>'CUMPLIMIENTO '!G102</f>
        <v>0.77276688453159048</v>
      </c>
      <c r="G102" s="61">
        <f>'CUMPLIMIENTO '!H102</f>
        <v>8.3333333333333329E-2</v>
      </c>
    </row>
    <row r="103" spans="1:7" ht="15.75" hidden="1" x14ac:dyDescent="0.25">
      <c r="A103" s="198" t="str">
        <f>'CUMPLIMIENTO '!A103</f>
        <v>PROGRAMA</v>
      </c>
      <c r="B103" s="106" t="str">
        <f>'CUMPLIMIENTO '!B103</f>
        <v>4.4.5</v>
      </c>
      <c r="C103" s="111" t="str">
        <f>'CUMPLIMIENTO '!C103</f>
        <v>Asistencia Municipal</v>
      </c>
      <c r="D103" s="199">
        <f>'CUMPLIMIENTO '!D103</f>
        <v>1</v>
      </c>
      <c r="E103" s="199">
        <f>'CUMPLIMIENTO '!E103</f>
        <v>1</v>
      </c>
      <c r="F103" s="61">
        <f>'CUMPLIMIENTO '!G103</f>
        <v>0.2</v>
      </c>
      <c r="G103" s="61">
        <f>'CUMPLIMIENTO '!H103</f>
        <v>0.25</v>
      </c>
    </row>
    <row r="104" spans="1:7" ht="15.75" hidden="1" x14ac:dyDescent="0.25">
      <c r="A104" s="198" t="str">
        <f>'CUMPLIMIENTO '!A104</f>
        <v>PROGRAMA</v>
      </c>
      <c r="B104" s="106" t="str">
        <f>'CUMPLIMIENTO '!B104</f>
        <v>4.4.6</v>
      </c>
      <c r="C104" s="111" t="str">
        <f>'CUMPLIMIENTO '!C104</f>
        <v>Programa: Cuerpos Bomberos</v>
      </c>
      <c r="D104" s="199">
        <f>'CUMPLIMIENTO '!D104</f>
        <v>1</v>
      </c>
      <c r="E104" s="199">
        <f>'CUMPLIMIENTO '!E104</f>
        <v>1</v>
      </c>
      <c r="F104" s="61">
        <f>'CUMPLIMIENTO '!G104</f>
        <v>0.12</v>
      </c>
      <c r="G104" s="61">
        <f>'CUMPLIMIENTO '!H104</f>
        <v>0.25</v>
      </c>
    </row>
    <row r="105" spans="1:7" ht="15.75" hidden="1" x14ac:dyDescent="0.25">
      <c r="A105" s="198" t="str">
        <f>'CUMPLIMIENTO '!A105</f>
        <v>PROGRAMA</v>
      </c>
      <c r="B105" s="106" t="str">
        <f>'CUMPLIMIENTO '!B105</f>
        <v>4.4.7</v>
      </c>
      <c r="C105" s="111" t="str">
        <f>'CUMPLIMIENTO '!C105</f>
        <v>Mejores funcionarios, mejor gobierno</v>
      </c>
      <c r="D105" s="199">
        <f>'CUMPLIMIENTO '!D105</f>
        <v>1</v>
      </c>
      <c r="E105" s="199">
        <f>'CUMPLIMIENTO '!E105</f>
        <v>1</v>
      </c>
      <c r="F105" s="61">
        <f>'CUMPLIMIENTO '!G105</f>
        <v>0.5</v>
      </c>
      <c r="G105" s="61">
        <f>'CUMPLIMIENTO '!H105</f>
        <v>0</v>
      </c>
    </row>
    <row r="106" spans="1:7" ht="15.75" hidden="1" x14ac:dyDescent="0.25">
      <c r="A106" s="198" t="str">
        <f>'CUMPLIMIENTO '!A106</f>
        <v>PROGRAMA</v>
      </c>
      <c r="B106" s="106" t="str">
        <f>'CUMPLIMIENTO '!B106</f>
        <v>4.4.8</v>
      </c>
      <c r="C106" s="111" t="str">
        <f>'CUMPLIMIENTO '!C106</f>
        <v>Bolívar primero en el territorio: diálogo y acción</v>
      </c>
      <c r="D106" s="199">
        <f>'CUMPLIMIENTO '!D106</f>
        <v>3</v>
      </c>
      <c r="E106" s="199">
        <f>'CUMPLIMIENTO '!E106</f>
        <v>3</v>
      </c>
      <c r="F106" s="61">
        <f>'CUMPLIMIENTO '!G106</f>
        <v>3.3333333333333333E-2</v>
      </c>
      <c r="G106" s="61">
        <f>'CUMPLIMIENTO '!H106</f>
        <v>0.10416666666666667</v>
      </c>
    </row>
    <row r="107" spans="1:7" ht="15.75" hidden="1" x14ac:dyDescent="0.25">
      <c r="A107" s="202" t="str">
        <f>'CUMPLIMIENTO '!A107</f>
        <v>LINEA</v>
      </c>
      <c r="B107" s="203" t="str">
        <f>'CUMPLIMIENTO '!B107</f>
        <v>4.5</v>
      </c>
      <c r="C107" s="202" t="str">
        <f>'CUMPLIMIENTO '!C107</f>
        <v xml:space="preserve">BOLÍVAR CONTROLA LAS FINANZAS PÚBLICAS. </v>
      </c>
      <c r="D107" s="216">
        <f>'CUMPLIMIENTO '!D107</f>
        <v>7</v>
      </c>
      <c r="E107" s="216">
        <f>'CUMPLIMIENTO '!E107</f>
        <v>2</v>
      </c>
      <c r="F107" s="217">
        <f>'CUMPLIMIENTO '!G107</f>
        <v>3.5714285714285712E-2</v>
      </c>
      <c r="G107" s="218">
        <f>'CUMPLIMIENTO '!H107</f>
        <v>0</v>
      </c>
    </row>
    <row r="108" spans="1:7" ht="24.6" hidden="1" customHeight="1" x14ac:dyDescent="0.25">
      <c r="A108" s="198" t="str">
        <f>'CUMPLIMIENTO '!A108</f>
        <v>PROGRAMA</v>
      </c>
      <c r="B108" s="106" t="str">
        <f>'CUMPLIMIENTO '!B108</f>
        <v>4.5.1</v>
      </c>
      <c r="C108" s="111" t="str">
        <f>'CUMPLIMIENTO '!C108</f>
        <v xml:space="preserve">Fortalecimiento financiero administrativo y fiscal de la secretaria de hacienda </v>
      </c>
      <c r="D108" s="199">
        <f>'CUMPLIMIENTO '!D108</f>
        <v>7</v>
      </c>
      <c r="E108" s="199">
        <f>'CUMPLIMIENTO '!E108</f>
        <v>2</v>
      </c>
      <c r="F108" s="61">
        <f>'CUMPLIMIENTO '!G108</f>
        <v>3.5714285714285712E-2</v>
      </c>
      <c r="G108" s="61">
        <f>'CUMPLIMIENTO '!H108</f>
        <v>0</v>
      </c>
    </row>
    <row r="109" spans="1:7" ht="15.75" hidden="1" x14ac:dyDescent="0.25">
      <c r="A109" s="202" t="str">
        <f>'CUMPLIMIENTO '!A109</f>
        <v>LINEA</v>
      </c>
      <c r="B109" s="203" t="str">
        <f>'CUMPLIMIENTO '!B109</f>
        <v>4.6</v>
      </c>
      <c r="C109" s="202" t="str">
        <f>'CUMPLIMIENTO '!C109</f>
        <v>BOLÍVAR PRIMERO PROPICIA LA PARTICIPACIÓN CIUDADANA.</v>
      </c>
      <c r="D109" s="216">
        <f>'CUMPLIMIENTO '!D109</f>
        <v>11</v>
      </c>
      <c r="E109" s="216">
        <f>'CUMPLIMIENTO '!E109</f>
        <v>5</v>
      </c>
      <c r="F109" s="217">
        <f>'CUMPLIMIENTO '!G109</f>
        <v>0.20555555555555557</v>
      </c>
      <c r="G109" s="218">
        <f>'CUMPLIMIENTO '!H109</f>
        <v>2.5000000000000001E-2</v>
      </c>
    </row>
    <row r="110" spans="1:7" ht="15.75" hidden="1" x14ac:dyDescent="0.25">
      <c r="A110" s="198" t="str">
        <f>'CUMPLIMIENTO '!A110</f>
        <v>PROGRAMA</v>
      </c>
      <c r="B110" s="106" t="str">
        <f>'CUMPLIMIENTO '!B110</f>
        <v>4.6.1</v>
      </c>
      <c r="C110" s="111" t="str">
        <f>'CUMPLIMIENTO '!C110</f>
        <v>Participación Ciudadana</v>
      </c>
      <c r="D110" s="199">
        <f>'CUMPLIMIENTO '!D110</f>
        <v>4</v>
      </c>
      <c r="E110" s="199">
        <f>'CUMPLIMIENTO '!E110</f>
        <v>2</v>
      </c>
      <c r="F110" s="61">
        <f>'CUMPLIMIENTO '!G110</f>
        <v>0.140625</v>
      </c>
      <c r="G110" s="61">
        <f>'CUMPLIMIENTO '!H110</f>
        <v>0.05</v>
      </c>
    </row>
    <row r="111" spans="1:7" ht="15.75" hidden="1" x14ac:dyDescent="0.25">
      <c r="A111" s="198" t="str">
        <f>'CUMPLIMIENTO '!A111</f>
        <v>PROGRAMA</v>
      </c>
      <c r="B111" s="106" t="str">
        <f>'CUMPLIMIENTO '!B111</f>
        <v xml:space="preserve">4.6.2 </v>
      </c>
      <c r="C111" s="111" t="str">
        <f>'CUMPLIMIENTO '!C111</f>
        <v>Organismos comunales</v>
      </c>
      <c r="D111" s="199">
        <f>'CUMPLIMIENTO '!D111</f>
        <v>3</v>
      </c>
      <c r="E111" s="199">
        <f>'CUMPLIMIENTO '!E111</f>
        <v>2</v>
      </c>
      <c r="F111" s="61">
        <f>'CUMPLIMIENTO '!G111</f>
        <v>0.11666666666666665</v>
      </c>
      <c r="G111" s="61">
        <f>'CUMPLIMIENTO '!H111</f>
        <v>0</v>
      </c>
    </row>
    <row r="112" spans="1:7" ht="15.75" hidden="1" x14ac:dyDescent="0.25">
      <c r="A112" s="198" t="str">
        <f>'CUMPLIMIENTO '!A112</f>
        <v>PROGRAMA</v>
      </c>
      <c r="B112" s="106" t="str">
        <f>'CUMPLIMIENTO '!B112</f>
        <v>4.6.3</v>
      </c>
      <c r="C112" s="111" t="str">
        <f>'CUMPLIMIENTO '!C112</f>
        <v>Procesos electorales</v>
      </c>
      <c r="D112" s="199">
        <f>'CUMPLIMIENTO '!D112</f>
        <v>1</v>
      </c>
      <c r="E112" s="199">
        <f>'CUMPLIMIENTO '!E112</f>
        <v>1</v>
      </c>
      <c r="F112" s="61">
        <f>'CUMPLIMIENTO '!G112</f>
        <v>0.5</v>
      </c>
      <c r="G112" s="61" t="str">
        <f>'CUMPLIMIENTO '!H112</f>
        <v>NP</v>
      </c>
    </row>
    <row r="113" spans="1:7" ht="15.75" hidden="1" x14ac:dyDescent="0.25">
      <c r="A113" s="198" t="str">
        <f>'CUMPLIMIENTO '!A113</f>
        <v>PROGRAMA</v>
      </c>
      <c r="B113" s="106" t="str">
        <f>'CUMPLIMIENTO '!B113</f>
        <v>4.6.4</v>
      </c>
      <c r="C113" s="111" t="str">
        <f>'CUMPLIMIENTO '!C113</f>
        <v>Construcción de Cultura Ciudadana</v>
      </c>
      <c r="D113" s="199">
        <f>'CUMPLIMIENTO '!D113</f>
        <v>3</v>
      </c>
      <c r="E113" s="199" t="str">
        <f>'CUMPLIMIENTO '!E113</f>
        <v>NP</v>
      </c>
      <c r="F113" s="61">
        <f>'CUMPLIMIENTO '!G113</f>
        <v>0</v>
      </c>
      <c r="G113" s="61" t="str">
        <f>'CUMPLIMIENTO '!H113</f>
        <v>NP</v>
      </c>
    </row>
    <row r="114" spans="1:7" ht="18.75" hidden="1" x14ac:dyDescent="0.25">
      <c r="A114" s="227" t="str">
        <f>'CUMPLIMIENTO '!A114</f>
        <v>EJE ESTRATEGICO</v>
      </c>
      <c r="B114" s="226">
        <f>'CUMPLIMIENTO '!B114</f>
        <v>5</v>
      </c>
      <c r="C114" s="227" t="str">
        <f>'CUMPLIMIENTO '!C114</f>
        <v>BOLÍVAR PRIMERO EN RURALIDAD</v>
      </c>
      <c r="D114" s="187">
        <f>'CUMPLIMIENTO '!D114</f>
        <v>34</v>
      </c>
      <c r="E114" s="187">
        <f>'CUMPLIMIENTO '!E114</f>
        <v>11</v>
      </c>
      <c r="F114" s="188">
        <f>'CUMPLIMIENTO '!G114</f>
        <v>0.31751547831253712</v>
      </c>
      <c r="G114" s="188">
        <f>'CUMPLIMIENTO '!H114</f>
        <v>0.37496305418719206</v>
      </c>
    </row>
    <row r="115" spans="1:7" ht="15.75" hidden="1" x14ac:dyDescent="0.25">
      <c r="A115" s="202" t="str">
        <f>'CUMPLIMIENTO '!A115</f>
        <v>LINEA</v>
      </c>
      <c r="B115" s="203" t="str">
        <f>'CUMPLIMIENTO '!B115</f>
        <v>5.1</v>
      </c>
      <c r="C115" s="202" t="str">
        <f>'CUMPLIMIENTO '!C115</f>
        <v>BOLÍVAR AL CAMPO: PLAN DE ATENCIÓN RURAL INTEGRAL Y PRIORITARIA - PARIP</v>
      </c>
      <c r="D115" s="216">
        <f>'CUMPLIMIENTO '!D115</f>
        <v>34</v>
      </c>
      <c r="E115" s="216">
        <f>'CUMPLIMIENTO '!E115</f>
        <v>11</v>
      </c>
      <c r="F115" s="217">
        <f>'CUMPLIMIENTO '!G115</f>
        <v>0.31751547831253712</v>
      </c>
      <c r="G115" s="218">
        <f>'CUMPLIMIENTO '!H115</f>
        <v>0.37496305418719206</v>
      </c>
    </row>
    <row r="116" spans="1:7" ht="15.75" hidden="1" x14ac:dyDescent="0.25">
      <c r="A116" s="198" t="str">
        <f>'CUMPLIMIENTO '!A116</f>
        <v>PROGRAMA</v>
      </c>
      <c r="B116" s="106" t="str">
        <f>'CUMPLIMIENTO '!B116</f>
        <v>5.1.1</v>
      </c>
      <c r="C116" s="111" t="str">
        <f>'CUMPLIMIENTO '!C116</f>
        <v xml:space="preserve">Bolívar garantiza derechos sociales en el campo.  </v>
      </c>
      <c r="D116" s="199">
        <f>'CUMPLIMIENTO '!D116</f>
        <v>9</v>
      </c>
      <c r="E116" s="199" t="str">
        <f>'CUMPLIMIENTO '!E116</f>
        <v>NP</v>
      </c>
      <c r="F116" s="61">
        <f>'CUMPLIMIENTO '!G116</f>
        <v>1.9166666666666665E-2</v>
      </c>
      <c r="G116" s="61">
        <f>'CUMPLIMIENTO '!H116</f>
        <v>0.12023809523809523</v>
      </c>
    </row>
    <row r="117" spans="1:7" ht="15.75" hidden="1" x14ac:dyDescent="0.25">
      <c r="A117" s="198" t="str">
        <f>'CUMPLIMIENTO '!A117</f>
        <v>PROGRAMA</v>
      </c>
      <c r="B117" s="106" t="str">
        <f>'CUMPLIMIENTO '!B117</f>
        <v>5.1.2</v>
      </c>
      <c r="C117" s="111" t="str">
        <f>'CUMPLIMIENTO '!C117</f>
        <v>Bolívar Educa en el campo</v>
      </c>
      <c r="D117" s="199">
        <f>'CUMPLIMIENTO '!D117</f>
        <v>4</v>
      </c>
      <c r="E117" s="199" t="str">
        <f>'CUMPLIMIENTO '!E117</f>
        <v>NP</v>
      </c>
      <c r="F117" s="61">
        <f>'CUMPLIMIENTO '!G117</f>
        <v>0.36909090909090914</v>
      </c>
      <c r="G117" s="61">
        <f>'CUMPLIMIENTO '!H117</f>
        <v>0.69620689655172407</v>
      </c>
    </row>
    <row r="118" spans="1:7" ht="15.75" hidden="1" x14ac:dyDescent="0.25">
      <c r="A118" s="198" t="str">
        <f>'CUMPLIMIENTO '!A118</f>
        <v>PROGRAMA</v>
      </c>
      <c r="B118" s="106" t="str">
        <f>'CUMPLIMIENTO '!B118</f>
        <v>5.1.3</v>
      </c>
      <c r="C118" s="111" t="str">
        <f>'CUMPLIMIENTO '!C118</f>
        <v>Bolívar lleva Servicios Públicos al campo.</v>
      </c>
      <c r="D118" s="199">
        <f>'CUMPLIMIENTO '!D118</f>
        <v>3</v>
      </c>
      <c r="E118" s="199">
        <f>'CUMPLIMIENTO '!E118</f>
        <v>1</v>
      </c>
      <c r="F118" s="61">
        <f>'CUMPLIMIENTO '!G118</f>
        <v>0.48</v>
      </c>
      <c r="G118" s="61">
        <f>'CUMPLIMIENTO '!H118</f>
        <v>0.375</v>
      </c>
    </row>
    <row r="119" spans="1:7" ht="15.75" hidden="1" x14ac:dyDescent="0.25">
      <c r="A119" s="198" t="str">
        <f>'CUMPLIMIENTO '!A119</f>
        <v>PROGRAMA</v>
      </c>
      <c r="B119" s="106" t="str">
        <f>'CUMPLIMIENTO '!B119</f>
        <v>5.1.4</v>
      </c>
      <c r="C119" s="111" t="str">
        <f>'CUMPLIMIENTO '!C119</f>
        <v xml:space="preserve">Ingreso, trabajo y productividad en el campo. </v>
      </c>
      <c r="D119" s="199">
        <f>'CUMPLIMIENTO '!D119</f>
        <v>10</v>
      </c>
      <c r="E119" s="199">
        <f>'CUMPLIMIENTO '!E119</f>
        <v>7</v>
      </c>
      <c r="F119" s="61">
        <f>'CUMPLIMIENTO '!G119</f>
        <v>0.28860000000000002</v>
      </c>
      <c r="G119" s="61">
        <f>'CUMPLIMIENTO '!H119</f>
        <v>5.5555555555555552E-2</v>
      </c>
    </row>
    <row r="120" spans="1:7" ht="15.75" hidden="1" x14ac:dyDescent="0.25">
      <c r="A120" s="198" t="str">
        <f>'CUMPLIMIENTO '!A120</f>
        <v>PROGRAMA</v>
      </c>
      <c r="B120" s="106" t="str">
        <f>'CUMPLIMIENTO '!B120</f>
        <v>5.1.5</v>
      </c>
      <c r="C120" s="111" t="str">
        <f>'CUMPLIMIENTO '!C120</f>
        <v>Infraestructura rural.</v>
      </c>
      <c r="D120" s="199">
        <f>'CUMPLIMIENTO '!D120</f>
        <v>2</v>
      </c>
      <c r="E120" s="199">
        <f>'CUMPLIMIENTO '!E120</f>
        <v>2</v>
      </c>
      <c r="F120" s="61">
        <f>'CUMPLIMIENTO '!G120</f>
        <v>0.71323529411764697</v>
      </c>
      <c r="G120" s="61">
        <f>'CUMPLIMIENTO '!H120</f>
        <v>0.85</v>
      </c>
    </row>
    <row r="121" spans="1:7" ht="15.75" hidden="1" x14ac:dyDescent="0.25">
      <c r="A121" s="198" t="str">
        <f>'CUMPLIMIENTO '!A121</f>
        <v>PROGRAMA</v>
      </c>
      <c r="B121" s="106" t="str">
        <f>'CUMPLIMIENTO '!B121</f>
        <v>5.1.6</v>
      </c>
      <c r="C121" s="111" t="str">
        <f>'CUMPLIMIENTO '!C121</f>
        <v>Cultura, deporte y recreación en el campo.</v>
      </c>
      <c r="D121" s="199">
        <f>'CUMPLIMIENTO '!D121</f>
        <v>6</v>
      </c>
      <c r="E121" s="199">
        <f>'CUMPLIMIENTO '!E121</f>
        <v>1</v>
      </c>
      <c r="F121" s="61">
        <f>'CUMPLIMIENTO '!G121</f>
        <v>3.5000000000000003E-2</v>
      </c>
      <c r="G121" s="61">
        <f>'CUMPLIMIENTO '!H121</f>
        <v>0.15277777777777776</v>
      </c>
    </row>
    <row r="122" spans="1:7" ht="18.75" hidden="1" x14ac:dyDescent="0.25">
      <c r="A122" s="230" t="str">
        <f>'CUMPLIMIENTO '!A122</f>
        <v>EJE ESTRATEGICO</v>
      </c>
      <c r="B122" s="229">
        <f>'CUMPLIMIENTO '!B122</f>
        <v>6</v>
      </c>
      <c r="C122" s="230" t="str">
        <f>'CUMPLIMIENTO '!C122</f>
        <v>GRUPOS POBLACIONALES</v>
      </c>
      <c r="D122" s="231">
        <f>'CUMPLIMIENTO '!D122</f>
        <v>128</v>
      </c>
      <c r="E122" s="231">
        <f>'CUMPLIMIENTO '!E122</f>
        <v>83</v>
      </c>
      <c r="F122" s="232">
        <f>'CUMPLIMIENTO '!G122</f>
        <v>0.29743627103134557</v>
      </c>
      <c r="G122" s="232">
        <f>'CUMPLIMIENTO '!H122</f>
        <v>0.18931768927175735</v>
      </c>
    </row>
    <row r="123" spans="1:7" ht="31.5" hidden="1" x14ac:dyDescent="0.25">
      <c r="A123" s="202" t="str">
        <f>'CUMPLIMIENTO '!A123</f>
        <v>LINEA</v>
      </c>
      <c r="B123" s="203" t="str">
        <f>'CUMPLIMIENTO '!B123</f>
        <v>6.1</v>
      </c>
      <c r="C123" s="221" t="str">
        <f>'CUMPLIMIENTO '!C123</f>
        <v xml:space="preserve">CAPITULO ATENCIÓN A VÍCTIMAS, CONSTRUCCIÓN DE PAZ Y RECONCILIACIÓN </v>
      </c>
      <c r="D123" s="216">
        <f>'CUMPLIMIENTO '!D123</f>
        <v>52</v>
      </c>
      <c r="E123" s="216">
        <f>'CUMPLIMIENTO '!E123</f>
        <v>38</v>
      </c>
      <c r="F123" s="217">
        <f>'CUMPLIMIENTO '!G123</f>
        <v>0.22420701145984015</v>
      </c>
      <c r="G123" s="218">
        <f>'CUMPLIMIENTO '!H123</f>
        <v>0.27793974732750243</v>
      </c>
    </row>
    <row r="124" spans="1:7" ht="15.75" hidden="1" x14ac:dyDescent="0.25">
      <c r="A124" s="198" t="str">
        <f>'CUMPLIMIENTO '!A124</f>
        <v>PROGRAMA</v>
      </c>
      <c r="B124" s="106" t="str">
        <f>'CUMPLIMIENTO '!B124</f>
        <v>6.1.1</v>
      </c>
      <c r="C124" s="111" t="str">
        <f>'CUMPLIMIENTO '!C124</f>
        <v>Atención y Asistencia</v>
      </c>
      <c r="D124" s="199">
        <f>'CUMPLIMIENTO '!D124</f>
        <v>16</v>
      </c>
      <c r="E124" s="199">
        <f>'CUMPLIMIENTO '!E124</f>
        <v>9</v>
      </c>
      <c r="F124" s="61">
        <f>'CUMPLIMIENTO '!G124</f>
        <v>0.25437813283208016</v>
      </c>
      <c r="G124" s="61">
        <f>'CUMPLIMIENTO '!H124</f>
        <v>0.29777777777777775</v>
      </c>
    </row>
    <row r="125" spans="1:7" ht="15.75" hidden="1" x14ac:dyDescent="0.25">
      <c r="A125" s="198" t="str">
        <f>'CUMPLIMIENTO '!A125</f>
        <v>PROGRAMA</v>
      </c>
      <c r="B125" s="106" t="str">
        <f>'CUMPLIMIENTO '!B125</f>
        <v>6.1.2</v>
      </c>
      <c r="C125" s="111" t="str">
        <f>'CUMPLIMIENTO '!C125</f>
        <v>Prevención y Protección</v>
      </c>
      <c r="D125" s="199">
        <f>'CUMPLIMIENTO '!D125</f>
        <v>5</v>
      </c>
      <c r="E125" s="199">
        <f>'CUMPLIMIENTO '!E125</f>
        <v>5</v>
      </c>
      <c r="F125" s="61">
        <f>'CUMPLIMIENTO '!G125</f>
        <v>0.16250000000000001</v>
      </c>
      <c r="G125" s="61">
        <f>'CUMPLIMIENTO '!H125</f>
        <v>0.2</v>
      </c>
    </row>
    <row r="126" spans="1:7" ht="15.75" hidden="1" x14ac:dyDescent="0.25">
      <c r="A126" s="198" t="str">
        <f>'CUMPLIMIENTO '!A126</f>
        <v>PROGRAMA</v>
      </c>
      <c r="B126" s="106" t="str">
        <f>'CUMPLIMIENTO '!B126</f>
        <v xml:space="preserve">6.1.3 </v>
      </c>
      <c r="C126" s="111" t="str">
        <f>'CUMPLIMIENTO '!C126</f>
        <v xml:space="preserve">Reparación Colectiva, retornos y reubicaciones </v>
      </c>
      <c r="D126" s="199">
        <f>'CUMPLIMIENTO '!D126</f>
        <v>3</v>
      </c>
      <c r="E126" s="199">
        <f>'CUMPLIMIENTO '!E126</f>
        <v>3</v>
      </c>
      <c r="F126" s="61">
        <f>'CUMPLIMIENTO '!G126</f>
        <v>0.16250000000000001</v>
      </c>
      <c r="G126" s="61">
        <f>'CUMPLIMIENTO '!H126</f>
        <v>0.12222222222222223</v>
      </c>
    </row>
    <row r="127" spans="1:7" ht="15.75" hidden="1" x14ac:dyDescent="0.25">
      <c r="A127" s="198" t="str">
        <f>'CUMPLIMIENTO '!A127</f>
        <v>PROGRAMA</v>
      </c>
      <c r="B127" s="106" t="str">
        <f>'CUMPLIMIENTO '!B127</f>
        <v xml:space="preserve">6.1.4 </v>
      </c>
      <c r="C127" s="111" t="str">
        <f>'CUMPLIMIENTO '!C127</f>
        <v>Participación efectiva</v>
      </c>
      <c r="D127" s="199">
        <f>'CUMPLIMIENTO '!D127</f>
        <v>5</v>
      </c>
      <c r="E127" s="199">
        <f>'CUMPLIMIENTO '!E127</f>
        <v>4</v>
      </c>
      <c r="F127" s="61">
        <f>'CUMPLIMIENTO '!G127</f>
        <v>0.10482336956521739</v>
      </c>
      <c r="G127" s="61">
        <f>'CUMPLIMIENTO '!H127</f>
        <v>0.10500000000000001</v>
      </c>
    </row>
    <row r="128" spans="1:7" ht="15.75" hidden="1" x14ac:dyDescent="0.25">
      <c r="A128" s="198" t="str">
        <f>'CUMPLIMIENTO '!A128</f>
        <v>PROGRAMA</v>
      </c>
      <c r="B128" s="106" t="str">
        <f>'CUMPLIMIENTO '!B128</f>
        <v xml:space="preserve">6.1.5 </v>
      </c>
      <c r="C128" s="111" t="str">
        <f>'CUMPLIMIENTO '!C128</f>
        <v xml:space="preserve">Fortalecimiento para la Gestión institucional y Sistemas de Información </v>
      </c>
      <c r="D128" s="199">
        <f>'CUMPLIMIENTO '!D128</f>
        <v>11</v>
      </c>
      <c r="E128" s="199">
        <f>'CUMPLIMIENTO '!E128</f>
        <v>10</v>
      </c>
      <c r="F128" s="61">
        <f>'CUMPLIMIENTO '!G128</f>
        <v>0.35759313766714318</v>
      </c>
      <c r="G128" s="61">
        <f>'CUMPLIMIENTO '!H128</f>
        <v>0.21224489795918369</v>
      </c>
    </row>
    <row r="129" spans="1:11" ht="15.75" hidden="1" x14ac:dyDescent="0.25">
      <c r="A129" s="198" t="str">
        <f>'CUMPLIMIENTO '!A129</f>
        <v>PROGRAMA</v>
      </c>
      <c r="B129" s="106" t="str">
        <f>'CUMPLIMIENTO '!B129</f>
        <v>6.1.6</v>
      </c>
      <c r="C129" s="111" t="str">
        <f>'CUMPLIMIENTO '!C129</f>
        <v>Restitución de tierras</v>
      </c>
      <c r="D129" s="199">
        <f>'CUMPLIMIENTO '!D129</f>
        <v>4</v>
      </c>
      <c r="E129" s="199">
        <f>'CUMPLIMIENTO '!E129</f>
        <v>4</v>
      </c>
      <c r="F129" s="61">
        <f>'CUMPLIMIENTO '!G129</f>
        <v>0.38063063063063063</v>
      </c>
      <c r="G129" s="61">
        <f>'CUMPLIMIENTO '!H129</f>
        <v>0.8</v>
      </c>
    </row>
    <row r="130" spans="1:11" ht="30" hidden="1" x14ac:dyDescent="0.25">
      <c r="A130" s="198" t="str">
        <f>'CUMPLIMIENTO '!A130</f>
        <v>PROGRAMA</v>
      </c>
      <c r="B130" s="106" t="str">
        <f>'CUMPLIMIENTO '!B130</f>
        <v>6.1.7</v>
      </c>
      <c r="C130" s="111" t="str">
        <f>'CUMPLIMIENTO '!C130</f>
        <v>Programa: Inclusión y reincorporación comunitaria para la consolidación de la paz</v>
      </c>
      <c r="D130" s="199">
        <f>'CUMPLIMIENTO '!D130</f>
        <v>8</v>
      </c>
      <c r="E130" s="199">
        <f>'CUMPLIMIENTO '!E130</f>
        <v>3</v>
      </c>
      <c r="F130" s="61">
        <f>'CUMPLIMIENTO '!G130</f>
        <v>0.14702380952380953</v>
      </c>
      <c r="G130" s="61">
        <f>'CUMPLIMIENTO '!H130</f>
        <v>0.20833333333333331</v>
      </c>
    </row>
    <row r="131" spans="1:11" ht="15.75" hidden="1" x14ac:dyDescent="0.25">
      <c r="A131" s="202" t="str">
        <f>'CUMPLIMIENTO '!A131</f>
        <v>LINEA</v>
      </c>
      <c r="B131" s="203" t="str">
        <f>'CUMPLIMIENTO '!B131</f>
        <v>6.2</v>
      </c>
      <c r="C131" s="202" t="str">
        <f>'CUMPLIMIENTO '!C131</f>
        <v>CAPITULO DE MINORÍAS ÉTNICAS.</v>
      </c>
      <c r="D131" s="216">
        <f>'CUMPLIMIENTO '!D131</f>
        <v>37</v>
      </c>
      <c r="E131" s="216">
        <f>'CUMPLIMIENTO '!E131</f>
        <v>10</v>
      </c>
      <c r="F131" s="217">
        <f>'CUMPLIMIENTO '!G131</f>
        <v>0.12273065476190476</v>
      </c>
      <c r="G131" s="218">
        <f>'CUMPLIMIENTO '!H131</f>
        <v>0.12968749999999998</v>
      </c>
    </row>
    <row r="132" spans="1:11" ht="15.75" hidden="1" x14ac:dyDescent="0.25">
      <c r="A132" s="198" t="str">
        <f>'CUMPLIMIENTO '!A132</f>
        <v>PROGRAMA</v>
      </c>
      <c r="B132" s="106" t="str">
        <f>'CUMPLIMIENTO '!B132</f>
        <v>6.2.1</v>
      </c>
      <c r="C132" s="111" t="str">
        <f>'CUMPLIMIENTO '!C132</f>
        <v xml:space="preserve">Fortalecimiento de los procesos organizacionales de la población NARP. </v>
      </c>
      <c r="D132" s="199">
        <f>'CUMPLIMIENTO '!D132</f>
        <v>4</v>
      </c>
      <c r="E132" s="199">
        <f>'CUMPLIMIENTO '!E132</f>
        <v>4</v>
      </c>
      <c r="F132" s="61">
        <f>'CUMPLIMIENTO '!G132</f>
        <v>0.453125</v>
      </c>
      <c r="G132" s="61">
        <f>'CUMPLIMIENTO '!H132</f>
        <v>0.4375</v>
      </c>
    </row>
    <row r="133" spans="1:11" ht="30" hidden="1" x14ac:dyDescent="0.25">
      <c r="A133" s="198" t="str">
        <f>'CUMPLIMIENTO '!A133</f>
        <v>PROGRAMA</v>
      </c>
      <c r="B133" s="106" t="str">
        <f>'CUMPLIMIENTO '!B133</f>
        <v>6.2.2</v>
      </c>
      <c r="C133" s="111" t="str">
        <f>'CUMPLIMIENTO '!C133</f>
        <v>Mujer y género en población negra, afrocolombiana, raizal, palenquera, indígena y rom</v>
      </c>
      <c r="D133" s="199">
        <f>'CUMPLIMIENTO '!D133</f>
        <v>4</v>
      </c>
      <c r="E133" s="199">
        <f>'CUMPLIMIENTO '!E133</f>
        <v>2</v>
      </c>
      <c r="F133" s="61">
        <f>'CUMPLIMIENTO '!G133</f>
        <v>4.0625000000000001E-2</v>
      </c>
      <c r="G133" s="61">
        <f>'CUMPLIMIENTO '!H133</f>
        <v>0.1</v>
      </c>
    </row>
    <row r="134" spans="1:11" ht="15.75" hidden="1" x14ac:dyDescent="0.25">
      <c r="A134" s="198" t="str">
        <f>'CUMPLIMIENTO '!A134</f>
        <v>PROGRAMA</v>
      </c>
      <c r="B134" s="106" t="str">
        <f>'CUMPLIMIENTO '!B134</f>
        <v>6.2.3</v>
      </c>
      <c r="C134" s="111" t="str">
        <f>'CUMPLIMIENTO '!C134</f>
        <v>Arte, cultura y patrimonio</v>
      </c>
      <c r="D134" s="199">
        <f>'CUMPLIMIENTO '!D134</f>
        <v>7</v>
      </c>
      <c r="E134" s="199" t="str">
        <f>'CUMPLIMIENTO '!E134</f>
        <v>NP</v>
      </c>
      <c r="F134" s="61">
        <f>'CUMPLIMIENTO '!G134</f>
        <v>0</v>
      </c>
      <c r="G134" s="61">
        <f>'CUMPLIMIENTO '!H134</f>
        <v>0</v>
      </c>
    </row>
    <row r="135" spans="1:11" ht="15.75" hidden="1" x14ac:dyDescent="0.25">
      <c r="A135" s="198" t="str">
        <f>'CUMPLIMIENTO '!A135</f>
        <v>PROGRAMA</v>
      </c>
      <c r="B135" s="106" t="str">
        <f>'CUMPLIMIENTO '!B135</f>
        <v>6,2,4</v>
      </c>
      <c r="C135" s="111" t="str">
        <f>'CUMPLIMIENTO '!C135</f>
        <v>Recreación y deporte.</v>
      </c>
      <c r="D135" s="199">
        <f>'CUMPLIMIENTO '!D135</f>
        <v>1</v>
      </c>
      <c r="E135" s="199" t="str">
        <f>'CUMPLIMIENTO '!E135</f>
        <v>NP</v>
      </c>
      <c r="F135" s="61">
        <f>'CUMPLIMIENTO '!G135</f>
        <v>0</v>
      </c>
      <c r="G135" s="61">
        <f>'CUMPLIMIENTO '!H135</f>
        <v>0</v>
      </c>
    </row>
    <row r="136" spans="1:11" ht="15.75" hidden="1" x14ac:dyDescent="0.25">
      <c r="A136" s="198" t="str">
        <f>'CUMPLIMIENTO '!A136</f>
        <v>PROGRAMA</v>
      </c>
      <c r="B136" s="106" t="str">
        <f>'CUMPLIMIENTO '!B136</f>
        <v>6,2,5</v>
      </c>
      <c r="C136" s="111" t="str">
        <f>'CUMPLIMIENTO '!C136</f>
        <v>Desarrollo económico</v>
      </c>
      <c r="D136" s="199">
        <f>'CUMPLIMIENTO '!D136</f>
        <v>7</v>
      </c>
      <c r="E136" s="199">
        <f>'CUMPLIMIENTO '!E136</f>
        <v>1</v>
      </c>
      <c r="F136" s="61">
        <f>'CUMPLIMIENTO '!G136</f>
        <v>7.1428571428571425E-2</v>
      </c>
      <c r="G136" s="61">
        <f>'CUMPLIMIENTO '!H136</f>
        <v>0.16666666666666666</v>
      </c>
    </row>
    <row r="137" spans="1:11" ht="15.75" hidden="1" x14ac:dyDescent="0.25">
      <c r="A137" s="198" t="str">
        <f>'CUMPLIMIENTO '!A137</f>
        <v>PROGRAMA</v>
      </c>
      <c r="B137" s="106" t="str">
        <f>'CUMPLIMIENTO '!B137</f>
        <v>6.2.6</v>
      </c>
      <c r="C137" s="111" t="str">
        <f>'CUMPLIMIENTO '!C137</f>
        <v>Educación</v>
      </c>
      <c r="D137" s="199">
        <f>'CUMPLIMIENTO '!D137</f>
        <v>6</v>
      </c>
      <c r="E137" s="199" t="str">
        <f>'CUMPLIMIENTO '!E137</f>
        <v>NP</v>
      </c>
      <c r="F137" s="61">
        <f>'CUMPLIMIENTO '!G137</f>
        <v>0</v>
      </c>
      <c r="G137" s="61">
        <f>'CUMPLIMIENTO '!H137</f>
        <v>0</v>
      </c>
    </row>
    <row r="138" spans="1:11" ht="15.75" hidden="1" x14ac:dyDescent="0.25">
      <c r="A138" s="198" t="str">
        <f>'CUMPLIMIENTO '!A138</f>
        <v>PROGRAMA</v>
      </c>
      <c r="B138" s="106" t="str">
        <f>'CUMPLIMIENTO '!B138</f>
        <v>6.2.7</v>
      </c>
      <c r="C138" s="111" t="str">
        <f>'CUMPLIMIENTO '!C138</f>
        <v>Derechos Humanos</v>
      </c>
      <c r="D138" s="199">
        <f>'CUMPLIMIENTO '!D138</f>
        <v>3</v>
      </c>
      <c r="E138" s="199">
        <f>'CUMPLIMIENTO '!E138</f>
        <v>1</v>
      </c>
      <c r="F138" s="61">
        <f>'CUMPLIMIENTO '!G138</f>
        <v>0.16666666666666666</v>
      </c>
      <c r="G138" s="61">
        <f>'CUMPLIMIENTO '!H138</f>
        <v>0</v>
      </c>
    </row>
    <row r="139" spans="1:11" ht="15.75" hidden="1" x14ac:dyDescent="0.25">
      <c r="A139" s="198" t="str">
        <f>'CUMPLIMIENTO '!A139</f>
        <v>PROGRAMA</v>
      </c>
      <c r="B139" s="106" t="str">
        <f>'CUMPLIMIENTO '!B139</f>
        <v>6.2.8</v>
      </c>
      <c r="C139" s="111" t="str">
        <f>'CUMPLIMIENTO '!C139</f>
        <v>Atención a población indígena.</v>
      </c>
      <c r="D139" s="199">
        <f>'CUMPLIMIENTO '!D139</f>
        <v>5</v>
      </c>
      <c r="E139" s="199">
        <f>'CUMPLIMIENTO '!E139</f>
        <v>2</v>
      </c>
      <c r="F139" s="61">
        <f>'CUMPLIMIENTO '!G139</f>
        <v>0.25</v>
      </c>
      <c r="G139" s="61">
        <f>'CUMPLIMIENTO '!H139</f>
        <v>0.33333333333333331</v>
      </c>
      <c r="H139" s="62"/>
    </row>
    <row r="140" spans="1:11" ht="31.5" hidden="1" x14ac:dyDescent="0.25">
      <c r="A140" s="202" t="str">
        <f>'CUMPLIMIENTO '!A140</f>
        <v>LINEA</v>
      </c>
      <c r="B140" s="203" t="str">
        <f>'CUMPLIMIENTO '!B140</f>
        <v>6.3</v>
      </c>
      <c r="C140" s="221" t="str">
        <f>'CUMPLIMIENTO '!C140</f>
        <v>CAPITULO NIÑOS Y NIÑAS EN SU PRIMERA INFANCIA, INFANCIA Y ADOLESCENCIA.</v>
      </c>
      <c r="D140" s="216">
        <f>'CUMPLIMIENTO '!D140</f>
        <v>9</v>
      </c>
      <c r="E140" s="216">
        <f>'CUMPLIMIENTO '!E140</f>
        <v>7</v>
      </c>
      <c r="F140" s="217">
        <f>'CUMPLIMIENTO '!G140</f>
        <v>0.53456790123456799</v>
      </c>
      <c r="G140" s="218">
        <f>'CUMPLIMIENTO '!H140</f>
        <v>0.25</v>
      </c>
    </row>
    <row r="141" spans="1:11" ht="15.75" hidden="1" x14ac:dyDescent="0.25">
      <c r="A141" s="198" t="str">
        <f>'CUMPLIMIENTO '!A141</f>
        <v>PROGRAMA</v>
      </c>
      <c r="B141" s="106" t="str">
        <f>'CUMPLIMIENTO '!B141</f>
        <v>6.3.1</v>
      </c>
      <c r="C141" s="111" t="str">
        <f>'CUMPLIMIENTO '!C141</f>
        <v>Niños y niñas en su primera infancia, infancia y adolescencia</v>
      </c>
      <c r="D141" s="199">
        <f>'CUMPLIMIENTO '!D141</f>
        <v>9</v>
      </c>
      <c r="E141" s="199">
        <f>'CUMPLIMIENTO '!E141</f>
        <v>7</v>
      </c>
      <c r="F141" s="61">
        <f>'CUMPLIMIENTO '!G141</f>
        <v>0.53456790123456799</v>
      </c>
      <c r="G141" s="61">
        <f>'CUMPLIMIENTO '!H141</f>
        <v>0.25</v>
      </c>
    </row>
    <row r="142" spans="1:11" ht="15.75" hidden="1" x14ac:dyDescent="0.25">
      <c r="A142" s="202" t="str">
        <f>'CUMPLIMIENTO '!A142</f>
        <v>LINEA</v>
      </c>
      <c r="B142" s="203" t="str">
        <f>'CUMPLIMIENTO '!B142</f>
        <v>6.4</v>
      </c>
      <c r="C142" s="202" t="str">
        <f>'CUMPLIMIENTO '!C142</f>
        <v>JUVENTUD</v>
      </c>
      <c r="D142" s="216">
        <f>'CUMPLIMIENTO '!D142</f>
        <v>4</v>
      </c>
      <c r="E142" s="216">
        <f>'CUMPLIMIENTO '!E142</f>
        <v>4</v>
      </c>
      <c r="F142" s="217">
        <f>'CUMPLIMIENTO '!G142</f>
        <v>0.44374999999999998</v>
      </c>
      <c r="G142" s="218">
        <f>'CUMPLIMIENTO '!H142</f>
        <v>0.35638297872340424</v>
      </c>
      <c r="J142" s="77"/>
      <c r="K142" s="77"/>
    </row>
    <row r="143" spans="1:11" ht="15.75" hidden="1" x14ac:dyDescent="0.25">
      <c r="A143" s="198" t="str">
        <f>'CUMPLIMIENTO '!A143</f>
        <v>PROGRAMA</v>
      </c>
      <c r="B143" s="106" t="str">
        <f>'CUMPLIMIENTO '!B143</f>
        <v>6.4.1</v>
      </c>
      <c r="C143" s="111" t="str">
        <f>'CUMPLIMIENTO '!C143</f>
        <v>Juventud</v>
      </c>
      <c r="D143" s="199">
        <f>'CUMPLIMIENTO '!D143</f>
        <v>4</v>
      </c>
      <c r="E143" s="199">
        <f>'CUMPLIMIENTO '!E143</f>
        <v>4</v>
      </c>
      <c r="F143" s="61">
        <f>'CUMPLIMIENTO '!G143</f>
        <v>0.44374999999999998</v>
      </c>
      <c r="G143" s="61">
        <f>'CUMPLIMIENTO '!H143</f>
        <v>0.35638297872340424</v>
      </c>
      <c r="J143" s="77"/>
      <c r="K143" s="77"/>
    </row>
    <row r="144" spans="1:11" ht="30" hidden="1" x14ac:dyDescent="0.25">
      <c r="A144" s="202" t="str">
        <f>'CUMPLIMIENTO '!A144</f>
        <v>LINEA</v>
      </c>
      <c r="B144" s="203" t="str">
        <f>'CUMPLIMIENTO '!B144</f>
        <v>6.5</v>
      </c>
      <c r="C144" s="213" t="str">
        <f>'CUMPLIMIENTO '!C144</f>
        <v xml:space="preserve">BOLÍVAR GARANTIZA DERECHOS Y CUBRE LAS NECESIDADES DE ENVEJECIMIENTO Y VEJEZ. </v>
      </c>
      <c r="D144" s="216">
        <f>'CUMPLIMIENTO '!D144</f>
        <v>7</v>
      </c>
      <c r="E144" s="216">
        <f>'CUMPLIMIENTO '!E144</f>
        <v>6</v>
      </c>
      <c r="F144" s="217">
        <f>'CUMPLIMIENTO '!G144</f>
        <v>0.38174603174603178</v>
      </c>
      <c r="G144" s="218">
        <f>'CUMPLIMIENTO '!H144</f>
        <v>0</v>
      </c>
      <c r="J144" s="77"/>
      <c r="K144" s="77"/>
    </row>
    <row r="145" spans="1:11" ht="30" hidden="1" x14ac:dyDescent="0.25">
      <c r="A145" s="198" t="str">
        <f>'CUMPLIMIENTO '!A145</f>
        <v>PROGRAMA</v>
      </c>
      <c r="B145" s="106" t="str">
        <f>'CUMPLIMIENTO '!B145</f>
        <v>6.5.1</v>
      </c>
      <c r="C145" s="111" t="str">
        <f>'CUMPLIMIENTO '!C145</f>
        <v>Bolívar garantiza derechos y cubre las necesidades de envejecimiento y vejez.</v>
      </c>
      <c r="D145" s="199">
        <f>'CUMPLIMIENTO '!D145</f>
        <v>7</v>
      </c>
      <c r="E145" s="199">
        <f>'CUMPLIMIENTO '!E145</f>
        <v>6</v>
      </c>
      <c r="F145" s="61">
        <f>'CUMPLIMIENTO '!G145</f>
        <v>0.38174603174603178</v>
      </c>
      <c r="G145" s="61">
        <f>'CUMPLIMIENTO '!H145</f>
        <v>0</v>
      </c>
      <c r="J145" s="77"/>
      <c r="K145" s="77"/>
    </row>
    <row r="146" spans="1:11" ht="30" hidden="1" x14ac:dyDescent="0.25">
      <c r="A146" s="202" t="str">
        <f>'CUMPLIMIENTO '!A146</f>
        <v>LINEA</v>
      </c>
      <c r="B146" s="203" t="str">
        <f>'CUMPLIMIENTO '!B146</f>
        <v>6.6</v>
      </c>
      <c r="C146" s="213" t="str">
        <f>'CUMPLIMIENTO '!C146</f>
        <v>BOLÍVAR PRIMERO GARANTIZA LA EQUIDAD DE GÉNERO Y LA AUTONOMÍA DE LA MUJER BOLIVARENSE.</v>
      </c>
      <c r="D146" s="216">
        <f>'CUMPLIMIENTO '!D146</f>
        <v>9</v>
      </c>
      <c r="E146" s="216">
        <f>'CUMPLIMIENTO '!E146</f>
        <v>8</v>
      </c>
      <c r="F146" s="217">
        <f>'CUMPLIMIENTO '!G146</f>
        <v>0.44444444444444442</v>
      </c>
      <c r="G146" s="218">
        <f>'CUMPLIMIENTO '!H146</f>
        <v>0.25</v>
      </c>
      <c r="J146" s="77"/>
      <c r="K146" s="77"/>
    </row>
    <row r="147" spans="1:11" ht="15.75" hidden="1" x14ac:dyDescent="0.25">
      <c r="A147" s="198" t="str">
        <f>'CUMPLIMIENTO '!A147</f>
        <v>PROGRAMA</v>
      </c>
      <c r="B147" s="106" t="str">
        <f>'CUMPLIMIENTO '!B147</f>
        <v>6.6.1</v>
      </c>
      <c r="C147" s="111" t="str">
        <f>'CUMPLIMIENTO '!C147</f>
        <v>Mujer Bolivarense</v>
      </c>
      <c r="D147" s="199">
        <f>'CUMPLIMIENTO '!D147</f>
        <v>9</v>
      </c>
      <c r="E147" s="199">
        <f>'CUMPLIMIENTO '!E147</f>
        <v>8</v>
      </c>
      <c r="F147" s="61">
        <f>'CUMPLIMIENTO '!G147</f>
        <v>0.44444444444444442</v>
      </c>
      <c r="G147" s="61">
        <f>'CUMPLIMIENTO '!H147</f>
        <v>0.25</v>
      </c>
      <c r="J147" s="77"/>
      <c r="K147" s="77"/>
    </row>
    <row r="148" spans="1:11" ht="15.75" hidden="1" x14ac:dyDescent="0.25">
      <c r="A148" s="202" t="str">
        <f>'CUMPLIMIENTO '!A148</f>
        <v>LINEA</v>
      </c>
      <c r="B148" s="203" t="str">
        <f>'CUMPLIMIENTO '!B148</f>
        <v>6.7</v>
      </c>
      <c r="C148" s="202" t="str">
        <f>'CUMPLIMIENTO '!C148</f>
        <v>CAPITULO LGTBIQ</v>
      </c>
      <c r="D148" s="216">
        <f>'CUMPLIMIENTO '!D148</f>
        <v>4</v>
      </c>
      <c r="E148" s="216">
        <f>'CUMPLIMIENTO '!E148</f>
        <v>4</v>
      </c>
      <c r="F148" s="217">
        <f>'CUMPLIMIENTO '!G148</f>
        <v>0.47291666666666665</v>
      </c>
      <c r="G148" s="218">
        <f>'CUMPLIMIENTO '!H148</f>
        <v>0.14583333333333331</v>
      </c>
      <c r="J148" s="150"/>
      <c r="K148" s="150"/>
    </row>
    <row r="149" spans="1:11" ht="15.75" hidden="1" x14ac:dyDescent="0.25">
      <c r="A149" s="198" t="str">
        <f>'CUMPLIMIENTO '!A149</f>
        <v>PROGRAMA</v>
      </c>
      <c r="B149" s="106" t="str">
        <f>'CUMPLIMIENTO '!B149</f>
        <v>6.7.1</v>
      </c>
      <c r="C149" s="111" t="str">
        <f>'CUMPLIMIENTO '!C149</f>
        <v>LGTBIQ</v>
      </c>
      <c r="D149" s="199">
        <f>'CUMPLIMIENTO '!D149</f>
        <v>4</v>
      </c>
      <c r="E149" s="199">
        <f>'CUMPLIMIENTO '!E149</f>
        <v>4</v>
      </c>
      <c r="F149" s="61">
        <f>'CUMPLIMIENTO '!G149</f>
        <v>0.47291666666666665</v>
      </c>
      <c r="G149" s="61">
        <f>'CUMPLIMIENTO '!H149</f>
        <v>0.14583333333333331</v>
      </c>
    </row>
    <row r="150" spans="1:11" ht="15.75" hidden="1" x14ac:dyDescent="0.25">
      <c r="A150" s="202" t="str">
        <f>'CUMPLIMIENTO '!A150</f>
        <v>LINEA</v>
      </c>
      <c r="B150" s="203" t="str">
        <f>'CUMPLIMIENTO '!B150</f>
        <v>6.8</v>
      </c>
      <c r="C150" s="202" t="str">
        <f>'CUMPLIMIENTO '!C150</f>
        <v>CAPITULO POBLACIÓN EN SITUACIÓN DE DISCAPACIDAD</v>
      </c>
      <c r="D150" s="216">
        <f>'CUMPLIMIENTO '!D150</f>
        <v>2</v>
      </c>
      <c r="E150" s="216">
        <f>'CUMPLIMIENTO '!E150</f>
        <v>2</v>
      </c>
      <c r="F150" s="217">
        <f>'CUMPLIMIENTO '!G150</f>
        <v>0.2</v>
      </c>
      <c r="G150" s="218">
        <f>'CUMPLIMIENTO '!H150</f>
        <v>0.31666666666666665</v>
      </c>
    </row>
    <row r="151" spans="1:11" ht="15.75" hidden="1" x14ac:dyDescent="0.25">
      <c r="A151" s="198" t="str">
        <f>'CUMPLIMIENTO '!A151</f>
        <v>PROGRAMA</v>
      </c>
      <c r="B151" s="106" t="str">
        <f>'CUMPLIMIENTO '!B151</f>
        <v>6.8.1</v>
      </c>
      <c r="C151" s="111" t="str">
        <f>'CUMPLIMIENTO '!C151</f>
        <v>Población en situación de discapacidad</v>
      </c>
      <c r="D151" s="199">
        <f>'CUMPLIMIENTO '!D151</f>
        <v>2</v>
      </c>
      <c r="E151" s="199">
        <f>'CUMPLIMIENTO '!E151</f>
        <v>2</v>
      </c>
      <c r="F151" s="61">
        <f>'CUMPLIMIENTO '!G151</f>
        <v>0.2</v>
      </c>
      <c r="G151" s="61">
        <f>'CUMPLIMIENTO '!H151</f>
        <v>0.31666666666666665</v>
      </c>
    </row>
    <row r="152" spans="1:11" ht="15.75" hidden="1" x14ac:dyDescent="0.25">
      <c r="A152" s="202" t="str">
        <f>'CUMPLIMIENTO '!A152</f>
        <v>LINEA</v>
      </c>
      <c r="B152" s="203" t="str">
        <f>'CUMPLIMIENTO '!B152</f>
        <v>6.9</v>
      </c>
      <c r="C152" s="202" t="str">
        <f>'CUMPLIMIENTO '!C152</f>
        <v>ASUNTOS RELIGIOSOS</v>
      </c>
      <c r="D152" s="216">
        <f>'CUMPLIMIENTO '!D152</f>
        <v>2</v>
      </c>
      <c r="E152" s="216">
        <f>'CUMPLIMIENTO '!E152</f>
        <v>2</v>
      </c>
      <c r="F152" s="217">
        <f>'CUMPLIMIENTO '!G152</f>
        <v>0.15</v>
      </c>
      <c r="G152" s="218">
        <f>'CUMPLIMIENTO '!H152</f>
        <v>0.16666666666666666</v>
      </c>
    </row>
    <row r="153" spans="1:11" ht="15.75" hidden="1" x14ac:dyDescent="0.25">
      <c r="A153" s="198" t="str">
        <f>'CUMPLIMIENTO '!A153</f>
        <v>PROGRAMA</v>
      </c>
      <c r="B153" s="106" t="str">
        <f>'CUMPLIMIENTO '!B153</f>
        <v>6.9.1</v>
      </c>
      <c r="C153" s="111" t="str">
        <f>'CUMPLIMIENTO '!C153</f>
        <v>Asuntos religiosos</v>
      </c>
      <c r="D153" s="199">
        <f>'CUMPLIMIENTO '!D153</f>
        <v>2</v>
      </c>
      <c r="E153" s="199">
        <f>'CUMPLIMIENTO '!E153</f>
        <v>2</v>
      </c>
      <c r="F153" s="61">
        <f>'CUMPLIMIENTO '!G153</f>
        <v>0.15</v>
      </c>
      <c r="G153" s="61">
        <f>'CUMPLIMIENTO '!H153</f>
        <v>0.16666666666666666</v>
      </c>
    </row>
    <row r="154" spans="1:11" ht="15.75" hidden="1" x14ac:dyDescent="0.25">
      <c r="A154" s="202" t="str">
        <f>'CUMPLIMIENTO '!A154</f>
        <v>LINEA</v>
      </c>
      <c r="B154" s="203" t="str">
        <f>'CUMPLIMIENTO '!B154</f>
        <v>6.10</v>
      </c>
      <c r="C154" s="202" t="str">
        <f>'CUMPLIMIENTO '!C154</f>
        <v>SISTEMA PENITENCIARIO</v>
      </c>
      <c r="D154" s="216">
        <f>'CUMPLIMIENTO '!D154</f>
        <v>2</v>
      </c>
      <c r="E154" s="216">
        <f>'CUMPLIMIENTO '!E154</f>
        <v>2</v>
      </c>
      <c r="F154" s="217">
        <f>'CUMPLIMIENTO '!G154</f>
        <v>0</v>
      </c>
      <c r="G154" s="218">
        <f>'CUMPLIMIENTO '!H154</f>
        <v>0</v>
      </c>
    </row>
    <row r="155" spans="1:11" ht="15.75" hidden="1" x14ac:dyDescent="0.25">
      <c r="A155" s="198" t="str">
        <f>'CUMPLIMIENTO '!A155</f>
        <v>PROGRAMA</v>
      </c>
      <c r="B155" s="106" t="str">
        <f>'CUMPLIMIENTO '!B155</f>
        <v>6.10.1</v>
      </c>
      <c r="C155" s="111" t="str">
        <f>'CUMPLIMIENTO '!C155</f>
        <v>Sistema Penitenciario</v>
      </c>
      <c r="D155" s="199">
        <f>'CUMPLIMIENTO '!D155</f>
        <v>2</v>
      </c>
      <c r="E155" s="199">
        <f>'CUMPLIMIENTO '!E155</f>
        <v>2</v>
      </c>
      <c r="F155" s="61">
        <f>'CUMPLIMIENTO '!G155</f>
        <v>0</v>
      </c>
      <c r="G155" s="61">
        <f>'CUMPLIMIENTO '!H155</f>
        <v>0</v>
      </c>
    </row>
    <row r="157" spans="1:11" ht="23.25" x14ac:dyDescent="0.35">
      <c r="A157" s="625" t="str">
        <f>C79</f>
        <v xml:space="preserve">GESTIÓN AMBIENTAL Y ORDENAMIENTO TERRITORIAL
</v>
      </c>
      <c r="B157" s="625"/>
      <c r="C157" s="625"/>
      <c r="D157" s="625"/>
      <c r="E157" s="625"/>
      <c r="F157" s="625"/>
      <c r="G157" s="625"/>
    </row>
    <row r="186" spans="10:12" ht="18.75" x14ac:dyDescent="0.3">
      <c r="J186" s="518"/>
      <c r="K186" s="522" t="s">
        <v>2033</v>
      </c>
      <c r="L186" s="522" t="s">
        <v>2034</v>
      </c>
    </row>
    <row r="187" spans="10:12" x14ac:dyDescent="0.25">
      <c r="J187" s="519"/>
      <c r="K187" s="523" t="s">
        <v>2035</v>
      </c>
      <c r="L187" s="517" t="s">
        <v>2037</v>
      </c>
    </row>
    <row r="188" spans="10:12" x14ac:dyDescent="0.25">
      <c r="J188" s="520"/>
      <c r="K188" s="523" t="s">
        <v>2036</v>
      </c>
      <c r="L188" s="517" t="s">
        <v>2038</v>
      </c>
    </row>
    <row r="189" spans="10:12" x14ac:dyDescent="0.25">
      <c r="J189" s="521"/>
      <c r="K189" s="523" t="s">
        <v>2040</v>
      </c>
      <c r="L189" s="517" t="s">
        <v>2039</v>
      </c>
    </row>
  </sheetData>
  <autoFilter ref="A9:G155" xr:uid="{A9C5D684-4882-4199-835C-A4262CB1F79C}">
    <filterColumn colId="1">
      <filters>
        <filter val="3"/>
        <filter val="3.1"/>
        <filter val="3.2"/>
        <filter val="3.3"/>
        <filter val="3.4"/>
      </filters>
    </filterColumn>
    <filterColumn colId="6">
      <filters>
        <filter val="100%"/>
        <filter val="67%"/>
        <filter val="85%"/>
        <filter val="88%"/>
      </filters>
    </filterColumn>
  </autoFilter>
  <mergeCells count="2">
    <mergeCell ref="A3:D6"/>
    <mergeCell ref="A157:G157"/>
  </mergeCells>
  <printOptions horizontalCentered="1"/>
  <pageMargins left="0.51181102362204722" right="0.51181102362204722" top="0" bottom="0" header="0.11811023622047245" footer="0.11811023622047245"/>
  <pageSetup scale="7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2</vt:i4>
      </vt:variant>
    </vt:vector>
  </HeadingPairs>
  <TitlesOfParts>
    <vt:vector size="14" baseType="lpstr">
      <vt:lpstr>Fuente</vt:lpstr>
      <vt:lpstr>RESUMEN</vt:lpstr>
      <vt:lpstr>tabladincumpli</vt:lpstr>
      <vt:lpstr>CUMPLIMIENTO </vt:lpstr>
      <vt:lpstr>METAS POR AÑO</vt:lpstr>
      <vt:lpstr>CUMPLIMIENTO_TOTAL</vt:lpstr>
      <vt:lpstr>CUMPLIMIENTO_EJE1</vt:lpstr>
      <vt:lpstr>CUMPLIMIENTO_EJE2</vt:lpstr>
      <vt:lpstr>CUMPLIMIENTO_EJE3</vt:lpstr>
      <vt:lpstr>CUMPLIMIENTO_EJE4</vt:lpstr>
      <vt:lpstr>CUMPLIMIENTO_EJE5</vt:lpstr>
      <vt:lpstr>CUMPLIMIENTO_EJE6</vt:lpstr>
      <vt:lpstr>'CUMPLIMIENTO '!Títulos_a_imprimir</vt:lpstr>
      <vt:lpstr>RESUMEN!Títulos_a_imprimir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Home</dc:creator>
  <cp:lastModifiedBy>Robinson Dominguez Reyes</cp:lastModifiedBy>
  <cp:lastPrinted>2021-05-19T23:52:53Z</cp:lastPrinted>
  <dcterms:created xsi:type="dcterms:W3CDTF">2020-10-15T21:53:52Z</dcterms:created>
  <dcterms:modified xsi:type="dcterms:W3CDTF">2021-06-25T20:01:28Z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aeae64a917c54b8e8433f7cb27c9f0e2</vt:lpwstr>
  </property>
</Properties>
</file>